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showInkAnnotation="0" codeName="ThisWorkbook"/>
  <mc:AlternateContent xmlns:mc="http://schemas.openxmlformats.org/markup-compatibility/2006">
    <mc:Choice Requires="x15">
      <x15ac:absPath xmlns:x15ac="http://schemas.microsoft.com/office/spreadsheetml/2010/11/ac" url="/Users/carlo.veo/Documents/GitHub/wmt/wmt-worker/app/templates/"/>
    </mc:Choice>
  </mc:AlternateContent>
  <xr:revisionPtr revIDLastSave="0" documentId="8_{74E52B9C-9755-0B46-B0B7-D4D29276F572}" xr6:coauthVersionLast="47" xr6:coauthVersionMax="47" xr10:uidLastSave="{00000000-0000-0000-0000-000000000000}"/>
  <bookViews>
    <workbookView showSheetTabs="0" xWindow="0" yWindow="500" windowWidth="35840" windowHeight="21900" tabRatio="851" xr2:uid="{00000000-000D-0000-FFFF-FFFF00000000}"/>
  </bookViews>
  <sheets>
    <sheet name="home" sheetId="11" r:id="rId1"/>
    <sheet name="PDUs" sheetId="78" r:id="rId2"/>
    <sheet name="capacity data" sheetId="79" r:id="rId3"/>
    <sheet name="caseload data" sheetId="99" r:id="rId4"/>
    <sheet name="reductions data" sheetId="85" r:id="rId5"/>
    <sheet name="reductions workings" sheetId="106" r:id="rId6"/>
    <sheet name="FAQs" sheetId="112" r:id="rId7"/>
    <sheet name="divisional &amp; regional overview" sheetId="101" r:id="rId8"/>
    <sheet name="HMIP caseload divisional" sheetId="115" r:id="rId9"/>
    <sheet name="HMIP caseload cluster" sheetId="117" r:id="rId10"/>
    <sheet name="cluster overview" sheetId="98" r:id="rId11"/>
    <sheet name="team overview" sheetId="114" r:id="rId12"/>
    <sheet name="national caseload" sheetId="100" r:id="rId13"/>
    <sheet name="national tier ratios" sheetId="111" r:id="rId14"/>
    <sheet name="divisional &amp; regional caseload" sheetId="102" r:id="rId15"/>
    <sheet name="divisional &amp; regional caseload%" sheetId="105" r:id="rId16"/>
    <sheet name="cluster capacity, unallocateds" sheetId="81" r:id="rId17"/>
    <sheet name="custody caseload" sheetId="107" r:id="rId18"/>
    <sheet name="custody %" sheetId="109" r:id="rId19"/>
    <sheet name="community caseload" sheetId="108" r:id="rId20"/>
    <sheet name="community %" sheetId="110" r:id="rId21"/>
    <sheet name="divisional &amp; regional capacity" sheetId="80" r:id="rId22"/>
    <sheet name="cluster officer capacity ranks" sheetId="82" r:id="rId23"/>
    <sheet name="div &amp; regional over-capacities" sheetId="95" r:id="rId24"/>
    <sheet name="unallocated cases" sheetId="84" r:id="rId25"/>
    <sheet name="reasons for reduction division" sheetId="87" r:id="rId26"/>
    <sheet name="cluster reductions" sheetId="89" r:id="rId27"/>
    <sheet name="div &amp; regional reduction hours" sheetId="88" r:id="rId28"/>
    <sheet name="Caseload Buttons" sheetId="93" r:id="rId29"/>
    <sheet name="Capacity Buttons" sheetId="91" r:id="rId30"/>
    <sheet name="Reductions Buttons" sheetId="92" r:id="rId31"/>
  </sheets>
  <externalReferences>
    <externalReference r:id="rId32"/>
    <externalReference r:id="rId33"/>
    <externalReference r:id="rId34"/>
  </externalReferences>
  <definedNames>
    <definedName name="_xlnm._FilterDatabase" localSheetId="2" hidden="1">'capacity data'!$A$1:$U$3732</definedName>
    <definedName name="_xlnm._FilterDatabase" localSheetId="3" hidden="1">'caseload data'!$A$1:$X$1636</definedName>
    <definedName name="_xlnm._FilterDatabase" localSheetId="1" hidden="1">PDUs!$Y$1:$Y$466</definedName>
    <definedName name="_xlnm._FilterDatabase" localSheetId="4" hidden="1">'reductions data'!$A$1:$L$5156</definedName>
    <definedName name="Against_National_Average">'[1]Rating Lookup'!$C$2:$F$2</definedName>
    <definedName name="Against_Target">'[1]Rating Lookup'!$B$3:$B$6</definedName>
    <definedName name="Aggregation" localSheetId="29">#REF!</definedName>
    <definedName name="Aggregation" localSheetId="2">#REF!</definedName>
    <definedName name="Aggregation" localSheetId="28">#REF!</definedName>
    <definedName name="Aggregation" localSheetId="16">#REF!</definedName>
    <definedName name="Aggregation" localSheetId="22">#REF!</definedName>
    <definedName name="Aggregation" localSheetId="26">#REF!</definedName>
    <definedName name="Aggregation" localSheetId="20">#REF!</definedName>
    <definedName name="Aggregation" localSheetId="19">#REF!</definedName>
    <definedName name="Aggregation" localSheetId="18">#REF!</definedName>
    <definedName name="Aggregation" localSheetId="17">#REF!</definedName>
    <definedName name="Aggregation" localSheetId="27">#REF!</definedName>
    <definedName name="Aggregation" localSheetId="21">#REF!</definedName>
    <definedName name="Aggregation" localSheetId="15">#REF!</definedName>
    <definedName name="Aggregation" localSheetId="7">#REF!</definedName>
    <definedName name="Aggregation" localSheetId="8">#REF!</definedName>
    <definedName name="Aggregation" localSheetId="1">#REF!</definedName>
    <definedName name="Aggregation" localSheetId="25">#REF!</definedName>
    <definedName name="Aggregation" localSheetId="30">#REF!</definedName>
    <definedName name="Aggregation" localSheetId="4">#REF!</definedName>
    <definedName name="Aggregation" localSheetId="11">#REF!</definedName>
    <definedName name="Aggregation" localSheetId="24">#REF!</definedName>
    <definedName name="Aggregation">#REF!</definedName>
    <definedName name="AmberRating" localSheetId="29">#REF!</definedName>
    <definedName name="AmberRating" localSheetId="2">#REF!</definedName>
    <definedName name="AmberRating" localSheetId="28">#REF!</definedName>
    <definedName name="AmberRating" localSheetId="16">#REF!</definedName>
    <definedName name="AmberRating" localSheetId="22">#REF!</definedName>
    <definedName name="AmberRating" localSheetId="26">#REF!</definedName>
    <definedName name="AmberRating" localSheetId="20">#REF!</definedName>
    <definedName name="AmberRating" localSheetId="19">#REF!</definedName>
    <definedName name="AmberRating" localSheetId="18">#REF!</definedName>
    <definedName name="AmberRating" localSheetId="17">#REF!</definedName>
    <definedName name="AmberRating" localSheetId="27">#REF!</definedName>
    <definedName name="AmberRating" localSheetId="21">#REF!</definedName>
    <definedName name="AmberRating" localSheetId="15">#REF!</definedName>
    <definedName name="AmberRating" localSheetId="7">#REF!</definedName>
    <definedName name="AmberRating" localSheetId="8">#REF!</definedName>
    <definedName name="AmberRating" localSheetId="1">#REF!</definedName>
    <definedName name="AmberRating" localSheetId="25">#REF!</definedName>
    <definedName name="AmberRating" localSheetId="30">#REF!</definedName>
    <definedName name="AmberRating" localSheetId="4">#REF!</definedName>
    <definedName name="AmberRating" localSheetId="11">#REF!</definedName>
    <definedName name="AmberRating" localSheetId="24">#REF!</definedName>
    <definedName name="AmberRating">#REF!</definedName>
    <definedName name="Anchor_Cell">PDUs!$A$1</definedName>
    <definedName name="CurMonth" localSheetId="29">#REF!</definedName>
    <definedName name="CurMonth" localSheetId="2">#REF!</definedName>
    <definedName name="CurMonth" localSheetId="28">#REF!</definedName>
    <definedName name="CurMonth" localSheetId="16">#REF!</definedName>
    <definedName name="CurMonth" localSheetId="22">#REF!</definedName>
    <definedName name="CurMonth" localSheetId="26">#REF!</definedName>
    <definedName name="CurMonth" localSheetId="20">#REF!</definedName>
    <definedName name="CurMonth" localSheetId="19">#REF!</definedName>
    <definedName name="CurMonth" localSheetId="18">#REF!</definedName>
    <definedName name="CurMonth" localSheetId="17">#REF!</definedName>
    <definedName name="CurMonth" localSheetId="27">#REF!</definedName>
    <definedName name="CurMonth" localSheetId="21">#REF!</definedName>
    <definedName name="CurMonth" localSheetId="15">#REF!</definedName>
    <definedName name="CurMonth" localSheetId="7">#REF!</definedName>
    <definedName name="CurMonth" localSheetId="8">#REF!</definedName>
    <definedName name="CurMonth" localSheetId="1">#REF!</definedName>
    <definedName name="CurMonth" localSheetId="25">#REF!</definedName>
    <definedName name="CurMonth" localSheetId="30">#REF!</definedName>
    <definedName name="CurMonth" localSheetId="4">#REF!</definedName>
    <definedName name="CurMonth" localSheetId="11">#REF!</definedName>
    <definedName name="CurMonth" localSheetId="24">#REF!</definedName>
    <definedName name="CurMonth">#REF!</definedName>
    <definedName name="CurQuarter" localSheetId="29">#REF!</definedName>
    <definedName name="CurQuarter" localSheetId="2">#REF!</definedName>
    <definedName name="CurQuarter" localSheetId="28">#REF!</definedName>
    <definedName name="CurQuarter" localSheetId="16">#REF!</definedName>
    <definedName name="CurQuarter" localSheetId="22">#REF!</definedName>
    <definedName name="CurQuarter" localSheetId="26">#REF!</definedName>
    <definedName name="CurQuarter" localSheetId="20">#REF!</definedName>
    <definedName name="CurQuarter" localSheetId="19">#REF!</definedName>
    <definedName name="CurQuarter" localSheetId="18">#REF!</definedName>
    <definedName name="CurQuarter" localSheetId="17">#REF!</definedName>
    <definedName name="CurQuarter" localSheetId="27">#REF!</definedName>
    <definedName name="CurQuarter" localSheetId="21">#REF!</definedName>
    <definedName name="CurQuarter" localSheetId="15">#REF!</definedName>
    <definedName name="CurQuarter" localSheetId="7">#REF!</definedName>
    <definedName name="CurQuarter" localSheetId="8">#REF!</definedName>
    <definedName name="CurQuarter" localSheetId="1">#REF!</definedName>
    <definedName name="CurQuarter" localSheetId="25">#REF!</definedName>
    <definedName name="CurQuarter" localSheetId="30">#REF!</definedName>
    <definedName name="CurQuarter" localSheetId="4">#REF!</definedName>
    <definedName name="CurQuarter" localSheetId="11">#REF!</definedName>
    <definedName name="CurQuarter" localSheetId="24">#REF!</definedName>
    <definedName name="CurQuarter">#REF!</definedName>
    <definedName name="DateRange" localSheetId="29">#REF!</definedName>
    <definedName name="DateRange" localSheetId="2">#REF!</definedName>
    <definedName name="DateRange" localSheetId="28">#REF!</definedName>
    <definedName name="DateRange" localSheetId="16">#REF!</definedName>
    <definedName name="DateRange" localSheetId="22">#REF!</definedName>
    <definedName name="DateRange" localSheetId="26">#REF!</definedName>
    <definedName name="DateRange" localSheetId="20">#REF!</definedName>
    <definedName name="DateRange" localSheetId="19">#REF!</definedName>
    <definedName name="DateRange" localSheetId="18">#REF!</definedName>
    <definedName name="DateRange" localSheetId="17">#REF!</definedName>
    <definedName name="DateRange" localSheetId="27">#REF!</definedName>
    <definedName name="DateRange" localSheetId="21">#REF!</definedName>
    <definedName name="DateRange" localSheetId="15">#REF!</definedName>
    <definedName name="DateRange" localSheetId="7">#REF!</definedName>
    <definedName name="DateRange" localSheetId="8">#REF!</definedName>
    <definedName name="DateRange" localSheetId="1">#REF!</definedName>
    <definedName name="DateRange" localSheetId="25">#REF!</definedName>
    <definedName name="DateRange" localSheetId="30">#REF!</definedName>
    <definedName name="DateRange" localSheetId="4">#REF!</definedName>
    <definedName name="DateRange" localSheetId="11">#REF!</definedName>
    <definedName name="DateRange" localSheetId="24">#REF!</definedName>
    <definedName name="DateRange">#REF!</definedName>
    <definedName name="EMR">'national caseload'!$B$7</definedName>
    <definedName name="EoE">'national caseload'!$B$12</definedName>
    <definedName name="ForecastDate" localSheetId="29">#REF!</definedName>
    <definedName name="ForecastDate" localSheetId="2">#REF!</definedName>
    <definedName name="ForecastDate" localSheetId="28">#REF!</definedName>
    <definedName name="ForecastDate" localSheetId="16">#REF!</definedName>
    <definedName name="ForecastDate" localSheetId="22">#REF!</definedName>
    <definedName name="ForecastDate" localSheetId="26">#REF!</definedName>
    <definedName name="ForecastDate" localSheetId="20">#REF!</definedName>
    <definedName name="ForecastDate" localSheetId="19">#REF!</definedName>
    <definedName name="ForecastDate" localSheetId="18">#REF!</definedName>
    <definedName name="ForecastDate" localSheetId="17">#REF!</definedName>
    <definedName name="ForecastDate" localSheetId="27">#REF!</definedName>
    <definedName name="ForecastDate" localSheetId="21">#REF!</definedName>
    <definedName name="ForecastDate" localSheetId="15">#REF!</definedName>
    <definedName name="ForecastDate" localSheetId="7">#REF!</definedName>
    <definedName name="ForecastDate" localSheetId="8">#REF!</definedName>
    <definedName name="ForecastDate" localSheetId="1">#REF!</definedName>
    <definedName name="ForecastDate" localSheetId="25">#REF!</definedName>
    <definedName name="ForecastDate" localSheetId="30">#REF!</definedName>
    <definedName name="ForecastDate" localSheetId="4">#REF!</definedName>
    <definedName name="ForecastDate" localSheetId="11">#REF!</definedName>
    <definedName name="ForecastDate" localSheetId="24">#REF!</definedName>
    <definedName name="ForecastDate">#REF!</definedName>
    <definedName name="GM">'national caseload'!$B$17</definedName>
    <definedName name="HubData" localSheetId="29">#REF!</definedName>
    <definedName name="HubData" localSheetId="2">#REF!</definedName>
    <definedName name="HubData" localSheetId="28">#REF!</definedName>
    <definedName name="HubData" localSheetId="16">#REF!</definedName>
    <definedName name="HubData" localSheetId="22">#REF!</definedName>
    <definedName name="HubData" localSheetId="26">#REF!</definedName>
    <definedName name="HubData" localSheetId="20">#REF!</definedName>
    <definedName name="HubData" localSheetId="19">#REF!</definedName>
    <definedName name="HubData" localSheetId="18">#REF!</definedName>
    <definedName name="HubData" localSheetId="17">#REF!</definedName>
    <definedName name="HubData" localSheetId="27">#REF!</definedName>
    <definedName name="HubData" localSheetId="21">#REF!</definedName>
    <definedName name="HubData" localSheetId="15">#REF!</definedName>
    <definedName name="HubData" localSheetId="7">#REF!</definedName>
    <definedName name="HubData" localSheetId="8">#REF!</definedName>
    <definedName name="HubData" localSheetId="1">#REF!</definedName>
    <definedName name="HubData" localSheetId="25">#REF!</definedName>
    <definedName name="HubData" localSheetId="30">#REF!</definedName>
    <definedName name="HubData" localSheetId="4">#REF!</definedName>
    <definedName name="HubData" localSheetId="11">#REF!</definedName>
    <definedName name="HubData" localSheetId="24">#REF!</definedName>
    <definedName name="HubData">#REF!</definedName>
    <definedName name="KSSR">'national caseload'!$B$22</definedName>
    <definedName name="L">'national caseload'!$B$27</definedName>
    <definedName name="LDU" localSheetId="29">#REF!</definedName>
    <definedName name="LDU" localSheetId="2">#REF!</definedName>
    <definedName name="LDU" localSheetId="28">#REF!</definedName>
    <definedName name="LDU" localSheetId="16">#REF!</definedName>
    <definedName name="LDU" localSheetId="22">#REF!</definedName>
    <definedName name="LDU" localSheetId="26">#REF!</definedName>
    <definedName name="LDU" localSheetId="20">#REF!</definedName>
    <definedName name="LDU" localSheetId="19">#REF!</definedName>
    <definedName name="LDU" localSheetId="18">#REF!</definedName>
    <definedName name="LDU" localSheetId="17">#REF!</definedName>
    <definedName name="LDU" localSheetId="27">#REF!</definedName>
    <definedName name="LDU" localSheetId="21">#REF!</definedName>
    <definedName name="LDU" localSheetId="15">#REF!</definedName>
    <definedName name="LDU" localSheetId="7">#REF!</definedName>
    <definedName name="LDU" localSheetId="8">#REF!</definedName>
    <definedName name="LDU" localSheetId="1">#REF!</definedName>
    <definedName name="LDU" localSheetId="25">#REF!</definedName>
    <definedName name="LDU" localSheetId="30">#REF!</definedName>
    <definedName name="LDU" localSheetId="4">#REF!</definedName>
    <definedName name="LDU" localSheetId="11">#REF!</definedName>
    <definedName name="LDU" localSheetId="24">#REF!</definedName>
    <definedName name="LDU">#REF!</definedName>
    <definedName name="LDUCluster" localSheetId="29">#REF!</definedName>
    <definedName name="LDUCluster" localSheetId="2">#REF!</definedName>
    <definedName name="LDUCluster" localSheetId="28">#REF!</definedName>
    <definedName name="LDUCluster" localSheetId="16">#REF!</definedName>
    <definedName name="LDUCluster" localSheetId="22">#REF!</definedName>
    <definedName name="LDUCluster" localSheetId="26">#REF!</definedName>
    <definedName name="LDUCluster" localSheetId="20">#REF!</definedName>
    <definedName name="LDUCluster" localSheetId="19">#REF!</definedName>
    <definedName name="LDUCluster" localSheetId="18">#REF!</definedName>
    <definedName name="LDUCluster" localSheetId="17">#REF!</definedName>
    <definedName name="LDUCluster" localSheetId="27">#REF!</definedName>
    <definedName name="LDUCluster" localSheetId="21">#REF!</definedName>
    <definedName name="LDUCluster" localSheetId="15">#REF!</definedName>
    <definedName name="LDUCluster" localSheetId="7">#REF!</definedName>
    <definedName name="LDUCluster" localSheetId="8">#REF!</definedName>
    <definedName name="LDUCluster" localSheetId="1">#REF!</definedName>
    <definedName name="LDUCluster" localSheetId="25">#REF!</definedName>
    <definedName name="LDUCluster" localSheetId="30">#REF!</definedName>
    <definedName name="LDUCluster" localSheetId="4">#REF!</definedName>
    <definedName name="LDUCluster" localSheetId="11">#REF!</definedName>
    <definedName name="LDUCluster" localSheetId="24">#REF!</definedName>
    <definedName name="LDUCluster">#REF!</definedName>
    <definedName name="MonthNo" localSheetId="29">#REF!</definedName>
    <definedName name="MonthNo" localSheetId="2">#REF!</definedName>
    <definedName name="MonthNo" localSheetId="28">#REF!</definedName>
    <definedName name="MonthNo" localSheetId="16">#REF!</definedName>
    <definedName name="MonthNo" localSheetId="22">#REF!</definedName>
    <definedName name="MonthNo" localSheetId="26">#REF!</definedName>
    <definedName name="MonthNo" localSheetId="20">#REF!</definedName>
    <definedName name="MonthNo" localSheetId="19">#REF!</definedName>
    <definedName name="MonthNo" localSheetId="18">#REF!</definedName>
    <definedName name="MonthNo" localSheetId="17">#REF!</definedName>
    <definedName name="MonthNo" localSheetId="27">#REF!</definedName>
    <definedName name="MonthNo" localSheetId="21">#REF!</definedName>
    <definedName name="MonthNo" localSheetId="15">#REF!</definedName>
    <definedName name="MonthNo" localSheetId="7">#REF!</definedName>
    <definedName name="MonthNo" localSheetId="8">#REF!</definedName>
    <definedName name="MonthNo" localSheetId="1">#REF!</definedName>
    <definedName name="MonthNo" localSheetId="25">#REF!</definedName>
    <definedName name="MonthNo" localSheetId="30">#REF!</definedName>
    <definedName name="MonthNo" localSheetId="4">#REF!</definedName>
    <definedName name="MonthNo" localSheetId="11">#REF!</definedName>
    <definedName name="MonthNo" localSheetId="24">#REF!</definedName>
    <definedName name="MonthNo">#REF!</definedName>
    <definedName name="MonthRemain" localSheetId="29">#REF!</definedName>
    <definedName name="MonthRemain" localSheetId="2">#REF!</definedName>
    <definedName name="MonthRemain" localSheetId="28">#REF!</definedName>
    <definedName name="MonthRemain" localSheetId="16">#REF!</definedName>
    <definedName name="MonthRemain" localSheetId="22">#REF!</definedName>
    <definedName name="MonthRemain" localSheetId="26">#REF!</definedName>
    <definedName name="MonthRemain" localSheetId="20">#REF!</definedName>
    <definedName name="MonthRemain" localSheetId="19">#REF!</definedName>
    <definedName name="MonthRemain" localSheetId="18">#REF!</definedName>
    <definedName name="MonthRemain" localSheetId="17">#REF!</definedName>
    <definedName name="MonthRemain" localSheetId="27">#REF!</definedName>
    <definedName name="MonthRemain" localSheetId="21">#REF!</definedName>
    <definedName name="MonthRemain" localSheetId="15">#REF!</definedName>
    <definedName name="MonthRemain" localSheetId="7">#REF!</definedName>
    <definedName name="MonthRemain" localSheetId="8">#REF!</definedName>
    <definedName name="MonthRemain" localSheetId="1">#REF!</definedName>
    <definedName name="MonthRemain" localSheetId="25">#REF!</definedName>
    <definedName name="MonthRemain" localSheetId="30">#REF!</definedName>
    <definedName name="MonthRemain" localSheetId="4">#REF!</definedName>
    <definedName name="MonthRemain" localSheetId="11">#REF!</definedName>
    <definedName name="MonthRemain" localSheetId="24">#REF!</definedName>
    <definedName name="MonthRemain">#REF!</definedName>
    <definedName name="NE001Month" localSheetId="29">#REF!</definedName>
    <definedName name="NE001Month" localSheetId="2">#REF!</definedName>
    <definedName name="NE001Month" localSheetId="28">#REF!</definedName>
    <definedName name="NE001Month" localSheetId="16">#REF!</definedName>
    <definedName name="NE001Month" localSheetId="22">#REF!</definedName>
    <definedName name="NE001Month" localSheetId="26">#REF!</definedName>
    <definedName name="NE001Month" localSheetId="20">#REF!</definedName>
    <definedName name="NE001Month" localSheetId="19">#REF!</definedName>
    <definedName name="NE001Month" localSheetId="18">#REF!</definedName>
    <definedName name="NE001Month" localSheetId="17">#REF!</definedName>
    <definedName name="NE001Month" localSheetId="27">#REF!</definedName>
    <definedName name="NE001Month" localSheetId="21">#REF!</definedName>
    <definedName name="NE001Month" localSheetId="15">#REF!</definedName>
    <definedName name="NE001Month" localSheetId="7">#REF!</definedName>
    <definedName name="NE001Month" localSheetId="8">#REF!</definedName>
    <definedName name="NE001Month" localSheetId="1">#REF!</definedName>
    <definedName name="NE001Month" localSheetId="25">#REF!</definedName>
    <definedName name="NE001Month" localSheetId="30">#REF!</definedName>
    <definedName name="NE001Month" localSheetId="4">#REF!</definedName>
    <definedName name="NE001Month" localSheetId="11">#REF!</definedName>
    <definedName name="NE001Month" localSheetId="24">#REF!</definedName>
    <definedName name="NE001Month">#REF!</definedName>
    <definedName name="NE002Month" localSheetId="29">#REF!</definedName>
    <definedName name="NE002Month" localSheetId="2">#REF!</definedName>
    <definedName name="NE002Month" localSheetId="28">#REF!</definedName>
    <definedName name="NE002Month" localSheetId="16">#REF!</definedName>
    <definedName name="NE002Month" localSheetId="22">#REF!</definedName>
    <definedName name="NE002Month" localSheetId="26">#REF!</definedName>
    <definedName name="NE002Month" localSheetId="20">#REF!</definedName>
    <definedName name="NE002Month" localSheetId="19">#REF!</definedName>
    <definedName name="NE002Month" localSheetId="18">#REF!</definedName>
    <definedName name="NE002Month" localSheetId="17">#REF!</definedName>
    <definedName name="NE002Month" localSheetId="27">#REF!</definedName>
    <definedName name="NE002Month" localSheetId="21">#REF!</definedName>
    <definedName name="NE002Month" localSheetId="15">#REF!</definedName>
    <definedName name="NE002Month" localSheetId="7">#REF!</definedName>
    <definedName name="NE002Month" localSheetId="8">#REF!</definedName>
    <definedName name="NE002Month" localSheetId="1">#REF!</definedName>
    <definedName name="NE002Month" localSheetId="25">#REF!</definedName>
    <definedName name="NE002Month" localSheetId="30">#REF!</definedName>
    <definedName name="NE002Month" localSheetId="4">#REF!</definedName>
    <definedName name="NE002Month" localSheetId="11">#REF!</definedName>
    <definedName name="NE002Month" localSheetId="24">#REF!</definedName>
    <definedName name="NE002Month">#REF!</definedName>
    <definedName name="NE003Month" localSheetId="29">#REF!</definedName>
    <definedName name="NE003Month" localSheetId="2">#REF!</definedName>
    <definedName name="NE003Month" localSheetId="28">#REF!</definedName>
    <definedName name="NE003Month" localSheetId="16">#REF!</definedName>
    <definedName name="NE003Month" localSheetId="22">#REF!</definedName>
    <definedName name="NE003Month" localSheetId="26">#REF!</definedName>
    <definedName name="NE003Month" localSheetId="20">#REF!</definedName>
    <definedName name="NE003Month" localSheetId="19">#REF!</definedName>
    <definedName name="NE003Month" localSheetId="18">#REF!</definedName>
    <definedName name="NE003Month" localSheetId="17">#REF!</definedName>
    <definedName name="NE003Month" localSheetId="27">#REF!</definedName>
    <definedName name="NE003Month" localSheetId="21">#REF!</definedName>
    <definedName name="NE003Month" localSheetId="15">#REF!</definedName>
    <definedName name="NE003Month" localSheetId="7">#REF!</definedName>
    <definedName name="NE003Month" localSheetId="8">#REF!</definedName>
    <definedName name="NE003Month" localSheetId="1">#REF!</definedName>
    <definedName name="NE003Month" localSheetId="25">#REF!</definedName>
    <definedName name="NE003Month" localSheetId="30">#REF!</definedName>
    <definedName name="NE003Month" localSheetId="4">#REF!</definedName>
    <definedName name="NE003Month" localSheetId="11">#REF!</definedName>
    <definedName name="NE003Month" localSheetId="24">#REF!</definedName>
    <definedName name="NE003Month">#REF!</definedName>
    <definedName name="NE004AFMonth" localSheetId="29">#REF!</definedName>
    <definedName name="NE004AFMonth" localSheetId="2">#REF!</definedName>
    <definedName name="NE004AFMonth" localSheetId="28">#REF!</definedName>
    <definedName name="NE004AFMonth" localSheetId="16">#REF!</definedName>
    <definedName name="NE004AFMonth" localSheetId="22">#REF!</definedName>
    <definedName name="NE004AFMonth" localSheetId="26">#REF!</definedName>
    <definedName name="NE004AFMonth" localSheetId="20">#REF!</definedName>
    <definedName name="NE004AFMonth" localSheetId="19">#REF!</definedName>
    <definedName name="NE004AFMonth" localSheetId="18">#REF!</definedName>
    <definedName name="NE004AFMonth" localSheetId="17">#REF!</definedName>
    <definedName name="NE004AFMonth" localSheetId="27">#REF!</definedName>
    <definedName name="NE004AFMonth" localSheetId="21">#REF!</definedName>
    <definedName name="NE004AFMonth" localSheetId="15">#REF!</definedName>
    <definedName name="NE004AFMonth" localSheetId="7">#REF!</definedName>
    <definedName name="NE004AFMonth" localSheetId="8">#REF!</definedName>
    <definedName name="NE004AFMonth" localSheetId="1">#REF!</definedName>
    <definedName name="NE004AFMonth" localSheetId="25">#REF!</definedName>
    <definedName name="NE004AFMonth" localSheetId="30">#REF!</definedName>
    <definedName name="NE004AFMonth" localSheetId="4">#REF!</definedName>
    <definedName name="NE004AFMonth" localSheetId="11">#REF!</definedName>
    <definedName name="NE004AFMonth" localSheetId="24">#REF!</definedName>
    <definedName name="NE004AFMonth">#REF!</definedName>
    <definedName name="NE004AFYTD" localSheetId="29">#REF!</definedName>
    <definedName name="NE004AFYTD" localSheetId="2">#REF!</definedName>
    <definedName name="NE004AFYTD" localSheetId="28">#REF!</definedName>
    <definedName name="NE004AFYTD" localSheetId="16">#REF!</definedName>
    <definedName name="NE004AFYTD" localSheetId="22">#REF!</definedName>
    <definedName name="NE004AFYTD" localSheetId="26">#REF!</definedName>
    <definedName name="NE004AFYTD" localSheetId="20">#REF!</definedName>
    <definedName name="NE004AFYTD" localSheetId="19">#REF!</definedName>
    <definedName name="NE004AFYTD" localSheetId="18">#REF!</definedName>
    <definedName name="NE004AFYTD" localSheetId="17">#REF!</definedName>
    <definedName name="NE004AFYTD" localSheetId="27">#REF!</definedName>
    <definedName name="NE004AFYTD" localSheetId="21">#REF!</definedName>
    <definedName name="NE004AFYTD" localSheetId="15">#REF!</definedName>
    <definedName name="NE004AFYTD" localSheetId="7">#REF!</definedName>
    <definedName name="NE004AFYTD" localSheetId="8">#REF!</definedName>
    <definedName name="NE004AFYTD" localSheetId="1">#REF!</definedName>
    <definedName name="NE004AFYTD" localSheetId="25">#REF!</definedName>
    <definedName name="NE004AFYTD" localSheetId="30">#REF!</definedName>
    <definedName name="NE004AFYTD" localSheetId="4">#REF!</definedName>
    <definedName name="NE004AFYTD" localSheetId="11">#REF!</definedName>
    <definedName name="NE004AFYTD" localSheetId="24">#REF!</definedName>
    <definedName name="NE004AFYTD">#REF!</definedName>
    <definedName name="NE004ASMonth" localSheetId="29">#REF!</definedName>
    <definedName name="NE004ASMonth" localSheetId="2">#REF!</definedName>
    <definedName name="NE004ASMonth" localSheetId="28">#REF!</definedName>
    <definedName name="NE004ASMonth" localSheetId="16">#REF!</definedName>
    <definedName name="NE004ASMonth" localSheetId="22">#REF!</definedName>
    <definedName name="NE004ASMonth" localSheetId="26">#REF!</definedName>
    <definedName name="NE004ASMonth" localSheetId="20">#REF!</definedName>
    <definedName name="NE004ASMonth" localSheetId="19">#REF!</definedName>
    <definedName name="NE004ASMonth" localSheetId="18">#REF!</definedName>
    <definedName name="NE004ASMonth" localSheetId="17">#REF!</definedName>
    <definedName name="NE004ASMonth" localSheetId="27">#REF!</definedName>
    <definedName name="NE004ASMonth" localSheetId="21">#REF!</definedName>
    <definedName name="NE004ASMonth" localSheetId="15">#REF!</definedName>
    <definedName name="NE004ASMonth" localSheetId="7">#REF!</definedName>
    <definedName name="NE004ASMonth" localSheetId="8">#REF!</definedName>
    <definedName name="NE004ASMonth" localSheetId="1">#REF!</definedName>
    <definedName name="NE004ASMonth" localSheetId="25">#REF!</definedName>
    <definedName name="NE004ASMonth" localSheetId="30">#REF!</definedName>
    <definedName name="NE004ASMonth" localSheetId="4">#REF!</definedName>
    <definedName name="NE004ASMonth" localSheetId="11">#REF!</definedName>
    <definedName name="NE004ASMonth" localSheetId="24">#REF!</definedName>
    <definedName name="NE004ASMonth">#REF!</definedName>
    <definedName name="NE004ASYTD" localSheetId="29">#REF!</definedName>
    <definedName name="NE004ASYTD" localSheetId="2">#REF!</definedName>
    <definedName name="NE004ASYTD" localSheetId="28">#REF!</definedName>
    <definedName name="NE004ASYTD" localSheetId="16">#REF!</definedName>
    <definedName name="NE004ASYTD" localSheetId="22">#REF!</definedName>
    <definedName name="NE004ASYTD" localSheetId="26">#REF!</definedName>
    <definedName name="NE004ASYTD" localSheetId="20">#REF!</definedName>
    <definedName name="NE004ASYTD" localSheetId="19">#REF!</definedName>
    <definedName name="NE004ASYTD" localSheetId="18">#REF!</definedName>
    <definedName name="NE004ASYTD" localSheetId="17">#REF!</definedName>
    <definedName name="NE004ASYTD" localSheetId="27">#REF!</definedName>
    <definedName name="NE004ASYTD" localSheetId="21">#REF!</definedName>
    <definedName name="NE004ASYTD" localSheetId="15">#REF!</definedName>
    <definedName name="NE004ASYTD" localSheetId="7">#REF!</definedName>
    <definedName name="NE004ASYTD" localSheetId="8">#REF!</definedName>
    <definedName name="NE004ASYTD" localSheetId="1">#REF!</definedName>
    <definedName name="NE004ASYTD" localSheetId="25">#REF!</definedName>
    <definedName name="NE004ASYTD" localSheetId="30">#REF!</definedName>
    <definedName name="NE004ASYTD" localSheetId="4">#REF!</definedName>
    <definedName name="NE004ASYTD" localSheetId="11">#REF!</definedName>
    <definedName name="NE004ASYTD" localSheetId="24">#REF!</definedName>
    <definedName name="NE004ASYTD">#REF!</definedName>
    <definedName name="NE004MText" localSheetId="29">#REF!</definedName>
    <definedName name="NE004MText" localSheetId="2">#REF!</definedName>
    <definedName name="NE004MText" localSheetId="28">#REF!</definedName>
    <definedName name="NE004MText" localSheetId="16">#REF!</definedName>
    <definedName name="NE004MText" localSheetId="22">#REF!</definedName>
    <definedName name="NE004MText" localSheetId="26">#REF!</definedName>
    <definedName name="NE004MText" localSheetId="20">#REF!</definedName>
    <definedName name="NE004MText" localSheetId="19">#REF!</definedName>
    <definedName name="NE004MText" localSheetId="18">#REF!</definedName>
    <definedName name="NE004MText" localSheetId="17">#REF!</definedName>
    <definedName name="NE004MText" localSheetId="27">#REF!</definedName>
    <definedName name="NE004MText" localSheetId="21">#REF!</definedName>
    <definedName name="NE004MText" localSheetId="15">#REF!</definedName>
    <definedName name="NE004MText" localSheetId="7">#REF!</definedName>
    <definedName name="NE004MText" localSheetId="8">#REF!</definedName>
    <definedName name="NE004MText" localSheetId="1">#REF!</definedName>
    <definedName name="NE004MText" localSheetId="25">#REF!</definedName>
    <definedName name="NE004MText" localSheetId="30">#REF!</definedName>
    <definedName name="NE004MText" localSheetId="4">#REF!</definedName>
    <definedName name="NE004MText" localSheetId="11">#REF!</definedName>
    <definedName name="NE004MText" localSheetId="24">#REF!</definedName>
    <definedName name="NE004MText">#REF!</definedName>
    <definedName name="NE004MTitle" localSheetId="29">#REF!</definedName>
    <definedName name="NE004MTitle" localSheetId="2">#REF!</definedName>
    <definedName name="NE004MTitle" localSheetId="28">#REF!</definedName>
    <definedName name="NE004MTitle" localSheetId="16">#REF!</definedName>
    <definedName name="NE004MTitle" localSheetId="22">#REF!</definedName>
    <definedName name="NE004MTitle" localSheetId="26">#REF!</definedName>
    <definedName name="NE004MTitle" localSheetId="20">#REF!</definedName>
    <definedName name="NE004MTitle" localSheetId="19">#REF!</definedName>
    <definedName name="NE004MTitle" localSheetId="18">#REF!</definedName>
    <definedName name="NE004MTitle" localSheetId="17">#REF!</definedName>
    <definedName name="NE004MTitle" localSheetId="27">#REF!</definedName>
    <definedName name="NE004MTitle" localSheetId="21">#REF!</definedName>
    <definedName name="NE004MTitle" localSheetId="15">#REF!</definedName>
    <definedName name="NE004MTitle" localSheetId="7">#REF!</definedName>
    <definedName name="NE004MTitle" localSheetId="8">#REF!</definedName>
    <definedName name="NE004MTitle" localSheetId="1">#REF!</definedName>
    <definedName name="NE004MTitle" localSheetId="25">#REF!</definedName>
    <definedName name="NE004MTitle" localSheetId="30">#REF!</definedName>
    <definedName name="NE004MTitle" localSheetId="4">#REF!</definedName>
    <definedName name="NE004MTitle" localSheetId="11">#REF!</definedName>
    <definedName name="NE004MTitle" localSheetId="24">#REF!</definedName>
    <definedName name="NE004MTitle">#REF!</definedName>
    <definedName name="NE004ODMonth" localSheetId="29">#REF!</definedName>
    <definedName name="NE004ODMonth" localSheetId="2">#REF!</definedName>
    <definedName name="NE004ODMonth" localSheetId="28">#REF!</definedName>
    <definedName name="NE004ODMonth" localSheetId="16">#REF!</definedName>
    <definedName name="NE004ODMonth" localSheetId="22">#REF!</definedName>
    <definedName name="NE004ODMonth" localSheetId="26">#REF!</definedName>
    <definedName name="NE004ODMonth" localSheetId="20">#REF!</definedName>
    <definedName name="NE004ODMonth" localSheetId="19">#REF!</definedName>
    <definedName name="NE004ODMonth" localSheetId="18">#REF!</definedName>
    <definedName name="NE004ODMonth" localSheetId="17">#REF!</definedName>
    <definedName name="NE004ODMonth" localSheetId="27">#REF!</definedName>
    <definedName name="NE004ODMonth" localSheetId="21">#REF!</definedName>
    <definedName name="NE004ODMonth" localSheetId="15">#REF!</definedName>
    <definedName name="NE004ODMonth" localSheetId="7">#REF!</definedName>
    <definedName name="NE004ODMonth" localSheetId="8">#REF!</definedName>
    <definedName name="NE004ODMonth" localSheetId="1">#REF!</definedName>
    <definedName name="NE004ODMonth" localSheetId="25">#REF!</definedName>
    <definedName name="NE004ODMonth" localSheetId="30">#REF!</definedName>
    <definedName name="NE004ODMonth" localSheetId="4">#REF!</definedName>
    <definedName name="NE004ODMonth" localSheetId="11">#REF!</definedName>
    <definedName name="NE004ODMonth" localSheetId="24">#REF!</definedName>
    <definedName name="NE004ODMonth">#REF!</definedName>
    <definedName name="NE004ODYTD" localSheetId="29">#REF!</definedName>
    <definedName name="NE004ODYTD" localSheetId="2">#REF!</definedName>
    <definedName name="NE004ODYTD" localSheetId="28">#REF!</definedName>
    <definedName name="NE004ODYTD" localSheetId="16">#REF!</definedName>
    <definedName name="NE004ODYTD" localSheetId="22">#REF!</definedName>
    <definedName name="NE004ODYTD" localSheetId="26">#REF!</definedName>
    <definedName name="NE004ODYTD" localSheetId="20">#REF!</definedName>
    <definedName name="NE004ODYTD" localSheetId="19">#REF!</definedName>
    <definedName name="NE004ODYTD" localSheetId="18">#REF!</definedName>
    <definedName name="NE004ODYTD" localSheetId="17">#REF!</definedName>
    <definedName name="NE004ODYTD" localSheetId="27">#REF!</definedName>
    <definedName name="NE004ODYTD" localSheetId="21">#REF!</definedName>
    <definedName name="NE004ODYTD" localSheetId="15">#REF!</definedName>
    <definedName name="NE004ODYTD" localSheetId="7">#REF!</definedName>
    <definedName name="NE004ODYTD" localSheetId="8">#REF!</definedName>
    <definedName name="NE004ODYTD" localSheetId="1">#REF!</definedName>
    <definedName name="NE004ODYTD" localSheetId="25">#REF!</definedName>
    <definedName name="NE004ODYTD" localSheetId="30">#REF!</definedName>
    <definedName name="NE004ODYTD" localSheetId="4">#REF!</definedName>
    <definedName name="NE004ODYTD" localSheetId="11">#REF!</definedName>
    <definedName name="NE004ODYTD" localSheetId="24">#REF!</definedName>
    <definedName name="NE004ODYTD">#REF!</definedName>
    <definedName name="NER">'national caseload'!$B$32</definedName>
    <definedName name="NWR">'national caseload'!$B$37</definedName>
    <definedName name="obbbbbj" localSheetId="29">'[2]List Data'!#REF!</definedName>
    <definedName name="obbbbbj" localSheetId="28">'[2]List Data'!#REF!</definedName>
    <definedName name="obbbbbj" localSheetId="20">'[2]List Data'!#REF!</definedName>
    <definedName name="obbbbbj" localSheetId="19">'[2]List Data'!#REF!</definedName>
    <definedName name="obbbbbj" localSheetId="18">'[2]List Data'!#REF!</definedName>
    <definedName name="obbbbbj" localSheetId="17">'[2]List Data'!#REF!</definedName>
    <definedName name="obbbbbj" localSheetId="15">'[2]List Data'!#REF!</definedName>
    <definedName name="obbbbbj" localSheetId="7">'[2]List Data'!#REF!</definedName>
    <definedName name="obbbbbj" localSheetId="8">'[2]List Data'!#REF!</definedName>
    <definedName name="obbbbbj" localSheetId="30">'[2]List Data'!#REF!</definedName>
    <definedName name="obbbbbj" localSheetId="11">'[2]List Data'!#REF!</definedName>
    <definedName name="obbbbbj">'[2]List Data'!#REF!</definedName>
    <definedName name="obbbjj" localSheetId="29">'[2]List Data'!#REF!</definedName>
    <definedName name="obbbjj" localSheetId="28">'[2]List Data'!#REF!</definedName>
    <definedName name="obbbjj" localSheetId="20">'[2]List Data'!#REF!</definedName>
    <definedName name="obbbjj" localSheetId="19">'[2]List Data'!#REF!</definedName>
    <definedName name="obbbjj" localSheetId="18">'[2]List Data'!#REF!</definedName>
    <definedName name="obbbjj" localSheetId="17">'[2]List Data'!#REF!</definedName>
    <definedName name="obbbjj" localSheetId="15">'[2]List Data'!#REF!</definedName>
    <definedName name="obbbjj" localSheetId="7">'[2]List Data'!#REF!</definedName>
    <definedName name="obbbjj" localSheetId="8">'[2]List Data'!#REF!</definedName>
    <definedName name="obbbjj" localSheetId="30">'[2]List Data'!#REF!</definedName>
    <definedName name="obbbjj" localSheetId="11">'[2]List Data'!#REF!</definedName>
    <definedName name="obbbjj">'[2]List Data'!#REF!</definedName>
    <definedName name="obbbjjj" localSheetId="29">'[2]List Data'!#REF!</definedName>
    <definedName name="obbbjjj" localSheetId="28">'[2]List Data'!#REF!</definedName>
    <definedName name="obbbjjj" localSheetId="20">'[2]List Data'!#REF!</definedName>
    <definedName name="obbbjjj" localSheetId="19">'[2]List Data'!#REF!</definedName>
    <definedName name="obbbjjj" localSheetId="18">'[2]List Data'!#REF!</definedName>
    <definedName name="obbbjjj" localSheetId="17">'[2]List Data'!#REF!</definedName>
    <definedName name="obbbjjj" localSheetId="15">'[2]List Data'!#REF!</definedName>
    <definedName name="obbbjjj" localSheetId="7">'[2]List Data'!#REF!</definedName>
    <definedName name="obbbjjj" localSheetId="8">'[2]List Data'!#REF!</definedName>
    <definedName name="obbbjjj" localSheetId="30">'[2]List Data'!#REF!</definedName>
    <definedName name="obbbjjj" localSheetId="11">'[2]List Data'!#REF!</definedName>
    <definedName name="obbbjjj">'[2]List Data'!#REF!</definedName>
    <definedName name="obbj" localSheetId="29">'[2]List Data'!#REF!</definedName>
    <definedName name="obbj" localSheetId="28">'[2]List Data'!#REF!</definedName>
    <definedName name="obbj" localSheetId="20">'[2]List Data'!#REF!</definedName>
    <definedName name="obbj" localSheetId="19">'[2]List Data'!#REF!</definedName>
    <definedName name="obbj" localSheetId="18">'[2]List Data'!#REF!</definedName>
    <definedName name="obbj" localSheetId="17">'[2]List Data'!#REF!</definedName>
    <definedName name="obbj" localSheetId="15">'[2]List Data'!#REF!</definedName>
    <definedName name="obbj" localSheetId="7">'[2]List Data'!#REF!</definedName>
    <definedName name="obbj" localSheetId="8">'[2]List Data'!#REF!</definedName>
    <definedName name="obbj" localSheetId="30">'[2]List Data'!#REF!</definedName>
    <definedName name="obbj" localSheetId="11">'[2]List Data'!#REF!</definedName>
    <definedName name="obbj">'[2]List Data'!#REF!</definedName>
    <definedName name="obbjj" localSheetId="29">'[2]List Data'!#REF!</definedName>
    <definedName name="obbjj" localSheetId="28">'[2]List Data'!#REF!</definedName>
    <definedName name="obbjj" localSheetId="20">'[2]List Data'!#REF!</definedName>
    <definedName name="obbjj" localSheetId="19">'[2]List Data'!#REF!</definedName>
    <definedName name="obbjj" localSheetId="18">'[2]List Data'!#REF!</definedName>
    <definedName name="obbjj" localSheetId="17">'[2]List Data'!#REF!</definedName>
    <definedName name="obbjj" localSheetId="15">'[2]List Data'!#REF!</definedName>
    <definedName name="obbjj" localSheetId="7">'[2]List Data'!#REF!</definedName>
    <definedName name="obbjj" localSheetId="8">'[2]List Data'!#REF!</definedName>
    <definedName name="obbjj" localSheetId="30">'[2]List Data'!#REF!</definedName>
    <definedName name="obbjj" localSheetId="11">'[2]List Data'!#REF!</definedName>
    <definedName name="obbjj">'[2]List Data'!#REF!</definedName>
    <definedName name="obj" localSheetId="29">'[2]List Data'!#REF!</definedName>
    <definedName name="obj" localSheetId="28">'[2]List Data'!#REF!</definedName>
    <definedName name="obj" localSheetId="20">'[2]List Data'!#REF!</definedName>
    <definedName name="obj" localSheetId="19">'[2]List Data'!#REF!</definedName>
    <definedName name="obj" localSheetId="18">'[2]List Data'!#REF!</definedName>
    <definedName name="obj" localSheetId="17">'[2]List Data'!#REF!</definedName>
    <definedName name="obj" localSheetId="15">'[2]List Data'!#REF!</definedName>
    <definedName name="obj" localSheetId="7">'[2]List Data'!#REF!</definedName>
    <definedName name="obj" localSheetId="8">'[2]List Data'!#REF!</definedName>
    <definedName name="obj" localSheetId="30">'[2]List Data'!#REF!</definedName>
    <definedName name="obj" localSheetId="11">'[2]List Data'!#REF!</definedName>
    <definedName name="obj">'[2]List Data'!#REF!</definedName>
    <definedName name="Objective" localSheetId="29">'[2]List Data'!#REF!</definedName>
    <definedName name="Objective" localSheetId="2">'[3]List Data'!#REF!</definedName>
    <definedName name="Objective" localSheetId="28">'[2]List Data'!#REF!</definedName>
    <definedName name="Objective" localSheetId="16">'[3]List Data'!#REF!</definedName>
    <definedName name="Objective" localSheetId="22">'[3]List Data'!#REF!</definedName>
    <definedName name="Objective" localSheetId="26">'[3]List Data'!#REF!</definedName>
    <definedName name="Objective" localSheetId="20">'[2]List Data'!#REF!</definedName>
    <definedName name="Objective" localSheetId="19">'[2]List Data'!#REF!</definedName>
    <definedName name="Objective" localSheetId="18">'[2]List Data'!#REF!</definedName>
    <definedName name="Objective" localSheetId="17">'[2]List Data'!#REF!</definedName>
    <definedName name="Objective" localSheetId="27">'[3]List Data'!#REF!</definedName>
    <definedName name="Objective" localSheetId="21">'[3]List Data'!#REF!</definedName>
    <definedName name="Objective" localSheetId="15">'[2]List Data'!#REF!</definedName>
    <definedName name="Objective" localSheetId="7">'[2]List Data'!#REF!</definedName>
    <definedName name="Objective" localSheetId="8">'[2]List Data'!#REF!</definedName>
    <definedName name="Objective" localSheetId="1">'[3]List Data'!#REF!</definedName>
    <definedName name="Objective" localSheetId="25">'[3]List Data'!#REF!</definedName>
    <definedName name="Objective" localSheetId="30">'[2]List Data'!#REF!</definedName>
    <definedName name="Objective" localSheetId="4">'[3]List Data'!#REF!</definedName>
    <definedName name="Objective" localSheetId="11">'[2]List Data'!#REF!</definedName>
    <definedName name="Objective" localSheetId="24">'[3]List Data'!#REF!</definedName>
    <definedName name="Objective">'[2]List Data'!#REF!</definedName>
    <definedName name="objj" localSheetId="29">'[2]List Data'!#REF!</definedName>
    <definedName name="objj" localSheetId="28">'[2]List Data'!#REF!</definedName>
    <definedName name="objj" localSheetId="20">'[2]List Data'!#REF!</definedName>
    <definedName name="objj" localSheetId="19">'[2]List Data'!#REF!</definedName>
    <definedName name="objj" localSheetId="18">'[2]List Data'!#REF!</definedName>
    <definedName name="objj" localSheetId="17">'[2]List Data'!#REF!</definedName>
    <definedName name="objj" localSheetId="15">'[2]List Data'!#REF!</definedName>
    <definedName name="objj" localSheetId="7">'[2]List Data'!#REF!</definedName>
    <definedName name="objj" localSheetId="8">'[2]List Data'!#REF!</definedName>
    <definedName name="objj" localSheetId="30">'[2]List Data'!#REF!</definedName>
    <definedName name="objj" localSheetId="11">'[2]List Data'!#REF!</definedName>
    <definedName name="objj">'[2]List Data'!#REF!</definedName>
    <definedName name="oobbbjjj" localSheetId="29">'[2]List Data'!#REF!</definedName>
    <definedName name="oobbbjjj" localSheetId="28">'[2]List Data'!#REF!</definedName>
    <definedName name="oobbbjjj" localSheetId="20">'[2]List Data'!#REF!</definedName>
    <definedName name="oobbbjjj" localSheetId="19">'[2]List Data'!#REF!</definedName>
    <definedName name="oobbbjjj" localSheetId="18">'[2]List Data'!#REF!</definedName>
    <definedName name="oobbbjjj" localSheetId="17">'[2]List Data'!#REF!</definedName>
    <definedName name="oobbbjjj" localSheetId="15">'[2]List Data'!#REF!</definedName>
    <definedName name="oobbbjjj" localSheetId="7">'[2]List Data'!#REF!</definedName>
    <definedName name="oobbbjjj" localSheetId="8">'[2]List Data'!#REF!</definedName>
    <definedName name="oobbbjjj" localSheetId="30">'[2]List Data'!#REF!</definedName>
    <definedName name="oobbbjjj" localSheetId="11">'[2]List Data'!#REF!</definedName>
    <definedName name="oobbbjjj">'[2]List Data'!#REF!</definedName>
    <definedName name="ooobbbbjjj" localSheetId="29">'[2]List Data'!#REF!</definedName>
    <definedName name="ooobbbbjjj" localSheetId="28">'[2]List Data'!#REF!</definedName>
    <definedName name="ooobbbbjjj" localSheetId="20">'[2]List Data'!#REF!</definedName>
    <definedName name="ooobbbbjjj" localSheetId="19">'[2]List Data'!#REF!</definedName>
    <definedName name="ooobbbbjjj" localSheetId="18">'[2]List Data'!#REF!</definedName>
    <definedName name="ooobbbbjjj" localSheetId="17">'[2]List Data'!#REF!</definedName>
    <definedName name="ooobbbbjjj" localSheetId="15">'[2]List Data'!#REF!</definedName>
    <definedName name="ooobbbbjjj" localSheetId="7">'[2]List Data'!#REF!</definedName>
    <definedName name="ooobbbbjjj" localSheetId="8">'[2]List Data'!#REF!</definedName>
    <definedName name="ooobbbbjjj" localSheetId="30">'[2]List Data'!#REF!</definedName>
    <definedName name="ooobbbbjjj" localSheetId="11">'[2]List Data'!#REF!</definedName>
    <definedName name="ooobbbbjjj">'[2]List Data'!#REF!</definedName>
    <definedName name="ooobbbjjj" localSheetId="29">'[2]List Data'!#REF!</definedName>
    <definedName name="ooobbbjjj" localSheetId="28">'[2]List Data'!#REF!</definedName>
    <definedName name="ooobbbjjj" localSheetId="20">'[2]List Data'!#REF!</definedName>
    <definedName name="ooobbbjjj" localSheetId="19">'[2]List Data'!#REF!</definedName>
    <definedName name="ooobbbjjj" localSheetId="18">'[2]List Data'!#REF!</definedName>
    <definedName name="ooobbbjjj" localSheetId="17">'[2]List Data'!#REF!</definedName>
    <definedName name="ooobbbjjj" localSheetId="15">'[2]List Data'!#REF!</definedName>
    <definedName name="ooobbbjjj" localSheetId="7">'[2]List Data'!#REF!</definedName>
    <definedName name="ooobbbjjj" localSheetId="8">'[2]List Data'!#REF!</definedName>
    <definedName name="ooobbbjjj" localSheetId="30">'[2]List Data'!#REF!</definedName>
    <definedName name="ooobbbjjj" localSheetId="11">'[2]List Data'!#REF!</definedName>
    <definedName name="ooobbbjjj">'[2]List Data'!#REF!</definedName>
    <definedName name="ooobbbjjjj" localSheetId="29">'[2]List Data'!#REF!</definedName>
    <definedName name="ooobbbjjjj" localSheetId="28">'[2]List Data'!#REF!</definedName>
    <definedName name="ooobbbjjjj" localSheetId="20">'[2]List Data'!#REF!</definedName>
    <definedName name="ooobbbjjjj" localSheetId="19">'[2]List Data'!#REF!</definedName>
    <definedName name="ooobbbjjjj" localSheetId="18">'[2]List Data'!#REF!</definedName>
    <definedName name="ooobbbjjjj" localSheetId="17">'[2]List Data'!#REF!</definedName>
    <definedName name="ooobbbjjjj" localSheetId="15">'[2]List Data'!#REF!</definedName>
    <definedName name="ooobbbjjjj" localSheetId="7">'[2]List Data'!#REF!</definedName>
    <definedName name="ooobbbjjjj" localSheetId="8">'[2]List Data'!#REF!</definedName>
    <definedName name="ooobbbjjjj" localSheetId="30">'[2]List Data'!#REF!</definedName>
    <definedName name="ooobbbjjjj" localSheetId="11">'[2]List Data'!#REF!</definedName>
    <definedName name="ooobbbjjjj">'[2]List Data'!#REF!</definedName>
    <definedName name="ooobbjjjjj" localSheetId="29">'[2]List Data'!#REF!</definedName>
    <definedName name="ooobbjjjjj" localSheetId="28">'[2]List Data'!#REF!</definedName>
    <definedName name="ooobbjjjjj" localSheetId="20">'[2]List Data'!#REF!</definedName>
    <definedName name="ooobbjjjjj" localSheetId="19">'[2]List Data'!#REF!</definedName>
    <definedName name="ooobbjjjjj" localSheetId="18">'[2]List Data'!#REF!</definedName>
    <definedName name="ooobbjjjjj" localSheetId="17">'[2]List Data'!#REF!</definedName>
    <definedName name="ooobbjjjjj" localSheetId="15">'[2]List Data'!#REF!</definedName>
    <definedName name="ooobbjjjjj" localSheetId="7">'[2]List Data'!#REF!</definedName>
    <definedName name="ooobbjjjjj" localSheetId="8">'[2]List Data'!#REF!</definedName>
    <definedName name="ooobbjjjjj" localSheetId="30">'[2]List Data'!#REF!</definedName>
    <definedName name="ooobbjjjjj" localSheetId="11">'[2]List Data'!#REF!</definedName>
    <definedName name="ooobbjjjjj">'[2]List Data'!#REF!</definedName>
    <definedName name="oooobbbjjj" localSheetId="29">'[2]List Data'!#REF!</definedName>
    <definedName name="oooobbbjjj" localSheetId="28">'[2]List Data'!#REF!</definedName>
    <definedName name="oooobbbjjj" localSheetId="20">'[2]List Data'!#REF!</definedName>
    <definedName name="oooobbbjjj" localSheetId="19">'[2]List Data'!#REF!</definedName>
    <definedName name="oooobbbjjj" localSheetId="18">'[2]List Data'!#REF!</definedName>
    <definedName name="oooobbbjjj" localSheetId="17">'[2]List Data'!#REF!</definedName>
    <definedName name="oooobbbjjj" localSheetId="15">'[2]List Data'!#REF!</definedName>
    <definedName name="oooobbbjjj" localSheetId="7">'[2]List Data'!#REF!</definedName>
    <definedName name="oooobbbjjj" localSheetId="8">'[2]List Data'!#REF!</definedName>
    <definedName name="oooobbbjjj" localSheetId="30">'[2]List Data'!#REF!</definedName>
    <definedName name="oooobbbjjj" localSheetId="11">'[2]List Data'!#REF!</definedName>
    <definedName name="oooobbbjjj">'[2]List Data'!#REF!</definedName>
    <definedName name="_xlnm.Print_Area" localSheetId="29">#REF!,'Capacity Buttons'!#REF!,'Capacity Buttons'!#REF!,'Capacity Buttons'!#REF!,'Capacity Buttons'!#REF!,'Capacity Buttons'!#REF!,'Capacity Buttons'!#REF!,'Capacity Buttons'!#REF!</definedName>
    <definedName name="_xlnm.Print_Area" localSheetId="28">#REF!,'Caseload Buttons'!#REF!,'Caseload Buttons'!#REF!,'Caseload Buttons'!#REF!,'Caseload Buttons'!#REF!,'Caseload Buttons'!#REF!,'Caseload Buttons'!#REF!,'Caseload Buttons'!#REF!</definedName>
    <definedName name="_xlnm.Print_Area" localSheetId="27">'div &amp; regional reduction hours'!$B$1:$N$18</definedName>
    <definedName name="_xlnm.Print_Area" localSheetId="21">'divisional &amp; regional capacity'!$B$1:$F$17</definedName>
    <definedName name="_xlnm.Print_Area" localSheetId="0">home!$A$1:$Q$28</definedName>
    <definedName name="_xlnm.Print_Area" localSheetId="30">#REF!,'Reductions Buttons'!#REF!,'Reductions Buttons'!#REF!,'Reductions Buttons'!#REF!,'Reductions Buttons'!#REF!,'Reductions Buttons'!#REF!,'Reductions Buttons'!#REF!,'Reductions Buttons'!#REF!</definedName>
    <definedName name="QtrRange" localSheetId="29">#REF!</definedName>
    <definedName name="QtrRange" localSheetId="2">#REF!</definedName>
    <definedName name="QtrRange" localSheetId="28">#REF!</definedName>
    <definedName name="QtrRange" localSheetId="16">#REF!</definedName>
    <definedName name="QtrRange" localSheetId="22">#REF!</definedName>
    <definedName name="QtrRange" localSheetId="26">#REF!</definedName>
    <definedName name="QtrRange" localSheetId="20">#REF!</definedName>
    <definedName name="QtrRange" localSheetId="19">#REF!</definedName>
    <definedName name="QtrRange" localSheetId="18">#REF!</definedName>
    <definedName name="QtrRange" localSheetId="17">#REF!</definedName>
    <definedName name="QtrRange" localSheetId="27">#REF!</definedName>
    <definedName name="QtrRange" localSheetId="21">#REF!</definedName>
    <definedName name="QtrRange" localSheetId="15">#REF!</definedName>
    <definedName name="QtrRange" localSheetId="7">#REF!</definedName>
    <definedName name="QtrRange" localSheetId="8">#REF!</definedName>
    <definedName name="QtrRange" localSheetId="1">#REF!</definedName>
    <definedName name="QtrRange" localSheetId="25">#REF!</definedName>
    <definedName name="QtrRange" localSheetId="30">#REF!</definedName>
    <definedName name="QtrRange" localSheetId="4">#REF!</definedName>
    <definedName name="QtrRange" localSheetId="11">#REF!</definedName>
    <definedName name="QtrRange" localSheetId="24">#REF!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29">#REF!</definedName>
    <definedName name="Selection_LDUCluster" localSheetId="2">#REF!</definedName>
    <definedName name="Selection_LDUCluster" localSheetId="28">#REF!</definedName>
    <definedName name="Selection_LDUCluster" localSheetId="16">#REF!</definedName>
    <definedName name="Selection_LDUCluster" localSheetId="22">#REF!</definedName>
    <definedName name="Selection_LDUCluster" localSheetId="26">#REF!</definedName>
    <definedName name="Selection_LDUCluster" localSheetId="20">#REF!</definedName>
    <definedName name="Selection_LDUCluster" localSheetId="19">#REF!</definedName>
    <definedName name="Selection_LDUCluster" localSheetId="18">#REF!</definedName>
    <definedName name="Selection_LDUCluster" localSheetId="17">#REF!</definedName>
    <definedName name="Selection_LDUCluster" localSheetId="27">#REF!</definedName>
    <definedName name="Selection_LDUCluster" localSheetId="21">#REF!</definedName>
    <definedName name="Selection_LDUCluster" localSheetId="15">#REF!</definedName>
    <definedName name="Selection_LDUCluster" localSheetId="7">#REF!</definedName>
    <definedName name="Selection_LDUCluster" localSheetId="8">#REF!</definedName>
    <definedName name="Selection_LDUCluster" localSheetId="1">#REF!</definedName>
    <definedName name="Selection_LDUCluster" localSheetId="25">#REF!</definedName>
    <definedName name="Selection_LDUCluster" localSheetId="30">#REF!</definedName>
    <definedName name="Selection_LDUCluster" localSheetId="4">#REF!</definedName>
    <definedName name="Selection_LDUCluster" localSheetId="11">#REF!</definedName>
    <definedName name="Selection_LDUCluster" localSheetId="24">#REF!</definedName>
    <definedName name="Selection_LDUCluster">#REF!</definedName>
    <definedName name="Selection_Metric" localSheetId="29">#REF!</definedName>
    <definedName name="Selection_Metric" localSheetId="2">#REF!</definedName>
    <definedName name="Selection_Metric" localSheetId="28">#REF!</definedName>
    <definedName name="Selection_Metric" localSheetId="16">#REF!</definedName>
    <definedName name="Selection_Metric" localSheetId="22">#REF!</definedName>
    <definedName name="Selection_Metric" localSheetId="26">#REF!</definedName>
    <definedName name="Selection_Metric" localSheetId="20">#REF!</definedName>
    <definedName name="Selection_Metric" localSheetId="19">#REF!</definedName>
    <definedName name="Selection_Metric" localSheetId="18">#REF!</definedName>
    <definedName name="Selection_Metric" localSheetId="17">#REF!</definedName>
    <definedName name="Selection_Metric" localSheetId="27">#REF!</definedName>
    <definedName name="Selection_Metric" localSheetId="21">#REF!</definedName>
    <definedName name="Selection_Metric" localSheetId="15">#REF!</definedName>
    <definedName name="Selection_Metric" localSheetId="7">#REF!</definedName>
    <definedName name="Selection_Metric" localSheetId="8">#REF!</definedName>
    <definedName name="Selection_Metric" localSheetId="1">#REF!</definedName>
    <definedName name="Selection_Metric" localSheetId="25">#REF!</definedName>
    <definedName name="Selection_Metric" localSheetId="30">#REF!</definedName>
    <definedName name="Selection_Metric" localSheetId="4">#REF!</definedName>
    <definedName name="Selection_Metric" localSheetId="11">#REF!</definedName>
    <definedName name="Selection_Metric" localSheetId="24">#REF!</definedName>
    <definedName name="Selection_Metric">#REF!</definedName>
    <definedName name="SL001Month" localSheetId="29">#REF!</definedName>
    <definedName name="SL001Month" localSheetId="2">#REF!</definedName>
    <definedName name="SL001Month" localSheetId="28">#REF!</definedName>
    <definedName name="SL001Month" localSheetId="16">#REF!</definedName>
    <definedName name="SL001Month" localSheetId="22">#REF!</definedName>
    <definedName name="SL001Month" localSheetId="26">#REF!</definedName>
    <definedName name="SL001Month" localSheetId="20">#REF!</definedName>
    <definedName name="SL001Month" localSheetId="19">#REF!</definedName>
    <definedName name="SL001Month" localSheetId="18">#REF!</definedName>
    <definedName name="SL001Month" localSheetId="17">#REF!</definedName>
    <definedName name="SL001Month" localSheetId="27">#REF!</definedName>
    <definedName name="SL001Month" localSheetId="21">#REF!</definedName>
    <definedName name="SL001Month" localSheetId="15">#REF!</definedName>
    <definedName name="SL001Month" localSheetId="7">#REF!</definedName>
    <definedName name="SL001Month" localSheetId="8">#REF!</definedName>
    <definedName name="SL001Month" localSheetId="1">#REF!</definedName>
    <definedName name="SL001Month" localSheetId="25">#REF!</definedName>
    <definedName name="SL001Month" localSheetId="30">#REF!</definedName>
    <definedName name="SL001Month" localSheetId="4">#REF!</definedName>
    <definedName name="SL001Month" localSheetId="11">#REF!</definedName>
    <definedName name="SL001Month" localSheetId="24">#REF!</definedName>
    <definedName name="SL001Month">#REF!</definedName>
    <definedName name="SL001Text" localSheetId="29">#REF!</definedName>
    <definedName name="SL001Text" localSheetId="2">#REF!</definedName>
    <definedName name="SL001Text" localSheetId="28">#REF!</definedName>
    <definedName name="SL001Text" localSheetId="16">#REF!</definedName>
    <definedName name="SL001Text" localSheetId="22">#REF!</definedName>
    <definedName name="SL001Text" localSheetId="26">#REF!</definedName>
    <definedName name="SL001Text" localSheetId="20">#REF!</definedName>
    <definedName name="SL001Text" localSheetId="19">#REF!</definedName>
    <definedName name="SL001Text" localSheetId="18">#REF!</definedName>
    <definedName name="SL001Text" localSheetId="17">#REF!</definedName>
    <definedName name="SL001Text" localSheetId="27">#REF!</definedName>
    <definedName name="SL001Text" localSheetId="21">#REF!</definedName>
    <definedName name="SL001Text" localSheetId="15">#REF!</definedName>
    <definedName name="SL001Text" localSheetId="7">#REF!</definedName>
    <definedName name="SL001Text" localSheetId="8">#REF!</definedName>
    <definedName name="SL001Text" localSheetId="1">#REF!</definedName>
    <definedName name="SL001Text" localSheetId="25">#REF!</definedName>
    <definedName name="SL001Text" localSheetId="30">#REF!</definedName>
    <definedName name="SL001Text" localSheetId="4">#REF!</definedName>
    <definedName name="SL001Text" localSheetId="11">#REF!</definedName>
    <definedName name="SL001Text" localSheetId="24">#REF!</definedName>
    <definedName name="SL001Text">#REF!</definedName>
    <definedName name="SL001Title" localSheetId="29">#REF!</definedName>
    <definedName name="SL001Title" localSheetId="2">#REF!</definedName>
    <definedName name="SL001Title" localSheetId="28">#REF!</definedName>
    <definedName name="SL001Title" localSheetId="16">#REF!</definedName>
    <definedName name="SL001Title" localSheetId="22">#REF!</definedName>
    <definedName name="SL001Title" localSheetId="26">#REF!</definedName>
    <definedName name="SL001Title" localSheetId="20">#REF!</definedName>
    <definedName name="SL001Title" localSheetId="19">#REF!</definedName>
    <definedName name="SL001Title" localSheetId="18">#REF!</definedName>
    <definedName name="SL001Title" localSheetId="17">#REF!</definedName>
    <definedName name="SL001Title" localSheetId="27">#REF!</definedName>
    <definedName name="SL001Title" localSheetId="21">#REF!</definedName>
    <definedName name="SL001Title" localSheetId="15">#REF!</definedName>
    <definedName name="SL001Title" localSheetId="7">#REF!</definedName>
    <definedName name="SL001Title" localSheetId="8">#REF!</definedName>
    <definedName name="SL001Title" localSheetId="1">#REF!</definedName>
    <definedName name="SL001Title" localSheetId="25">#REF!</definedName>
    <definedName name="SL001Title" localSheetId="30">#REF!</definedName>
    <definedName name="SL001Title" localSheetId="4">#REF!</definedName>
    <definedName name="SL001Title" localSheetId="11">#REF!</definedName>
    <definedName name="SL001Title" localSheetId="24">#REF!</definedName>
    <definedName name="SL001Title">#REF!</definedName>
    <definedName name="SL001YTD" localSheetId="29">#REF!</definedName>
    <definedName name="SL001YTD" localSheetId="2">#REF!</definedName>
    <definedName name="SL001YTD" localSheetId="28">#REF!</definedName>
    <definedName name="SL001YTD" localSheetId="16">#REF!</definedName>
    <definedName name="SL001YTD" localSheetId="22">#REF!</definedName>
    <definedName name="SL001YTD" localSheetId="26">#REF!</definedName>
    <definedName name="SL001YTD" localSheetId="20">#REF!</definedName>
    <definedName name="SL001YTD" localSheetId="19">#REF!</definedName>
    <definedName name="SL001YTD" localSheetId="18">#REF!</definedName>
    <definedName name="SL001YTD" localSheetId="17">#REF!</definedName>
    <definedName name="SL001YTD" localSheetId="27">#REF!</definedName>
    <definedName name="SL001YTD" localSheetId="21">#REF!</definedName>
    <definedName name="SL001YTD" localSheetId="15">#REF!</definedName>
    <definedName name="SL001YTD" localSheetId="7">#REF!</definedName>
    <definedName name="SL001YTD" localSheetId="8">#REF!</definedName>
    <definedName name="SL001YTD" localSheetId="1">#REF!</definedName>
    <definedName name="SL001YTD" localSheetId="25">#REF!</definedName>
    <definedName name="SL001YTD" localSheetId="30">#REF!</definedName>
    <definedName name="SL001YTD" localSheetId="4">#REF!</definedName>
    <definedName name="SL001YTD" localSheetId="11">#REF!</definedName>
    <definedName name="SL001YTD" localSheetId="24">#REF!</definedName>
    <definedName name="SL001YTD">#REF!</definedName>
    <definedName name="SL002AMonth" localSheetId="29">#REF!</definedName>
    <definedName name="SL002AMonth" localSheetId="2">#REF!</definedName>
    <definedName name="SL002AMonth" localSheetId="28">#REF!</definedName>
    <definedName name="SL002AMonth" localSheetId="16">#REF!</definedName>
    <definedName name="SL002AMonth" localSheetId="22">#REF!</definedName>
    <definedName name="SL002AMonth" localSheetId="26">#REF!</definedName>
    <definedName name="SL002AMonth" localSheetId="20">#REF!</definedName>
    <definedName name="SL002AMonth" localSheetId="19">#REF!</definedName>
    <definedName name="SL002AMonth" localSheetId="18">#REF!</definedName>
    <definedName name="SL002AMonth" localSheetId="17">#REF!</definedName>
    <definedName name="SL002AMonth" localSheetId="27">#REF!</definedName>
    <definedName name="SL002AMonth" localSheetId="21">#REF!</definedName>
    <definedName name="SL002AMonth" localSheetId="15">#REF!</definedName>
    <definedName name="SL002AMonth" localSheetId="7">#REF!</definedName>
    <definedName name="SL002AMonth" localSheetId="8">#REF!</definedName>
    <definedName name="SL002AMonth" localSheetId="1">#REF!</definedName>
    <definedName name="SL002AMonth" localSheetId="25">#REF!</definedName>
    <definedName name="SL002AMonth" localSheetId="30">#REF!</definedName>
    <definedName name="SL002AMonth" localSheetId="4">#REF!</definedName>
    <definedName name="SL002AMonth" localSheetId="11">#REF!</definedName>
    <definedName name="SL002AMonth" localSheetId="24">#REF!</definedName>
    <definedName name="SL002AMonth">#REF!</definedName>
    <definedName name="SL002AText" localSheetId="29">#REF!</definedName>
    <definedName name="SL002AText" localSheetId="2">#REF!</definedName>
    <definedName name="SL002AText" localSheetId="28">#REF!</definedName>
    <definedName name="SL002AText" localSheetId="16">#REF!</definedName>
    <definedName name="SL002AText" localSheetId="22">#REF!</definedName>
    <definedName name="SL002AText" localSheetId="26">#REF!</definedName>
    <definedName name="SL002AText" localSheetId="20">#REF!</definedName>
    <definedName name="SL002AText" localSheetId="19">#REF!</definedName>
    <definedName name="SL002AText" localSheetId="18">#REF!</definedName>
    <definedName name="SL002AText" localSheetId="17">#REF!</definedName>
    <definedName name="SL002AText" localSheetId="27">#REF!</definedName>
    <definedName name="SL002AText" localSheetId="21">#REF!</definedName>
    <definedName name="SL002AText" localSheetId="15">#REF!</definedName>
    <definedName name="SL002AText" localSheetId="7">#REF!</definedName>
    <definedName name="SL002AText" localSheetId="8">#REF!</definedName>
    <definedName name="SL002AText" localSheetId="1">#REF!</definedName>
    <definedName name="SL002AText" localSheetId="25">#REF!</definedName>
    <definedName name="SL002AText" localSheetId="30">#REF!</definedName>
    <definedName name="SL002AText" localSheetId="4">#REF!</definedName>
    <definedName name="SL002AText" localSheetId="11">#REF!</definedName>
    <definedName name="SL002AText" localSheetId="24">#REF!</definedName>
    <definedName name="SL002AText">#REF!</definedName>
    <definedName name="SL002ATitle" localSheetId="29">#REF!</definedName>
    <definedName name="SL002ATitle" localSheetId="2">#REF!</definedName>
    <definedName name="SL002ATitle" localSheetId="28">#REF!</definedName>
    <definedName name="SL002ATitle" localSheetId="16">#REF!</definedName>
    <definedName name="SL002ATitle" localSheetId="22">#REF!</definedName>
    <definedName name="SL002ATitle" localSheetId="26">#REF!</definedName>
    <definedName name="SL002ATitle" localSheetId="20">#REF!</definedName>
    <definedName name="SL002ATitle" localSheetId="19">#REF!</definedName>
    <definedName name="SL002ATitle" localSheetId="18">#REF!</definedName>
    <definedName name="SL002ATitle" localSheetId="17">#REF!</definedName>
    <definedName name="SL002ATitle" localSheetId="27">#REF!</definedName>
    <definedName name="SL002ATitle" localSheetId="21">#REF!</definedName>
    <definedName name="SL002ATitle" localSheetId="15">#REF!</definedName>
    <definedName name="SL002ATitle" localSheetId="7">#REF!</definedName>
    <definedName name="SL002ATitle" localSheetId="8">#REF!</definedName>
    <definedName name="SL002ATitle" localSheetId="1">#REF!</definedName>
    <definedName name="SL002ATitle" localSheetId="25">#REF!</definedName>
    <definedName name="SL002ATitle" localSheetId="30">#REF!</definedName>
    <definedName name="SL002ATitle" localSheetId="4">#REF!</definedName>
    <definedName name="SL002ATitle" localSheetId="11">#REF!</definedName>
    <definedName name="SL002ATitle" localSheetId="24">#REF!</definedName>
    <definedName name="SL002ATitle">#REF!</definedName>
    <definedName name="SL002AYTD" localSheetId="29">#REF!</definedName>
    <definedName name="SL002AYTD" localSheetId="2">#REF!</definedName>
    <definedName name="SL002AYTD" localSheetId="28">#REF!</definedName>
    <definedName name="SL002AYTD" localSheetId="16">#REF!</definedName>
    <definedName name="SL002AYTD" localSheetId="22">#REF!</definedName>
    <definedName name="SL002AYTD" localSheetId="26">#REF!</definedName>
    <definedName name="SL002AYTD" localSheetId="20">#REF!</definedName>
    <definedName name="SL002AYTD" localSheetId="19">#REF!</definedName>
    <definedName name="SL002AYTD" localSheetId="18">#REF!</definedName>
    <definedName name="SL002AYTD" localSheetId="17">#REF!</definedName>
    <definedName name="SL002AYTD" localSheetId="27">#REF!</definedName>
    <definedName name="SL002AYTD" localSheetId="21">#REF!</definedName>
    <definedName name="SL002AYTD" localSheetId="15">#REF!</definedName>
    <definedName name="SL002AYTD" localSheetId="7">#REF!</definedName>
    <definedName name="SL002AYTD" localSheetId="8">#REF!</definedName>
    <definedName name="SL002AYTD" localSheetId="1">#REF!</definedName>
    <definedName name="SL002AYTD" localSheetId="25">#REF!</definedName>
    <definedName name="SL002AYTD" localSheetId="30">#REF!</definedName>
    <definedName name="SL002AYTD" localSheetId="4">#REF!</definedName>
    <definedName name="SL002AYTD" localSheetId="11">#REF!</definedName>
    <definedName name="SL002AYTD" localSheetId="24">#REF!</definedName>
    <definedName name="SL002AYTD">#REF!</definedName>
    <definedName name="SL002BMonth" localSheetId="29">#REF!</definedName>
    <definedName name="SL002BMonth" localSheetId="2">#REF!</definedName>
    <definedName name="SL002BMonth" localSheetId="28">#REF!</definedName>
    <definedName name="SL002BMonth" localSheetId="16">#REF!</definedName>
    <definedName name="SL002BMonth" localSheetId="22">#REF!</definedName>
    <definedName name="SL002BMonth" localSheetId="26">#REF!</definedName>
    <definedName name="SL002BMonth" localSheetId="20">#REF!</definedName>
    <definedName name="SL002BMonth" localSheetId="19">#REF!</definedName>
    <definedName name="SL002BMonth" localSheetId="18">#REF!</definedName>
    <definedName name="SL002BMonth" localSheetId="17">#REF!</definedName>
    <definedName name="SL002BMonth" localSheetId="27">#REF!</definedName>
    <definedName name="SL002BMonth" localSheetId="21">#REF!</definedName>
    <definedName name="SL002BMonth" localSheetId="15">#REF!</definedName>
    <definedName name="SL002BMonth" localSheetId="7">#REF!</definedName>
    <definedName name="SL002BMonth" localSheetId="8">#REF!</definedName>
    <definedName name="SL002BMonth" localSheetId="1">#REF!</definedName>
    <definedName name="SL002BMonth" localSheetId="25">#REF!</definedName>
    <definedName name="SL002BMonth" localSheetId="30">#REF!</definedName>
    <definedName name="SL002BMonth" localSheetId="4">#REF!</definedName>
    <definedName name="SL002BMonth" localSheetId="11">#REF!</definedName>
    <definedName name="SL002BMonth" localSheetId="24">#REF!</definedName>
    <definedName name="SL002BMonth">#REF!</definedName>
    <definedName name="SL002BText" localSheetId="29">#REF!</definedName>
    <definedName name="SL002BText" localSheetId="2">#REF!</definedName>
    <definedName name="SL002BText" localSheetId="28">#REF!</definedName>
    <definedName name="SL002BText" localSheetId="16">#REF!</definedName>
    <definedName name="SL002BText" localSheetId="22">#REF!</definedName>
    <definedName name="SL002BText" localSheetId="26">#REF!</definedName>
    <definedName name="SL002BText" localSheetId="20">#REF!</definedName>
    <definedName name="SL002BText" localSheetId="19">#REF!</definedName>
    <definedName name="SL002BText" localSheetId="18">#REF!</definedName>
    <definedName name="SL002BText" localSheetId="17">#REF!</definedName>
    <definedName name="SL002BText" localSheetId="27">#REF!</definedName>
    <definedName name="SL002BText" localSheetId="21">#REF!</definedName>
    <definedName name="SL002BText" localSheetId="15">#REF!</definedName>
    <definedName name="SL002BText" localSheetId="7">#REF!</definedName>
    <definedName name="SL002BText" localSheetId="8">#REF!</definedName>
    <definedName name="SL002BText" localSheetId="1">#REF!</definedName>
    <definedName name="SL002BText" localSheetId="25">#REF!</definedName>
    <definedName name="SL002BText" localSheetId="30">#REF!</definedName>
    <definedName name="SL002BText" localSheetId="4">#REF!</definedName>
    <definedName name="SL002BText" localSheetId="11">#REF!</definedName>
    <definedName name="SL002BText" localSheetId="24">#REF!</definedName>
    <definedName name="SL002BText">#REF!</definedName>
    <definedName name="SL002BTitle" localSheetId="29">#REF!</definedName>
    <definedName name="SL002BTitle" localSheetId="2">#REF!</definedName>
    <definedName name="SL002BTitle" localSheetId="28">#REF!</definedName>
    <definedName name="SL002BTitle" localSheetId="16">#REF!</definedName>
    <definedName name="SL002BTitle" localSheetId="22">#REF!</definedName>
    <definedName name="SL002BTitle" localSheetId="26">#REF!</definedName>
    <definedName name="SL002BTitle" localSheetId="20">#REF!</definedName>
    <definedName name="SL002BTitle" localSheetId="19">#REF!</definedName>
    <definedName name="SL002BTitle" localSheetId="18">#REF!</definedName>
    <definedName name="SL002BTitle" localSheetId="17">#REF!</definedName>
    <definedName name="SL002BTitle" localSheetId="27">#REF!</definedName>
    <definedName name="SL002BTitle" localSheetId="21">#REF!</definedName>
    <definedName name="SL002BTitle" localSheetId="15">#REF!</definedName>
    <definedName name="SL002BTitle" localSheetId="7">#REF!</definedName>
    <definedName name="SL002BTitle" localSheetId="8">#REF!</definedName>
    <definedName name="SL002BTitle" localSheetId="1">#REF!</definedName>
    <definedName name="SL002BTitle" localSheetId="25">#REF!</definedName>
    <definedName name="SL002BTitle" localSheetId="30">#REF!</definedName>
    <definedName name="SL002BTitle" localSheetId="4">#REF!</definedName>
    <definedName name="SL002BTitle" localSheetId="11">#REF!</definedName>
    <definedName name="SL002BTitle" localSheetId="24">#REF!</definedName>
    <definedName name="SL002BTitle">#REF!</definedName>
    <definedName name="SL002BYTD" localSheetId="29">#REF!</definedName>
    <definedName name="SL002BYTD" localSheetId="2">#REF!</definedName>
    <definedName name="SL002BYTD" localSheetId="28">#REF!</definedName>
    <definedName name="SL002BYTD" localSheetId="16">#REF!</definedName>
    <definedName name="SL002BYTD" localSheetId="22">#REF!</definedName>
    <definedName name="SL002BYTD" localSheetId="26">#REF!</definedName>
    <definedName name="SL002BYTD" localSheetId="20">#REF!</definedName>
    <definedName name="SL002BYTD" localSheetId="19">#REF!</definedName>
    <definedName name="SL002BYTD" localSheetId="18">#REF!</definedName>
    <definedName name="SL002BYTD" localSheetId="17">#REF!</definedName>
    <definedName name="SL002BYTD" localSheetId="27">#REF!</definedName>
    <definedName name="SL002BYTD" localSheetId="21">#REF!</definedName>
    <definedName name="SL002BYTD" localSheetId="15">#REF!</definedName>
    <definedName name="SL002BYTD" localSheetId="7">#REF!</definedName>
    <definedName name="SL002BYTD" localSheetId="8">#REF!</definedName>
    <definedName name="SL002BYTD" localSheetId="1">#REF!</definedName>
    <definedName name="SL002BYTD" localSheetId="25">#REF!</definedName>
    <definedName name="SL002BYTD" localSheetId="30">#REF!</definedName>
    <definedName name="SL002BYTD" localSheetId="4">#REF!</definedName>
    <definedName name="SL002BYTD" localSheetId="11">#REF!</definedName>
    <definedName name="SL002BYTD" localSheetId="24">#REF!</definedName>
    <definedName name="SL002BYTD">#REF!</definedName>
    <definedName name="SL002Month" localSheetId="29">#REF!</definedName>
    <definedName name="SL002Month" localSheetId="2">#REF!</definedName>
    <definedName name="SL002Month" localSheetId="28">#REF!</definedName>
    <definedName name="SL002Month" localSheetId="16">#REF!</definedName>
    <definedName name="SL002Month" localSheetId="22">#REF!</definedName>
    <definedName name="SL002Month" localSheetId="26">#REF!</definedName>
    <definedName name="SL002Month" localSheetId="20">#REF!</definedName>
    <definedName name="SL002Month" localSheetId="19">#REF!</definedName>
    <definedName name="SL002Month" localSheetId="18">#REF!</definedName>
    <definedName name="SL002Month" localSheetId="17">#REF!</definedName>
    <definedName name="SL002Month" localSheetId="27">#REF!</definedName>
    <definedName name="SL002Month" localSheetId="21">#REF!</definedName>
    <definedName name="SL002Month" localSheetId="15">#REF!</definedName>
    <definedName name="SL002Month" localSheetId="7">#REF!</definedName>
    <definedName name="SL002Month" localSheetId="8">#REF!</definedName>
    <definedName name="SL002Month" localSheetId="1">#REF!</definedName>
    <definedName name="SL002Month" localSheetId="25">#REF!</definedName>
    <definedName name="SL002Month" localSheetId="30">#REF!</definedName>
    <definedName name="SL002Month" localSheetId="4">#REF!</definedName>
    <definedName name="SL002Month" localSheetId="11">#REF!</definedName>
    <definedName name="SL002Month" localSheetId="24">#REF!</definedName>
    <definedName name="SL002Month">#REF!</definedName>
    <definedName name="SL002Text" localSheetId="29">#REF!</definedName>
    <definedName name="SL002Text" localSheetId="2">#REF!</definedName>
    <definedName name="SL002Text" localSheetId="28">#REF!</definedName>
    <definedName name="SL002Text" localSheetId="16">#REF!</definedName>
    <definedName name="SL002Text" localSheetId="22">#REF!</definedName>
    <definedName name="SL002Text" localSheetId="26">#REF!</definedName>
    <definedName name="SL002Text" localSheetId="20">#REF!</definedName>
    <definedName name="SL002Text" localSheetId="19">#REF!</definedName>
    <definedName name="SL002Text" localSheetId="18">#REF!</definedName>
    <definedName name="SL002Text" localSheetId="17">#REF!</definedName>
    <definedName name="SL002Text" localSheetId="27">#REF!</definedName>
    <definedName name="SL002Text" localSheetId="21">#REF!</definedName>
    <definedName name="SL002Text" localSheetId="15">#REF!</definedName>
    <definedName name="SL002Text" localSheetId="7">#REF!</definedName>
    <definedName name="SL002Text" localSheetId="8">#REF!</definedName>
    <definedName name="SL002Text" localSheetId="1">#REF!</definedName>
    <definedName name="SL002Text" localSheetId="25">#REF!</definedName>
    <definedName name="SL002Text" localSheetId="30">#REF!</definedName>
    <definedName name="SL002Text" localSheetId="4">#REF!</definedName>
    <definedName name="SL002Text" localSheetId="11">#REF!</definedName>
    <definedName name="SL002Text" localSheetId="24">#REF!</definedName>
    <definedName name="SL002Text">#REF!</definedName>
    <definedName name="SL002Title" localSheetId="29">#REF!</definedName>
    <definedName name="SL002Title" localSheetId="2">#REF!</definedName>
    <definedName name="SL002Title" localSheetId="28">#REF!</definedName>
    <definedName name="SL002Title" localSheetId="16">#REF!</definedName>
    <definedName name="SL002Title" localSheetId="22">#REF!</definedName>
    <definedName name="SL002Title" localSheetId="26">#REF!</definedName>
    <definedName name="SL002Title" localSheetId="20">#REF!</definedName>
    <definedName name="SL002Title" localSheetId="19">#REF!</definedName>
    <definedName name="SL002Title" localSheetId="18">#REF!</definedName>
    <definedName name="SL002Title" localSheetId="17">#REF!</definedName>
    <definedName name="SL002Title" localSheetId="27">#REF!</definedName>
    <definedName name="SL002Title" localSheetId="21">#REF!</definedName>
    <definedName name="SL002Title" localSheetId="15">#REF!</definedName>
    <definedName name="SL002Title" localSheetId="7">#REF!</definedName>
    <definedName name="SL002Title" localSheetId="8">#REF!</definedName>
    <definedName name="SL002Title" localSheetId="1">#REF!</definedName>
    <definedName name="SL002Title" localSheetId="25">#REF!</definedName>
    <definedName name="SL002Title" localSheetId="30">#REF!</definedName>
    <definedName name="SL002Title" localSheetId="4">#REF!</definedName>
    <definedName name="SL002Title" localSheetId="11">#REF!</definedName>
    <definedName name="SL002Title" localSheetId="24">#REF!</definedName>
    <definedName name="SL002Title">#REF!</definedName>
    <definedName name="SL002YTD" localSheetId="29">#REF!</definedName>
    <definedName name="SL002YTD" localSheetId="2">#REF!</definedName>
    <definedName name="SL002YTD" localSheetId="28">#REF!</definedName>
    <definedName name="SL002YTD" localSheetId="16">#REF!</definedName>
    <definedName name="SL002YTD" localSheetId="22">#REF!</definedName>
    <definedName name="SL002YTD" localSheetId="26">#REF!</definedName>
    <definedName name="SL002YTD" localSheetId="20">#REF!</definedName>
    <definedName name="SL002YTD" localSheetId="19">#REF!</definedName>
    <definedName name="SL002YTD" localSheetId="18">#REF!</definedName>
    <definedName name="SL002YTD" localSheetId="17">#REF!</definedName>
    <definedName name="SL002YTD" localSheetId="27">#REF!</definedName>
    <definedName name="SL002YTD" localSheetId="21">#REF!</definedName>
    <definedName name="SL002YTD" localSheetId="15">#REF!</definedName>
    <definedName name="SL002YTD" localSheetId="7">#REF!</definedName>
    <definedName name="SL002YTD" localSheetId="8">#REF!</definedName>
    <definedName name="SL002YTD" localSheetId="1">#REF!</definedName>
    <definedName name="SL002YTD" localSheetId="25">#REF!</definedName>
    <definedName name="SL002YTD" localSheetId="30">#REF!</definedName>
    <definedName name="SL002YTD" localSheetId="4">#REF!</definedName>
    <definedName name="SL002YTD" localSheetId="11">#REF!</definedName>
    <definedName name="SL002YTD" localSheetId="24">#REF!</definedName>
    <definedName name="SL002YTD">#REF!</definedName>
    <definedName name="SL003Month" localSheetId="29">#REF!</definedName>
    <definedName name="SL003Month" localSheetId="2">#REF!</definedName>
    <definedName name="SL003Month" localSheetId="28">#REF!</definedName>
    <definedName name="SL003Month" localSheetId="16">#REF!</definedName>
    <definedName name="SL003Month" localSheetId="22">#REF!</definedName>
    <definedName name="SL003Month" localSheetId="26">#REF!</definedName>
    <definedName name="SL003Month" localSheetId="20">#REF!</definedName>
    <definedName name="SL003Month" localSheetId="19">#REF!</definedName>
    <definedName name="SL003Month" localSheetId="18">#REF!</definedName>
    <definedName name="SL003Month" localSheetId="17">#REF!</definedName>
    <definedName name="SL003Month" localSheetId="27">#REF!</definedName>
    <definedName name="SL003Month" localSheetId="21">#REF!</definedName>
    <definedName name="SL003Month" localSheetId="15">#REF!</definedName>
    <definedName name="SL003Month" localSheetId="7">#REF!</definedName>
    <definedName name="SL003Month" localSheetId="8">#REF!</definedName>
    <definedName name="SL003Month" localSheetId="1">#REF!</definedName>
    <definedName name="SL003Month" localSheetId="25">#REF!</definedName>
    <definedName name="SL003Month" localSheetId="30">#REF!</definedName>
    <definedName name="SL003Month" localSheetId="4">#REF!</definedName>
    <definedName name="SL003Month" localSheetId="11">#REF!</definedName>
    <definedName name="SL003Month" localSheetId="24">#REF!</definedName>
    <definedName name="SL003Month">#REF!</definedName>
    <definedName name="SL003Text" localSheetId="29">#REF!</definedName>
    <definedName name="SL003Text" localSheetId="2">#REF!</definedName>
    <definedName name="SL003Text" localSheetId="28">#REF!</definedName>
    <definedName name="SL003Text" localSheetId="16">#REF!</definedName>
    <definedName name="SL003Text" localSheetId="22">#REF!</definedName>
    <definedName name="SL003Text" localSheetId="26">#REF!</definedName>
    <definedName name="SL003Text" localSheetId="20">#REF!</definedName>
    <definedName name="SL003Text" localSheetId="19">#REF!</definedName>
    <definedName name="SL003Text" localSheetId="18">#REF!</definedName>
    <definedName name="SL003Text" localSheetId="17">#REF!</definedName>
    <definedName name="SL003Text" localSheetId="27">#REF!</definedName>
    <definedName name="SL003Text" localSheetId="21">#REF!</definedName>
    <definedName name="SL003Text" localSheetId="15">#REF!</definedName>
    <definedName name="SL003Text" localSheetId="7">#REF!</definedName>
    <definedName name="SL003Text" localSheetId="8">#REF!</definedName>
    <definedName name="SL003Text" localSheetId="1">#REF!</definedName>
    <definedName name="SL003Text" localSheetId="25">#REF!</definedName>
    <definedName name="SL003Text" localSheetId="30">#REF!</definedName>
    <definedName name="SL003Text" localSheetId="4">#REF!</definedName>
    <definedName name="SL003Text" localSheetId="11">#REF!</definedName>
    <definedName name="SL003Text" localSheetId="24">#REF!</definedName>
    <definedName name="SL003Text">#REF!</definedName>
    <definedName name="SL003Title" localSheetId="29">#REF!</definedName>
    <definedName name="SL003Title" localSheetId="2">#REF!</definedName>
    <definedName name="SL003Title" localSheetId="28">#REF!</definedName>
    <definedName name="SL003Title" localSheetId="16">#REF!</definedName>
    <definedName name="SL003Title" localSheetId="22">#REF!</definedName>
    <definedName name="SL003Title" localSheetId="26">#REF!</definedName>
    <definedName name="SL003Title" localSheetId="20">#REF!</definedName>
    <definedName name="SL003Title" localSheetId="19">#REF!</definedName>
    <definedName name="SL003Title" localSheetId="18">#REF!</definedName>
    <definedName name="SL003Title" localSheetId="17">#REF!</definedName>
    <definedName name="SL003Title" localSheetId="27">#REF!</definedName>
    <definedName name="SL003Title" localSheetId="21">#REF!</definedName>
    <definedName name="SL003Title" localSheetId="15">#REF!</definedName>
    <definedName name="SL003Title" localSheetId="7">#REF!</definedName>
    <definedName name="SL003Title" localSheetId="8">#REF!</definedName>
    <definedName name="SL003Title" localSheetId="1">#REF!</definedName>
    <definedName name="SL003Title" localSheetId="25">#REF!</definedName>
    <definedName name="SL003Title" localSheetId="30">#REF!</definedName>
    <definedName name="SL003Title" localSheetId="4">#REF!</definedName>
    <definedName name="SL003Title" localSheetId="11">#REF!</definedName>
    <definedName name="SL003Title" localSheetId="24">#REF!</definedName>
    <definedName name="SL003Title">#REF!</definedName>
    <definedName name="SL003YTD" localSheetId="29">#REF!</definedName>
    <definedName name="SL003YTD" localSheetId="2">#REF!</definedName>
    <definedName name="SL003YTD" localSheetId="28">#REF!</definedName>
    <definedName name="SL003YTD" localSheetId="16">#REF!</definedName>
    <definedName name="SL003YTD" localSheetId="22">#REF!</definedName>
    <definedName name="SL003YTD" localSheetId="26">#REF!</definedName>
    <definedName name="SL003YTD" localSheetId="20">#REF!</definedName>
    <definedName name="SL003YTD" localSheetId="19">#REF!</definedName>
    <definedName name="SL003YTD" localSheetId="18">#REF!</definedName>
    <definedName name="SL003YTD" localSheetId="17">#REF!</definedName>
    <definedName name="SL003YTD" localSheetId="27">#REF!</definedName>
    <definedName name="SL003YTD" localSheetId="21">#REF!</definedName>
    <definedName name="SL003YTD" localSheetId="15">#REF!</definedName>
    <definedName name="SL003YTD" localSheetId="7">#REF!</definedName>
    <definedName name="SL003YTD" localSheetId="8">#REF!</definedName>
    <definedName name="SL003YTD" localSheetId="1">#REF!</definedName>
    <definedName name="SL003YTD" localSheetId="25">#REF!</definedName>
    <definedName name="SL003YTD" localSheetId="30">#REF!</definedName>
    <definedName name="SL003YTD" localSheetId="4">#REF!</definedName>
    <definedName name="SL003YTD" localSheetId="11">#REF!</definedName>
    <definedName name="SL003YTD" localSheetId="24">#REF!</definedName>
    <definedName name="SL003YTD">#REF!</definedName>
    <definedName name="SL004Month" localSheetId="29">#REF!</definedName>
    <definedName name="SL004Month" localSheetId="2">#REF!</definedName>
    <definedName name="SL004Month" localSheetId="28">#REF!</definedName>
    <definedName name="SL004Month" localSheetId="16">#REF!</definedName>
    <definedName name="SL004Month" localSheetId="22">#REF!</definedName>
    <definedName name="SL004Month" localSheetId="26">#REF!</definedName>
    <definedName name="SL004Month" localSheetId="20">#REF!</definedName>
    <definedName name="SL004Month" localSheetId="19">#REF!</definedName>
    <definedName name="SL004Month" localSheetId="18">#REF!</definedName>
    <definedName name="SL004Month" localSheetId="17">#REF!</definedName>
    <definedName name="SL004Month" localSheetId="27">#REF!</definedName>
    <definedName name="SL004Month" localSheetId="21">#REF!</definedName>
    <definedName name="SL004Month" localSheetId="15">#REF!</definedName>
    <definedName name="SL004Month" localSheetId="7">#REF!</definedName>
    <definedName name="SL004Month" localSheetId="8">#REF!</definedName>
    <definedName name="SL004Month" localSheetId="1">#REF!</definedName>
    <definedName name="SL004Month" localSheetId="25">#REF!</definedName>
    <definedName name="SL004Month" localSheetId="30">#REF!</definedName>
    <definedName name="SL004Month" localSheetId="4">#REF!</definedName>
    <definedName name="SL004Month" localSheetId="11">#REF!</definedName>
    <definedName name="SL004Month" localSheetId="24">#REF!</definedName>
    <definedName name="SL004Month">#REF!</definedName>
    <definedName name="SL004Text" localSheetId="29">#REF!</definedName>
    <definedName name="SL004Text" localSheetId="2">#REF!</definedName>
    <definedName name="SL004Text" localSheetId="28">#REF!</definedName>
    <definedName name="SL004Text" localSheetId="16">#REF!</definedName>
    <definedName name="SL004Text" localSheetId="22">#REF!</definedName>
    <definedName name="SL004Text" localSheetId="26">#REF!</definedName>
    <definedName name="SL004Text" localSheetId="20">#REF!</definedName>
    <definedName name="SL004Text" localSheetId="19">#REF!</definedName>
    <definedName name="SL004Text" localSheetId="18">#REF!</definedName>
    <definedName name="SL004Text" localSheetId="17">#REF!</definedName>
    <definedName name="SL004Text" localSheetId="27">#REF!</definedName>
    <definedName name="SL004Text" localSheetId="21">#REF!</definedName>
    <definedName name="SL004Text" localSheetId="15">#REF!</definedName>
    <definedName name="SL004Text" localSheetId="7">#REF!</definedName>
    <definedName name="SL004Text" localSheetId="8">#REF!</definedName>
    <definedName name="SL004Text" localSheetId="1">#REF!</definedName>
    <definedName name="SL004Text" localSheetId="25">#REF!</definedName>
    <definedName name="SL004Text" localSheetId="30">#REF!</definedName>
    <definedName name="SL004Text" localSheetId="4">#REF!</definedName>
    <definedName name="SL004Text" localSheetId="11">#REF!</definedName>
    <definedName name="SL004Text" localSheetId="24">#REF!</definedName>
    <definedName name="SL004Text">#REF!</definedName>
    <definedName name="SL004Title" localSheetId="29">#REF!</definedName>
    <definedName name="SL004Title" localSheetId="2">#REF!</definedName>
    <definedName name="SL004Title" localSheetId="28">#REF!</definedName>
    <definedName name="SL004Title" localSheetId="16">#REF!</definedName>
    <definedName name="SL004Title" localSheetId="22">#REF!</definedName>
    <definedName name="SL004Title" localSheetId="26">#REF!</definedName>
    <definedName name="SL004Title" localSheetId="20">#REF!</definedName>
    <definedName name="SL004Title" localSheetId="19">#REF!</definedName>
    <definedName name="SL004Title" localSheetId="18">#REF!</definedName>
    <definedName name="SL004Title" localSheetId="17">#REF!</definedName>
    <definedName name="SL004Title" localSheetId="27">#REF!</definedName>
    <definedName name="SL004Title" localSheetId="21">#REF!</definedName>
    <definedName name="SL004Title" localSheetId="15">#REF!</definedName>
    <definedName name="SL004Title" localSheetId="7">#REF!</definedName>
    <definedName name="SL004Title" localSheetId="8">#REF!</definedName>
    <definedName name="SL004Title" localSheetId="1">#REF!</definedName>
    <definedName name="SL004Title" localSheetId="25">#REF!</definedName>
    <definedName name="SL004Title" localSheetId="30">#REF!</definedName>
    <definedName name="SL004Title" localSheetId="4">#REF!</definedName>
    <definedName name="SL004Title" localSheetId="11">#REF!</definedName>
    <definedName name="SL004Title" localSheetId="24">#REF!</definedName>
    <definedName name="SL004Title">#REF!</definedName>
    <definedName name="SL004YTD" localSheetId="29">#REF!</definedName>
    <definedName name="SL004YTD" localSheetId="2">#REF!</definedName>
    <definedName name="SL004YTD" localSheetId="28">#REF!</definedName>
    <definedName name="SL004YTD" localSheetId="16">#REF!</definedName>
    <definedName name="SL004YTD" localSheetId="22">#REF!</definedName>
    <definedName name="SL004YTD" localSheetId="26">#REF!</definedName>
    <definedName name="SL004YTD" localSheetId="20">#REF!</definedName>
    <definedName name="SL004YTD" localSheetId="19">#REF!</definedName>
    <definedName name="SL004YTD" localSheetId="18">#REF!</definedName>
    <definedName name="SL004YTD" localSheetId="17">#REF!</definedName>
    <definedName name="SL004YTD" localSheetId="27">#REF!</definedName>
    <definedName name="SL004YTD" localSheetId="21">#REF!</definedName>
    <definedName name="SL004YTD" localSheetId="15">#REF!</definedName>
    <definedName name="SL004YTD" localSheetId="7">#REF!</definedName>
    <definedName name="SL004YTD" localSheetId="8">#REF!</definedName>
    <definedName name="SL004YTD" localSheetId="1">#REF!</definedName>
    <definedName name="SL004YTD" localSheetId="25">#REF!</definedName>
    <definedName name="SL004YTD" localSheetId="30">#REF!</definedName>
    <definedName name="SL004YTD" localSheetId="4">#REF!</definedName>
    <definedName name="SL004YTD" localSheetId="11">#REF!</definedName>
    <definedName name="SL004YTD" localSheetId="24">#REF!</definedName>
    <definedName name="SL004YTD">#REF!</definedName>
    <definedName name="SL005Month" localSheetId="29">#REF!</definedName>
    <definedName name="SL005Month" localSheetId="2">#REF!</definedName>
    <definedName name="SL005Month" localSheetId="28">#REF!</definedName>
    <definedName name="SL005Month" localSheetId="16">#REF!</definedName>
    <definedName name="SL005Month" localSheetId="22">#REF!</definedName>
    <definedName name="SL005Month" localSheetId="26">#REF!</definedName>
    <definedName name="SL005Month" localSheetId="20">#REF!</definedName>
    <definedName name="SL005Month" localSheetId="19">#REF!</definedName>
    <definedName name="SL005Month" localSheetId="18">#REF!</definedName>
    <definedName name="SL005Month" localSheetId="17">#REF!</definedName>
    <definedName name="SL005Month" localSheetId="27">#REF!</definedName>
    <definedName name="SL005Month" localSheetId="21">#REF!</definedName>
    <definedName name="SL005Month" localSheetId="15">#REF!</definedName>
    <definedName name="SL005Month" localSheetId="7">#REF!</definedName>
    <definedName name="SL005Month" localSheetId="8">#REF!</definedName>
    <definedName name="SL005Month" localSheetId="1">#REF!</definedName>
    <definedName name="SL005Month" localSheetId="25">#REF!</definedName>
    <definedName name="SL005Month" localSheetId="30">#REF!</definedName>
    <definedName name="SL005Month" localSheetId="4">#REF!</definedName>
    <definedName name="SL005Month" localSheetId="11">#REF!</definedName>
    <definedName name="SL005Month" localSheetId="24">#REF!</definedName>
    <definedName name="SL005Month">#REF!</definedName>
    <definedName name="SL005Text" localSheetId="29">#REF!</definedName>
    <definedName name="SL005Text" localSheetId="2">#REF!</definedName>
    <definedName name="SL005Text" localSheetId="28">#REF!</definedName>
    <definedName name="SL005Text" localSheetId="16">#REF!</definedName>
    <definedName name="SL005Text" localSheetId="22">#REF!</definedName>
    <definedName name="SL005Text" localSheetId="26">#REF!</definedName>
    <definedName name="SL005Text" localSheetId="20">#REF!</definedName>
    <definedName name="SL005Text" localSheetId="19">#REF!</definedName>
    <definedName name="SL005Text" localSheetId="18">#REF!</definedName>
    <definedName name="SL005Text" localSheetId="17">#REF!</definedName>
    <definedName name="SL005Text" localSheetId="27">#REF!</definedName>
    <definedName name="SL005Text" localSheetId="21">#REF!</definedName>
    <definedName name="SL005Text" localSheetId="15">#REF!</definedName>
    <definedName name="SL005Text" localSheetId="7">#REF!</definedName>
    <definedName name="SL005Text" localSheetId="8">#REF!</definedName>
    <definedName name="SL005Text" localSheetId="1">#REF!</definedName>
    <definedName name="SL005Text" localSheetId="25">#REF!</definedName>
    <definedName name="SL005Text" localSheetId="30">#REF!</definedName>
    <definedName name="SL005Text" localSheetId="4">#REF!</definedName>
    <definedName name="SL005Text" localSheetId="11">#REF!</definedName>
    <definedName name="SL005Text" localSheetId="24">#REF!</definedName>
    <definedName name="SL005Text">#REF!</definedName>
    <definedName name="SL005Title" localSheetId="29">#REF!</definedName>
    <definedName name="SL005Title" localSheetId="2">#REF!</definedName>
    <definedName name="SL005Title" localSheetId="28">#REF!</definedName>
    <definedName name="SL005Title" localSheetId="16">#REF!</definedName>
    <definedName name="SL005Title" localSheetId="22">#REF!</definedName>
    <definedName name="SL005Title" localSheetId="26">#REF!</definedName>
    <definedName name="SL005Title" localSheetId="20">#REF!</definedName>
    <definedName name="SL005Title" localSheetId="19">#REF!</definedName>
    <definedName name="SL005Title" localSheetId="18">#REF!</definedName>
    <definedName name="SL005Title" localSheetId="17">#REF!</definedName>
    <definedName name="SL005Title" localSheetId="27">#REF!</definedName>
    <definedName name="SL005Title" localSheetId="21">#REF!</definedName>
    <definedName name="SL005Title" localSheetId="15">#REF!</definedName>
    <definedName name="SL005Title" localSheetId="7">#REF!</definedName>
    <definedName name="SL005Title" localSheetId="8">#REF!</definedName>
    <definedName name="SL005Title" localSheetId="1">#REF!</definedName>
    <definedName name="SL005Title" localSheetId="25">#REF!</definedName>
    <definedName name="SL005Title" localSheetId="30">#REF!</definedName>
    <definedName name="SL005Title" localSheetId="4">#REF!</definedName>
    <definedName name="SL005Title" localSheetId="11">#REF!</definedName>
    <definedName name="SL005Title" localSheetId="24">#REF!</definedName>
    <definedName name="SL005Title">#REF!</definedName>
    <definedName name="SL005YTD" localSheetId="29">#REF!</definedName>
    <definedName name="SL005YTD" localSheetId="2">#REF!</definedName>
    <definedName name="SL005YTD" localSheetId="28">#REF!</definedName>
    <definedName name="SL005YTD" localSheetId="16">#REF!</definedName>
    <definedName name="SL005YTD" localSheetId="22">#REF!</definedName>
    <definedName name="SL005YTD" localSheetId="26">#REF!</definedName>
    <definedName name="SL005YTD" localSheetId="20">#REF!</definedName>
    <definedName name="SL005YTD" localSheetId="19">#REF!</definedName>
    <definedName name="SL005YTD" localSheetId="18">#REF!</definedName>
    <definedName name="SL005YTD" localSheetId="17">#REF!</definedName>
    <definedName name="SL005YTD" localSheetId="27">#REF!</definedName>
    <definedName name="SL005YTD" localSheetId="21">#REF!</definedName>
    <definedName name="SL005YTD" localSheetId="15">#REF!</definedName>
    <definedName name="SL005YTD" localSheetId="7">#REF!</definedName>
    <definedName name="SL005YTD" localSheetId="8">#REF!</definedName>
    <definedName name="SL005YTD" localSheetId="1">#REF!</definedName>
    <definedName name="SL005YTD" localSheetId="25">#REF!</definedName>
    <definedName name="SL005YTD" localSheetId="30">#REF!</definedName>
    <definedName name="SL005YTD" localSheetId="4">#REF!</definedName>
    <definedName name="SL005YTD" localSheetId="11">#REF!</definedName>
    <definedName name="SL005YTD" localSheetId="24">#REF!</definedName>
    <definedName name="SL005YTD">#REF!</definedName>
    <definedName name="SL006Month" localSheetId="29">#REF!</definedName>
    <definedName name="SL006Month" localSheetId="2">#REF!</definedName>
    <definedName name="SL006Month" localSheetId="28">#REF!</definedName>
    <definedName name="SL006Month" localSheetId="16">#REF!</definedName>
    <definedName name="SL006Month" localSheetId="22">#REF!</definedName>
    <definedName name="SL006Month" localSheetId="26">#REF!</definedName>
    <definedName name="SL006Month" localSheetId="20">#REF!</definedName>
    <definedName name="SL006Month" localSheetId="19">#REF!</definedName>
    <definedName name="SL006Month" localSheetId="18">#REF!</definedName>
    <definedName name="SL006Month" localSheetId="17">#REF!</definedName>
    <definedName name="SL006Month" localSheetId="27">#REF!</definedName>
    <definedName name="SL006Month" localSheetId="21">#REF!</definedName>
    <definedName name="SL006Month" localSheetId="15">#REF!</definedName>
    <definedName name="SL006Month" localSheetId="7">#REF!</definedName>
    <definedName name="SL006Month" localSheetId="8">#REF!</definedName>
    <definedName name="SL006Month" localSheetId="1">#REF!</definedName>
    <definedName name="SL006Month" localSheetId="25">#REF!</definedName>
    <definedName name="SL006Month" localSheetId="30">#REF!</definedName>
    <definedName name="SL006Month" localSheetId="4">#REF!</definedName>
    <definedName name="SL006Month" localSheetId="11">#REF!</definedName>
    <definedName name="SL006Month" localSheetId="24">#REF!</definedName>
    <definedName name="SL006Month">#REF!</definedName>
    <definedName name="SL006Text" localSheetId="29">#REF!</definedName>
    <definedName name="SL006Text" localSheetId="2">#REF!</definedName>
    <definedName name="SL006Text" localSheetId="28">#REF!</definedName>
    <definedName name="SL006Text" localSheetId="16">#REF!</definedName>
    <definedName name="SL006Text" localSheetId="22">#REF!</definedName>
    <definedName name="SL006Text" localSheetId="26">#REF!</definedName>
    <definedName name="SL006Text" localSheetId="20">#REF!</definedName>
    <definedName name="SL006Text" localSheetId="19">#REF!</definedName>
    <definedName name="SL006Text" localSheetId="18">#REF!</definedName>
    <definedName name="SL006Text" localSheetId="17">#REF!</definedName>
    <definedName name="SL006Text" localSheetId="27">#REF!</definedName>
    <definedName name="SL006Text" localSheetId="21">#REF!</definedName>
    <definedName name="SL006Text" localSheetId="15">#REF!</definedName>
    <definedName name="SL006Text" localSheetId="7">#REF!</definedName>
    <definedName name="SL006Text" localSheetId="8">#REF!</definedName>
    <definedName name="SL006Text" localSheetId="1">#REF!</definedName>
    <definedName name="SL006Text" localSheetId="25">#REF!</definedName>
    <definedName name="SL006Text" localSheetId="30">#REF!</definedName>
    <definedName name="SL006Text" localSheetId="4">#REF!</definedName>
    <definedName name="SL006Text" localSheetId="11">#REF!</definedName>
    <definedName name="SL006Text" localSheetId="24">#REF!</definedName>
    <definedName name="SL006Text">#REF!</definedName>
    <definedName name="SL006Title" localSheetId="29">#REF!</definedName>
    <definedName name="SL006Title" localSheetId="2">#REF!</definedName>
    <definedName name="SL006Title" localSheetId="28">#REF!</definedName>
    <definedName name="SL006Title" localSheetId="16">#REF!</definedName>
    <definedName name="SL006Title" localSheetId="22">#REF!</definedName>
    <definedName name="SL006Title" localSheetId="26">#REF!</definedName>
    <definedName name="SL006Title" localSheetId="20">#REF!</definedName>
    <definedName name="SL006Title" localSheetId="19">#REF!</definedName>
    <definedName name="SL006Title" localSheetId="18">#REF!</definedName>
    <definedName name="SL006Title" localSheetId="17">#REF!</definedName>
    <definedName name="SL006Title" localSheetId="27">#REF!</definedName>
    <definedName name="SL006Title" localSheetId="21">#REF!</definedName>
    <definedName name="SL006Title" localSheetId="15">#REF!</definedName>
    <definedName name="SL006Title" localSheetId="7">#REF!</definedName>
    <definedName name="SL006Title" localSheetId="8">#REF!</definedName>
    <definedName name="SL006Title" localSheetId="1">#REF!</definedName>
    <definedName name="SL006Title" localSheetId="25">#REF!</definedName>
    <definedName name="SL006Title" localSheetId="30">#REF!</definedName>
    <definedName name="SL006Title" localSheetId="4">#REF!</definedName>
    <definedName name="SL006Title" localSheetId="11">#REF!</definedName>
    <definedName name="SL006Title" localSheetId="24">#REF!</definedName>
    <definedName name="SL006Title">#REF!</definedName>
    <definedName name="SL006YTD" localSheetId="29">#REF!</definedName>
    <definedName name="SL006YTD" localSheetId="2">#REF!</definedName>
    <definedName name="SL006YTD" localSheetId="28">#REF!</definedName>
    <definedName name="SL006YTD" localSheetId="16">#REF!</definedName>
    <definedName name="SL006YTD" localSheetId="22">#REF!</definedName>
    <definedName name="SL006YTD" localSheetId="26">#REF!</definedName>
    <definedName name="SL006YTD" localSheetId="20">#REF!</definedName>
    <definedName name="SL006YTD" localSheetId="19">#REF!</definedName>
    <definedName name="SL006YTD" localSheetId="18">#REF!</definedName>
    <definedName name="SL006YTD" localSheetId="17">#REF!</definedName>
    <definedName name="SL006YTD" localSheetId="27">#REF!</definedName>
    <definedName name="SL006YTD" localSheetId="21">#REF!</definedName>
    <definedName name="SL006YTD" localSheetId="15">#REF!</definedName>
    <definedName name="SL006YTD" localSheetId="7">#REF!</definedName>
    <definedName name="SL006YTD" localSheetId="8">#REF!</definedName>
    <definedName name="SL006YTD" localSheetId="1">#REF!</definedName>
    <definedName name="SL006YTD" localSheetId="25">#REF!</definedName>
    <definedName name="SL006YTD" localSheetId="30">#REF!</definedName>
    <definedName name="SL006YTD" localSheetId="4">#REF!</definedName>
    <definedName name="SL006YTD" localSheetId="11">#REF!</definedName>
    <definedName name="SL006YTD" localSheetId="24">#REF!</definedName>
    <definedName name="SL006YTD">#REF!</definedName>
    <definedName name="SL007Month" localSheetId="29">#REF!</definedName>
    <definedName name="SL007Month" localSheetId="2">#REF!</definedName>
    <definedName name="SL007Month" localSheetId="28">#REF!</definedName>
    <definedName name="SL007Month" localSheetId="16">#REF!</definedName>
    <definedName name="SL007Month" localSheetId="22">#REF!</definedName>
    <definedName name="SL007Month" localSheetId="26">#REF!</definedName>
    <definedName name="SL007Month" localSheetId="20">#REF!</definedName>
    <definedName name="SL007Month" localSheetId="19">#REF!</definedName>
    <definedName name="SL007Month" localSheetId="18">#REF!</definedName>
    <definedName name="SL007Month" localSheetId="17">#REF!</definedName>
    <definedName name="SL007Month" localSheetId="27">#REF!</definedName>
    <definedName name="SL007Month" localSheetId="21">#REF!</definedName>
    <definedName name="SL007Month" localSheetId="15">#REF!</definedName>
    <definedName name="SL007Month" localSheetId="7">#REF!</definedName>
    <definedName name="SL007Month" localSheetId="8">#REF!</definedName>
    <definedName name="SL007Month" localSheetId="1">#REF!</definedName>
    <definedName name="SL007Month" localSheetId="25">#REF!</definedName>
    <definedName name="SL007Month" localSheetId="30">#REF!</definedName>
    <definedName name="SL007Month" localSheetId="4">#REF!</definedName>
    <definedName name="SL007Month" localSheetId="11">#REF!</definedName>
    <definedName name="SL007Month" localSheetId="24">#REF!</definedName>
    <definedName name="SL007Month">#REF!</definedName>
    <definedName name="SL007Text" localSheetId="29">#REF!</definedName>
    <definedName name="SL007Text" localSheetId="2">#REF!</definedName>
    <definedName name="SL007Text" localSheetId="28">#REF!</definedName>
    <definedName name="SL007Text" localSheetId="16">#REF!</definedName>
    <definedName name="SL007Text" localSheetId="22">#REF!</definedName>
    <definedName name="SL007Text" localSheetId="26">#REF!</definedName>
    <definedName name="SL007Text" localSheetId="20">#REF!</definedName>
    <definedName name="SL007Text" localSheetId="19">#REF!</definedName>
    <definedName name="SL007Text" localSheetId="18">#REF!</definedName>
    <definedName name="SL007Text" localSheetId="17">#REF!</definedName>
    <definedName name="SL007Text" localSheetId="27">#REF!</definedName>
    <definedName name="SL007Text" localSheetId="21">#REF!</definedName>
    <definedName name="SL007Text" localSheetId="15">#REF!</definedName>
    <definedName name="SL007Text" localSheetId="7">#REF!</definedName>
    <definedName name="SL007Text" localSheetId="8">#REF!</definedName>
    <definedName name="SL007Text" localSheetId="1">#REF!</definedName>
    <definedName name="SL007Text" localSheetId="25">#REF!</definedName>
    <definedName name="SL007Text" localSheetId="30">#REF!</definedName>
    <definedName name="SL007Text" localSheetId="4">#REF!</definedName>
    <definedName name="SL007Text" localSheetId="11">#REF!</definedName>
    <definedName name="SL007Text" localSheetId="24">#REF!</definedName>
    <definedName name="SL007Text">#REF!</definedName>
    <definedName name="SL007Title" localSheetId="29">#REF!</definedName>
    <definedName name="SL007Title" localSheetId="2">#REF!</definedName>
    <definedName name="SL007Title" localSheetId="28">#REF!</definedName>
    <definedName name="SL007Title" localSheetId="16">#REF!</definedName>
    <definedName name="SL007Title" localSheetId="22">#REF!</definedName>
    <definedName name="SL007Title" localSheetId="26">#REF!</definedName>
    <definedName name="SL007Title" localSheetId="20">#REF!</definedName>
    <definedName name="SL007Title" localSheetId="19">#REF!</definedName>
    <definedName name="SL007Title" localSheetId="18">#REF!</definedName>
    <definedName name="SL007Title" localSheetId="17">#REF!</definedName>
    <definedName name="SL007Title" localSheetId="27">#REF!</definedName>
    <definedName name="SL007Title" localSheetId="21">#REF!</definedName>
    <definedName name="SL007Title" localSheetId="15">#REF!</definedName>
    <definedName name="SL007Title" localSheetId="7">#REF!</definedName>
    <definedName name="SL007Title" localSheetId="8">#REF!</definedName>
    <definedName name="SL007Title" localSheetId="1">#REF!</definedName>
    <definedName name="SL007Title" localSheetId="25">#REF!</definedName>
    <definedName name="SL007Title" localSheetId="30">#REF!</definedName>
    <definedName name="SL007Title" localSheetId="4">#REF!</definedName>
    <definedName name="SL007Title" localSheetId="11">#REF!</definedName>
    <definedName name="SL007Title" localSheetId="24">#REF!</definedName>
    <definedName name="SL007Title">#REF!</definedName>
    <definedName name="SL007YTD" localSheetId="29">#REF!</definedName>
    <definedName name="SL007YTD" localSheetId="2">#REF!</definedName>
    <definedName name="SL007YTD" localSheetId="28">#REF!</definedName>
    <definedName name="SL007YTD" localSheetId="16">#REF!</definedName>
    <definedName name="SL007YTD" localSheetId="22">#REF!</definedName>
    <definedName name="SL007YTD" localSheetId="26">#REF!</definedName>
    <definedName name="SL007YTD" localSheetId="20">#REF!</definedName>
    <definedName name="SL007YTD" localSheetId="19">#REF!</definedName>
    <definedName name="SL007YTD" localSheetId="18">#REF!</definedName>
    <definedName name="SL007YTD" localSheetId="17">#REF!</definedName>
    <definedName name="SL007YTD" localSheetId="27">#REF!</definedName>
    <definedName name="SL007YTD" localSheetId="21">#REF!</definedName>
    <definedName name="SL007YTD" localSheetId="15">#REF!</definedName>
    <definedName name="SL007YTD" localSheetId="7">#REF!</definedName>
    <definedName name="SL007YTD" localSheetId="8">#REF!</definedName>
    <definedName name="SL007YTD" localSheetId="1">#REF!</definedName>
    <definedName name="SL007YTD" localSheetId="25">#REF!</definedName>
    <definedName name="SL007YTD" localSheetId="30">#REF!</definedName>
    <definedName name="SL007YTD" localSheetId="4">#REF!</definedName>
    <definedName name="SL007YTD" localSheetId="11">#REF!</definedName>
    <definedName name="SL007YTD" localSheetId="24">#REF!</definedName>
    <definedName name="SL007YTD">#REF!</definedName>
    <definedName name="SL008Month" localSheetId="29">#REF!</definedName>
    <definedName name="SL008Month" localSheetId="2">#REF!</definedName>
    <definedName name="SL008Month" localSheetId="28">#REF!</definedName>
    <definedName name="SL008Month" localSheetId="16">#REF!</definedName>
    <definedName name="SL008Month" localSheetId="22">#REF!</definedName>
    <definedName name="SL008Month" localSheetId="26">#REF!</definedName>
    <definedName name="SL008Month" localSheetId="20">#REF!</definedName>
    <definedName name="SL008Month" localSheetId="19">#REF!</definedName>
    <definedName name="SL008Month" localSheetId="18">#REF!</definedName>
    <definedName name="SL008Month" localSheetId="17">#REF!</definedName>
    <definedName name="SL008Month" localSheetId="27">#REF!</definedName>
    <definedName name="SL008Month" localSheetId="21">#REF!</definedName>
    <definedName name="SL008Month" localSheetId="15">#REF!</definedName>
    <definedName name="SL008Month" localSheetId="7">#REF!</definedName>
    <definedName name="SL008Month" localSheetId="8">#REF!</definedName>
    <definedName name="SL008Month" localSheetId="1">#REF!</definedName>
    <definedName name="SL008Month" localSheetId="25">#REF!</definedName>
    <definedName name="SL008Month" localSheetId="30">#REF!</definedName>
    <definedName name="SL008Month" localSheetId="4">#REF!</definedName>
    <definedName name="SL008Month" localSheetId="11">#REF!</definedName>
    <definedName name="SL008Month" localSheetId="24">#REF!</definedName>
    <definedName name="SL008Month">#REF!</definedName>
    <definedName name="SL008Text" localSheetId="29">#REF!</definedName>
    <definedName name="SL008Text" localSheetId="2">#REF!</definedName>
    <definedName name="SL008Text" localSheetId="28">#REF!</definedName>
    <definedName name="SL008Text" localSheetId="16">#REF!</definedName>
    <definedName name="SL008Text" localSheetId="22">#REF!</definedName>
    <definedName name="SL008Text" localSheetId="26">#REF!</definedName>
    <definedName name="SL008Text" localSheetId="20">#REF!</definedName>
    <definedName name="SL008Text" localSheetId="19">#REF!</definedName>
    <definedName name="SL008Text" localSheetId="18">#REF!</definedName>
    <definedName name="SL008Text" localSheetId="17">#REF!</definedName>
    <definedName name="SL008Text" localSheetId="27">#REF!</definedName>
    <definedName name="SL008Text" localSheetId="21">#REF!</definedName>
    <definedName name="SL008Text" localSheetId="15">#REF!</definedName>
    <definedName name="SL008Text" localSheetId="7">#REF!</definedName>
    <definedName name="SL008Text" localSheetId="8">#REF!</definedName>
    <definedName name="SL008Text" localSheetId="1">#REF!</definedName>
    <definedName name="SL008Text" localSheetId="25">#REF!</definedName>
    <definedName name="SL008Text" localSheetId="30">#REF!</definedName>
    <definedName name="SL008Text" localSheetId="4">#REF!</definedName>
    <definedName name="SL008Text" localSheetId="11">#REF!</definedName>
    <definedName name="SL008Text" localSheetId="24">#REF!</definedName>
    <definedName name="SL008Text">#REF!</definedName>
    <definedName name="SL008Title" localSheetId="29">#REF!</definedName>
    <definedName name="SL008Title" localSheetId="2">#REF!</definedName>
    <definedName name="SL008Title" localSheetId="28">#REF!</definedName>
    <definedName name="SL008Title" localSheetId="16">#REF!</definedName>
    <definedName name="SL008Title" localSheetId="22">#REF!</definedName>
    <definedName name="SL008Title" localSheetId="26">#REF!</definedName>
    <definedName name="SL008Title" localSheetId="20">#REF!</definedName>
    <definedName name="SL008Title" localSheetId="19">#REF!</definedName>
    <definedName name="SL008Title" localSheetId="18">#REF!</definedName>
    <definedName name="SL008Title" localSheetId="17">#REF!</definedName>
    <definedName name="SL008Title" localSheetId="27">#REF!</definedName>
    <definedName name="SL008Title" localSheetId="21">#REF!</definedName>
    <definedName name="SL008Title" localSheetId="15">#REF!</definedName>
    <definedName name="SL008Title" localSheetId="7">#REF!</definedName>
    <definedName name="SL008Title" localSheetId="8">#REF!</definedName>
    <definedName name="SL008Title" localSheetId="1">#REF!</definedName>
    <definedName name="SL008Title" localSheetId="25">#REF!</definedName>
    <definedName name="SL008Title" localSheetId="30">#REF!</definedName>
    <definedName name="SL008Title" localSheetId="4">#REF!</definedName>
    <definedName name="SL008Title" localSheetId="11">#REF!</definedName>
    <definedName name="SL008Title" localSheetId="24">#REF!</definedName>
    <definedName name="SL008Title">#REF!</definedName>
    <definedName name="SL008YTD" localSheetId="29">#REF!</definedName>
    <definedName name="SL008YTD" localSheetId="2">#REF!</definedName>
    <definedName name="SL008YTD" localSheetId="28">#REF!</definedName>
    <definedName name="SL008YTD" localSheetId="16">#REF!</definedName>
    <definedName name="SL008YTD" localSheetId="22">#REF!</definedName>
    <definedName name="SL008YTD" localSheetId="26">#REF!</definedName>
    <definedName name="SL008YTD" localSheetId="20">#REF!</definedName>
    <definedName name="SL008YTD" localSheetId="19">#REF!</definedName>
    <definedName name="SL008YTD" localSheetId="18">#REF!</definedName>
    <definedName name="SL008YTD" localSheetId="17">#REF!</definedName>
    <definedName name="SL008YTD" localSheetId="27">#REF!</definedName>
    <definedName name="SL008YTD" localSheetId="21">#REF!</definedName>
    <definedName name="SL008YTD" localSheetId="15">#REF!</definedName>
    <definedName name="SL008YTD" localSheetId="7">#REF!</definedName>
    <definedName name="SL008YTD" localSheetId="8">#REF!</definedName>
    <definedName name="SL008YTD" localSheetId="1">#REF!</definedName>
    <definedName name="SL008YTD" localSheetId="25">#REF!</definedName>
    <definedName name="SL008YTD" localSheetId="30">#REF!</definedName>
    <definedName name="SL008YTD" localSheetId="4">#REF!</definedName>
    <definedName name="SL008YTD" localSheetId="11">#REF!</definedName>
    <definedName name="SL008YTD" localSheetId="24">#REF!</definedName>
    <definedName name="SL008YTD">#REF!</definedName>
    <definedName name="SL009Month" localSheetId="29">#REF!</definedName>
    <definedName name="SL009Month" localSheetId="2">#REF!</definedName>
    <definedName name="SL009Month" localSheetId="28">#REF!</definedName>
    <definedName name="SL009Month" localSheetId="16">#REF!</definedName>
    <definedName name="SL009Month" localSheetId="22">#REF!</definedName>
    <definedName name="SL009Month" localSheetId="26">#REF!</definedName>
    <definedName name="SL009Month" localSheetId="20">#REF!</definedName>
    <definedName name="SL009Month" localSheetId="19">#REF!</definedName>
    <definedName name="SL009Month" localSheetId="18">#REF!</definedName>
    <definedName name="SL009Month" localSheetId="17">#REF!</definedName>
    <definedName name="SL009Month" localSheetId="27">#REF!</definedName>
    <definedName name="SL009Month" localSheetId="21">#REF!</definedName>
    <definedName name="SL009Month" localSheetId="15">#REF!</definedName>
    <definedName name="SL009Month" localSheetId="7">#REF!</definedName>
    <definedName name="SL009Month" localSheetId="8">#REF!</definedName>
    <definedName name="SL009Month" localSheetId="1">#REF!</definedName>
    <definedName name="SL009Month" localSheetId="25">#REF!</definedName>
    <definedName name="SL009Month" localSheetId="30">#REF!</definedName>
    <definedName name="SL009Month" localSheetId="4">#REF!</definedName>
    <definedName name="SL009Month" localSheetId="11">#REF!</definedName>
    <definedName name="SL009Month" localSheetId="24">#REF!</definedName>
    <definedName name="SL009Month">#REF!</definedName>
    <definedName name="SL009Text" localSheetId="29">#REF!</definedName>
    <definedName name="SL009Text" localSheetId="2">#REF!</definedName>
    <definedName name="SL009Text" localSheetId="28">#REF!</definedName>
    <definedName name="SL009Text" localSheetId="16">#REF!</definedName>
    <definedName name="SL009Text" localSheetId="22">#REF!</definedName>
    <definedName name="SL009Text" localSheetId="26">#REF!</definedName>
    <definedName name="SL009Text" localSheetId="20">#REF!</definedName>
    <definedName name="SL009Text" localSheetId="19">#REF!</definedName>
    <definedName name="SL009Text" localSheetId="18">#REF!</definedName>
    <definedName name="SL009Text" localSheetId="17">#REF!</definedName>
    <definedName name="SL009Text" localSheetId="27">#REF!</definedName>
    <definedName name="SL009Text" localSheetId="21">#REF!</definedName>
    <definedName name="SL009Text" localSheetId="15">#REF!</definedName>
    <definedName name="SL009Text" localSheetId="7">#REF!</definedName>
    <definedName name="SL009Text" localSheetId="8">#REF!</definedName>
    <definedName name="SL009Text" localSheetId="1">#REF!</definedName>
    <definedName name="SL009Text" localSheetId="25">#REF!</definedName>
    <definedName name="SL009Text" localSheetId="30">#REF!</definedName>
    <definedName name="SL009Text" localSheetId="4">#REF!</definedName>
    <definedName name="SL009Text" localSheetId="11">#REF!</definedName>
    <definedName name="SL009Text" localSheetId="24">#REF!</definedName>
    <definedName name="SL009Text">#REF!</definedName>
    <definedName name="SL009Title" localSheetId="29">#REF!</definedName>
    <definedName name="SL009Title" localSheetId="2">#REF!</definedName>
    <definedName name="SL009Title" localSheetId="28">#REF!</definedName>
    <definedName name="SL009Title" localSheetId="16">#REF!</definedName>
    <definedName name="SL009Title" localSheetId="22">#REF!</definedName>
    <definedName name="SL009Title" localSheetId="26">#REF!</definedName>
    <definedName name="SL009Title" localSheetId="20">#REF!</definedName>
    <definedName name="SL009Title" localSheetId="19">#REF!</definedName>
    <definedName name="SL009Title" localSheetId="18">#REF!</definedName>
    <definedName name="SL009Title" localSheetId="17">#REF!</definedName>
    <definedName name="SL009Title" localSheetId="27">#REF!</definedName>
    <definedName name="SL009Title" localSheetId="21">#REF!</definedName>
    <definedName name="SL009Title" localSheetId="15">#REF!</definedName>
    <definedName name="SL009Title" localSheetId="7">#REF!</definedName>
    <definedName name="SL009Title" localSheetId="8">#REF!</definedName>
    <definedName name="SL009Title" localSheetId="1">#REF!</definedName>
    <definedName name="SL009Title" localSheetId="25">#REF!</definedName>
    <definedName name="SL009Title" localSheetId="30">#REF!</definedName>
    <definedName name="SL009Title" localSheetId="4">#REF!</definedName>
    <definedName name="SL009Title" localSheetId="11">#REF!</definedName>
    <definedName name="SL009Title" localSheetId="24">#REF!</definedName>
    <definedName name="SL009Title">#REF!</definedName>
    <definedName name="SL009YTD" localSheetId="29">#REF!</definedName>
    <definedName name="SL009YTD" localSheetId="2">#REF!</definedName>
    <definedName name="SL009YTD" localSheetId="28">#REF!</definedName>
    <definedName name="SL009YTD" localSheetId="16">#REF!</definedName>
    <definedName name="SL009YTD" localSheetId="22">#REF!</definedName>
    <definedName name="SL009YTD" localSheetId="26">#REF!</definedName>
    <definedName name="SL009YTD" localSheetId="20">#REF!</definedName>
    <definedName name="SL009YTD" localSheetId="19">#REF!</definedName>
    <definedName name="SL009YTD" localSheetId="18">#REF!</definedName>
    <definedName name="SL009YTD" localSheetId="17">#REF!</definedName>
    <definedName name="SL009YTD" localSheetId="27">#REF!</definedName>
    <definedName name="SL009YTD" localSheetId="21">#REF!</definedName>
    <definedName name="SL009YTD" localSheetId="15">#REF!</definedName>
    <definedName name="SL009YTD" localSheetId="7">#REF!</definedName>
    <definedName name="SL009YTD" localSheetId="8">#REF!</definedName>
    <definedName name="SL009YTD" localSheetId="1">#REF!</definedName>
    <definedName name="SL009YTD" localSheetId="25">#REF!</definedName>
    <definedName name="SL009YTD" localSheetId="30">#REF!</definedName>
    <definedName name="SL009YTD" localSheetId="4">#REF!</definedName>
    <definedName name="SL009YTD" localSheetId="11">#REF!</definedName>
    <definedName name="SL009YTD" localSheetId="24">#REF!</definedName>
    <definedName name="SL009YTD">#REF!</definedName>
    <definedName name="SL010Text" localSheetId="29">#REF!</definedName>
    <definedName name="SL010Text" localSheetId="2">#REF!</definedName>
    <definedName name="SL010Text" localSheetId="28">#REF!</definedName>
    <definedName name="SL010Text" localSheetId="16">#REF!</definedName>
    <definedName name="SL010Text" localSheetId="22">#REF!</definedName>
    <definedName name="SL010Text" localSheetId="26">#REF!</definedName>
    <definedName name="SL010Text" localSheetId="20">#REF!</definedName>
    <definedName name="SL010Text" localSheetId="19">#REF!</definedName>
    <definedName name="SL010Text" localSheetId="18">#REF!</definedName>
    <definedName name="SL010Text" localSheetId="17">#REF!</definedName>
    <definedName name="SL010Text" localSheetId="27">#REF!</definedName>
    <definedName name="SL010Text" localSheetId="21">#REF!</definedName>
    <definedName name="SL010Text" localSheetId="15">#REF!</definedName>
    <definedName name="SL010Text" localSheetId="7">#REF!</definedName>
    <definedName name="SL010Text" localSheetId="8">#REF!</definedName>
    <definedName name="SL010Text" localSheetId="1">#REF!</definedName>
    <definedName name="SL010Text" localSheetId="25">#REF!</definedName>
    <definedName name="SL010Text" localSheetId="30">#REF!</definedName>
    <definedName name="SL010Text" localSheetId="4">#REF!</definedName>
    <definedName name="SL010Text" localSheetId="11">#REF!</definedName>
    <definedName name="SL010Text" localSheetId="24">#REF!</definedName>
    <definedName name="SL010Text">#REF!</definedName>
    <definedName name="SL010Title" localSheetId="29">#REF!</definedName>
    <definedName name="SL010Title" localSheetId="2">#REF!</definedName>
    <definedName name="SL010Title" localSheetId="28">#REF!</definedName>
    <definedName name="SL010Title" localSheetId="16">#REF!</definedName>
    <definedName name="SL010Title" localSheetId="22">#REF!</definedName>
    <definedName name="SL010Title" localSheetId="26">#REF!</definedName>
    <definedName name="SL010Title" localSheetId="20">#REF!</definedName>
    <definedName name="SL010Title" localSheetId="19">#REF!</definedName>
    <definedName name="SL010Title" localSheetId="18">#REF!</definedName>
    <definedName name="SL010Title" localSheetId="17">#REF!</definedName>
    <definedName name="SL010Title" localSheetId="27">#REF!</definedName>
    <definedName name="SL010Title" localSheetId="21">#REF!</definedName>
    <definedName name="SL010Title" localSheetId="15">#REF!</definedName>
    <definedName name="SL010Title" localSheetId="7">#REF!</definedName>
    <definedName name="SL010Title" localSheetId="8">#REF!</definedName>
    <definedName name="SL010Title" localSheetId="1">#REF!</definedName>
    <definedName name="SL010Title" localSheetId="25">#REF!</definedName>
    <definedName name="SL010Title" localSheetId="30">#REF!</definedName>
    <definedName name="SL010Title" localSheetId="4">#REF!</definedName>
    <definedName name="SL010Title" localSheetId="11">#REF!</definedName>
    <definedName name="SL010Title" localSheetId="24">#REF!</definedName>
    <definedName name="SL010Title">#REF!</definedName>
    <definedName name="SL011Month" localSheetId="29">#REF!</definedName>
    <definedName name="SL011Month" localSheetId="2">#REF!</definedName>
    <definedName name="SL011Month" localSheetId="28">#REF!</definedName>
    <definedName name="SL011Month" localSheetId="16">#REF!</definedName>
    <definedName name="SL011Month" localSheetId="22">#REF!</definedName>
    <definedName name="SL011Month" localSheetId="26">#REF!</definedName>
    <definedName name="SL011Month" localSheetId="20">#REF!</definedName>
    <definedName name="SL011Month" localSheetId="19">#REF!</definedName>
    <definedName name="SL011Month" localSheetId="18">#REF!</definedName>
    <definedName name="SL011Month" localSheetId="17">#REF!</definedName>
    <definedName name="SL011Month" localSheetId="27">#REF!</definedName>
    <definedName name="SL011Month" localSheetId="21">#REF!</definedName>
    <definedName name="SL011Month" localSheetId="15">#REF!</definedName>
    <definedName name="SL011Month" localSheetId="7">#REF!</definedName>
    <definedName name="SL011Month" localSheetId="8">#REF!</definedName>
    <definedName name="SL011Month" localSheetId="1">#REF!</definedName>
    <definedName name="SL011Month" localSheetId="25">#REF!</definedName>
    <definedName name="SL011Month" localSheetId="30">#REF!</definedName>
    <definedName name="SL011Month" localSheetId="4">#REF!</definedName>
    <definedName name="SL011Month" localSheetId="11">#REF!</definedName>
    <definedName name="SL011Month" localSheetId="24">#REF!</definedName>
    <definedName name="SL011Month">#REF!</definedName>
    <definedName name="SL011Text" localSheetId="29">#REF!</definedName>
    <definedName name="SL011Text" localSheetId="2">#REF!</definedName>
    <definedName name="SL011Text" localSheetId="28">#REF!</definedName>
    <definedName name="SL011Text" localSheetId="16">#REF!</definedName>
    <definedName name="SL011Text" localSheetId="22">#REF!</definedName>
    <definedName name="SL011Text" localSheetId="26">#REF!</definedName>
    <definedName name="SL011Text" localSheetId="20">#REF!</definedName>
    <definedName name="SL011Text" localSheetId="19">#REF!</definedName>
    <definedName name="SL011Text" localSheetId="18">#REF!</definedName>
    <definedName name="SL011Text" localSheetId="17">#REF!</definedName>
    <definedName name="SL011Text" localSheetId="27">#REF!</definedName>
    <definedName name="SL011Text" localSheetId="21">#REF!</definedName>
    <definedName name="SL011Text" localSheetId="15">#REF!</definedName>
    <definedName name="SL011Text" localSheetId="7">#REF!</definedName>
    <definedName name="SL011Text" localSheetId="8">#REF!</definedName>
    <definedName name="SL011Text" localSheetId="1">#REF!</definedName>
    <definedName name="SL011Text" localSheetId="25">#REF!</definedName>
    <definedName name="SL011Text" localSheetId="30">#REF!</definedName>
    <definedName name="SL011Text" localSheetId="4">#REF!</definedName>
    <definedName name="SL011Text" localSheetId="11">#REF!</definedName>
    <definedName name="SL011Text" localSheetId="24">#REF!</definedName>
    <definedName name="SL011Text">#REF!</definedName>
    <definedName name="SL011Title" localSheetId="29">#REF!</definedName>
    <definedName name="SL011Title" localSheetId="2">#REF!</definedName>
    <definedName name="SL011Title" localSheetId="28">#REF!</definedName>
    <definedName name="SL011Title" localSheetId="16">#REF!</definedName>
    <definedName name="SL011Title" localSheetId="22">#REF!</definedName>
    <definedName name="SL011Title" localSheetId="26">#REF!</definedName>
    <definedName name="SL011Title" localSheetId="20">#REF!</definedName>
    <definedName name="SL011Title" localSheetId="19">#REF!</definedName>
    <definedName name="SL011Title" localSheetId="18">#REF!</definedName>
    <definedName name="SL011Title" localSheetId="17">#REF!</definedName>
    <definedName name="SL011Title" localSheetId="27">#REF!</definedName>
    <definedName name="SL011Title" localSheetId="21">#REF!</definedName>
    <definedName name="SL011Title" localSheetId="15">#REF!</definedName>
    <definedName name="SL011Title" localSheetId="7">#REF!</definedName>
    <definedName name="SL011Title" localSheetId="8">#REF!</definedName>
    <definedName name="SL011Title" localSheetId="1">#REF!</definedName>
    <definedName name="SL011Title" localSheetId="25">#REF!</definedName>
    <definedName name="SL011Title" localSheetId="30">#REF!</definedName>
    <definedName name="SL011Title" localSheetId="4">#REF!</definedName>
    <definedName name="SL011Title" localSheetId="11">#REF!</definedName>
    <definedName name="SL011Title" localSheetId="24">#REF!</definedName>
    <definedName name="SL011Title">#REF!</definedName>
    <definedName name="SL011YTD" localSheetId="29">#REF!</definedName>
    <definedName name="SL011YTD" localSheetId="2">#REF!</definedName>
    <definedName name="SL011YTD" localSheetId="28">#REF!</definedName>
    <definedName name="SL011YTD" localSheetId="16">#REF!</definedName>
    <definedName name="SL011YTD" localSheetId="22">#REF!</definedName>
    <definedName name="SL011YTD" localSheetId="26">#REF!</definedName>
    <definedName name="SL011YTD" localSheetId="20">#REF!</definedName>
    <definedName name="SL011YTD" localSheetId="19">#REF!</definedName>
    <definedName name="SL011YTD" localSheetId="18">#REF!</definedName>
    <definedName name="SL011YTD" localSheetId="17">#REF!</definedName>
    <definedName name="SL011YTD" localSheetId="27">#REF!</definedName>
    <definedName name="SL011YTD" localSheetId="21">#REF!</definedName>
    <definedName name="SL011YTD" localSheetId="15">#REF!</definedName>
    <definedName name="SL011YTD" localSheetId="7">#REF!</definedName>
    <definedName name="SL011YTD" localSheetId="8">#REF!</definedName>
    <definedName name="SL011YTD" localSheetId="1">#REF!</definedName>
    <definedName name="SL011YTD" localSheetId="25">#REF!</definedName>
    <definedName name="SL011YTD" localSheetId="30">#REF!</definedName>
    <definedName name="SL011YTD" localSheetId="4">#REF!</definedName>
    <definedName name="SL011YTD" localSheetId="11">#REF!</definedName>
    <definedName name="SL011YTD" localSheetId="24">#REF!</definedName>
    <definedName name="SL011YTD">#REF!</definedName>
    <definedName name="SL012Month" localSheetId="29">#REF!</definedName>
    <definedName name="SL012Month" localSheetId="2">#REF!</definedName>
    <definedName name="SL012Month" localSheetId="28">#REF!</definedName>
    <definedName name="SL012Month" localSheetId="16">#REF!</definedName>
    <definedName name="SL012Month" localSheetId="22">#REF!</definedName>
    <definedName name="SL012Month" localSheetId="26">#REF!</definedName>
    <definedName name="SL012Month" localSheetId="20">#REF!</definedName>
    <definedName name="SL012Month" localSheetId="19">#REF!</definedName>
    <definedName name="SL012Month" localSheetId="18">#REF!</definedName>
    <definedName name="SL012Month" localSheetId="17">#REF!</definedName>
    <definedName name="SL012Month" localSheetId="27">#REF!</definedName>
    <definedName name="SL012Month" localSheetId="21">#REF!</definedName>
    <definedName name="SL012Month" localSheetId="15">#REF!</definedName>
    <definedName name="SL012Month" localSheetId="7">#REF!</definedName>
    <definedName name="SL012Month" localSheetId="8">#REF!</definedName>
    <definedName name="SL012Month" localSheetId="1">#REF!</definedName>
    <definedName name="SL012Month" localSheetId="25">#REF!</definedName>
    <definedName name="SL012Month" localSheetId="30">#REF!</definedName>
    <definedName name="SL012Month" localSheetId="4">#REF!</definedName>
    <definedName name="SL012Month" localSheetId="11">#REF!</definedName>
    <definedName name="SL012Month" localSheetId="24">#REF!</definedName>
    <definedName name="SL012Month">#REF!</definedName>
    <definedName name="SL012Text" localSheetId="29">#REF!</definedName>
    <definedName name="SL012Text" localSheetId="2">#REF!</definedName>
    <definedName name="SL012Text" localSheetId="28">#REF!</definedName>
    <definedName name="SL012Text" localSheetId="16">#REF!</definedName>
    <definedName name="SL012Text" localSheetId="22">#REF!</definedName>
    <definedName name="SL012Text" localSheetId="26">#REF!</definedName>
    <definedName name="SL012Text" localSheetId="20">#REF!</definedName>
    <definedName name="SL012Text" localSheetId="19">#REF!</definedName>
    <definedName name="SL012Text" localSheetId="18">#REF!</definedName>
    <definedName name="SL012Text" localSheetId="17">#REF!</definedName>
    <definedName name="SL012Text" localSheetId="27">#REF!</definedName>
    <definedName name="SL012Text" localSheetId="21">#REF!</definedName>
    <definedName name="SL012Text" localSheetId="15">#REF!</definedName>
    <definedName name="SL012Text" localSheetId="7">#REF!</definedName>
    <definedName name="SL012Text" localSheetId="8">#REF!</definedName>
    <definedName name="SL012Text" localSheetId="1">#REF!</definedName>
    <definedName name="SL012Text" localSheetId="25">#REF!</definedName>
    <definedName name="SL012Text" localSheetId="30">#REF!</definedName>
    <definedName name="SL012Text" localSheetId="4">#REF!</definedName>
    <definedName name="SL012Text" localSheetId="11">#REF!</definedName>
    <definedName name="SL012Text" localSheetId="24">#REF!</definedName>
    <definedName name="SL012Text">#REF!</definedName>
    <definedName name="SL012Title" localSheetId="29">#REF!</definedName>
    <definedName name="SL012Title" localSheetId="2">#REF!</definedName>
    <definedName name="SL012Title" localSheetId="28">#REF!</definedName>
    <definedName name="SL012Title" localSheetId="16">#REF!</definedName>
    <definedName name="SL012Title" localSheetId="22">#REF!</definedName>
    <definedName name="SL012Title" localSheetId="26">#REF!</definedName>
    <definedName name="SL012Title" localSheetId="20">#REF!</definedName>
    <definedName name="SL012Title" localSheetId="19">#REF!</definedName>
    <definedName name="SL012Title" localSheetId="18">#REF!</definedName>
    <definedName name="SL012Title" localSheetId="17">#REF!</definedName>
    <definedName name="SL012Title" localSheetId="27">#REF!</definedName>
    <definedName name="SL012Title" localSheetId="21">#REF!</definedName>
    <definedName name="SL012Title" localSheetId="15">#REF!</definedName>
    <definedName name="SL012Title" localSheetId="7">#REF!</definedName>
    <definedName name="SL012Title" localSheetId="8">#REF!</definedName>
    <definedName name="SL012Title" localSheetId="1">#REF!</definedName>
    <definedName name="SL012Title" localSheetId="25">#REF!</definedName>
    <definedName name="SL012Title" localSheetId="30">#REF!</definedName>
    <definedName name="SL012Title" localSheetId="4">#REF!</definedName>
    <definedName name="SL012Title" localSheetId="11">#REF!</definedName>
    <definedName name="SL012Title" localSheetId="24">#REF!</definedName>
    <definedName name="SL012Title">#REF!</definedName>
    <definedName name="SL012YTD" localSheetId="29">#REF!</definedName>
    <definedName name="SL012YTD" localSheetId="2">#REF!</definedName>
    <definedName name="SL012YTD" localSheetId="28">#REF!</definedName>
    <definedName name="SL012YTD" localSheetId="16">#REF!</definedName>
    <definedName name="SL012YTD" localSheetId="22">#REF!</definedName>
    <definedName name="SL012YTD" localSheetId="26">#REF!</definedName>
    <definedName name="SL012YTD" localSheetId="20">#REF!</definedName>
    <definedName name="SL012YTD" localSheetId="19">#REF!</definedName>
    <definedName name="SL012YTD" localSheetId="18">#REF!</definedName>
    <definedName name="SL012YTD" localSheetId="17">#REF!</definedName>
    <definedName name="SL012YTD" localSheetId="27">#REF!</definedName>
    <definedName name="SL012YTD" localSheetId="21">#REF!</definedName>
    <definedName name="SL012YTD" localSheetId="15">#REF!</definedName>
    <definedName name="SL012YTD" localSheetId="7">#REF!</definedName>
    <definedName name="SL012YTD" localSheetId="8">#REF!</definedName>
    <definedName name="SL012YTD" localSheetId="1">#REF!</definedName>
    <definedName name="SL012YTD" localSheetId="25">#REF!</definedName>
    <definedName name="SL012YTD" localSheetId="30">#REF!</definedName>
    <definedName name="SL012YTD" localSheetId="4">#REF!</definedName>
    <definedName name="SL012YTD" localSheetId="11">#REF!</definedName>
    <definedName name="SL012YTD" localSheetId="24">#REF!</definedName>
    <definedName name="SL012YTD">#REF!</definedName>
    <definedName name="SL013Month" localSheetId="29">#REF!</definedName>
    <definedName name="SL013Month" localSheetId="2">#REF!</definedName>
    <definedName name="SL013Month" localSheetId="28">#REF!</definedName>
    <definedName name="SL013Month" localSheetId="16">#REF!</definedName>
    <definedName name="SL013Month" localSheetId="22">#REF!</definedName>
    <definedName name="SL013Month" localSheetId="26">#REF!</definedName>
    <definedName name="SL013Month" localSheetId="20">#REF!</definedName>
    <definedName name="SL013Month" localSheetId="19">#REF!</definedName>
    <definedName name="SL013Month" localSheetId="18">#REF!</definedName>
    <definedName name="SL013Month" localSheetId="17">#REF!</definedName>
    <definedName name="SL013Month" localSheetId="27">#REF!</definedName>
    <definedName name="SL013Month" localSheetId="21">#REF!</definedName>
    <definedName name="SL013Month" localSheetId="15">#REF!</definedName>
    <definedName name="SL013Month" localSheetId="7">#REF!</definedName>
    <definedName name="SL013Month" localSheetId="8">#REF!</definedName>
    <definedName name="SL013Month" localSheetId="1">#REF!</definedName>
    <definedName name="SL013Month" localSheetId="25">#REF!</definedName>
    <definedName name="SL013Month" localSheetId="30">#REF!</definedName>
    <definedName name="SL013Month" localSheetId="4">#REF!</definedName>
    <definedName name="SL013Month" localSheetId="11">#REF!</definedName>
    <definedName name="SL013Month" localSheetId="24">#REF!</definedName>
    <definedName name="SL013Month">#REF!</definedName>
    <definedName name="SL013Text" localSheetId="29">#REF!</definedName>
    <definedName name="SL013Text" localSheetId="2">#REF!</definedName>
    <definedName name="SL013Text" localSheetId="28">#REF!</definedName>
    <definedName name="SL013Text" localSheetId="16">#REF!</definedName>
    <definedName name="SL013Text" localSheetId="22">#REF!</definedName>
    <definedName name="SL013Text" localSheetId="26">#REF!</definedName>
    <definedName name="SL013Text" localSheetId="20">#REF!</definedName>
    <definedName name="SL013Text" localSheetId="19">#REF!</definedName>
    <definedName name="SL013Text" localSheetId="18">#REF!</definedName>
    <definedName name="SL013Text" localSheetId="17">#REF!</definedName>
    <definedName name="SL013Text" localSheetId="27">#REF!</definedName>
    <definedName name="SL013Text" localSheetId="21">#REF!</definedName>
    <definedName name="SL013Text" localSheetId="15">#REF!</definedName>
    <definedName name="SL013Text" localSheetId="7">#REF!</definedName>
    <definedName name="SL013Text" localSheetId="8">#REF!</definedName>
    <definedName name="SL013Text" localSheetId="1">#REF!</definedName>
    <definedName name="SL013Text" localSheetId="25">#REF!</definedName>
    <definedName name="SL013Text" localSheetId="30">#REF!</definedName>
    <definedName name="SL013Text" localSheetId="4">#REF!</definedName>
    <definedName name="SL013Text" localSheetId="11">#REF!</definedName>
    <definedName name="SL013Text" localSheetId="24">#REF!</definedName>
    <definedName name="SL013Text">#REF!</definedName>
    <definedName name="SL013Title" localSheetId="29">#REF!</definedName>
    <definedName name="SL013Title" localSheetId="2">#REF!</definedName>
    <definedName name="SL013Title" localSheetId="28">#REF!</definedName>
    <definedName name="SL013Title" localSheetId="16">#REF!</definedName>
    <definedName name="SL013Title" localSheetId="22">#REF!</definedName>
    <definedName name="SL013Title" localSheetId="26">#REF!</definedName>
    <definedName name="SL013Title" localSheetId="20">#REF!</definedName>
    <definedName name="SL013Title" localSheetId="19">#REF!</definedName>
    <definedName name="SL013Title" localSheetId="18">#REF!</definedName>
    <definedName name="SL013Title" localSheetId="17">#REF!</definedName>
    <definedName name="SL013Title" localSheetId="27">#REF!</definedName>
    <definedName name="SL013Title" localSheetId="21">#REF!</definedName>
    <definedName name="SL013Title" localSheetId="15">#REF!</definedName>
    <definedName name="SL013Title" localSheetId="7">#REF!</definedName>
    <definedName name="SL013Title" localSheetId="8">#REF!</definedName>
    <definedName name="SL013Title" localSheetId="1">#REF!</definedName>
    <definedName name="SL013Title" localSheetId="25">#REF!</definedName>
    <definedName name="SL013Title" localSheetId="30">#REF!</definedName>
    <definedName name="SL013Title" localSheetId="4">#REF!</definedName>
    <definedName name="SL013Title" localSheetId="11">#REF!</definedName>
    <definedName name="SL013Title" localSheetId="24">#REF!</definedName>
    <definedName name="SL013Title">#REF!</definedName>
    <definedName name="SL013YTD" localSheetId="29">#REF!</definedName>
    <definedName name="SL013YTD" localSheetId="2">#REF!</definedName>
    <definedName name="SL013YTD" localSheetId="28">#REF!</definedName>
    <definedName name="SL013YTD" localSheetId="16">#REF!</definedName>
    <definedName name="SL013YTD" localSheetId="22">#REF!</definedName>
    <definedName name="SL013YTD" localSheetId="26">#REF!</definedName>
    <definedName name="SL013YTD" localSheetId="20">#REF!</definedName>
    <definedName name="SL013YTD" localSheetId="19">#REF!</definedName>
    <definedName name="SL013YTD" localSheetId="18">#REF!</definedName>
    <definedName name="SL013YTD" localSheetId="17">#REF!</definedName>
    <definedName name="SL013YTD" localSheetId="27">#REF!</definedName>
    <definedName name="SL013YTD" localSheetId="21">#REF!</definedName>
    <definedName name="SL013YTD" localSheetId="15">#REF!</definedName>
    <definedName name="SL013YTD" localSheetId="7">#REF!</definedName>
    <definedName name="SL013YTD" localSheetId="8">#REF!</definedName>
    <definedName name="SL013YTD" localSheetId="1">#REF!</definedName>
    <definedName name="SL013YTD" localSheetId="25">#REF!</definedName>
    <definedName name="SL013YTD" localSheetId="30">#REF!</definedName>
    <definedName name="SL013YTD" localSheetId="4">#REF!</definedName>
    <definedName name="SL013YTD" localSheetId="11">#REF!</definedName>
    <definedName name="SL013YTD" localSheetId="24">#REF!</definedName>
    <definedName name="SL013YTD">#REF!</definedName>
    <definedName name="SL014Month" localSheetId="29">#REF!</definedName>
    <definedName name="SL014Month" localSheetId="2">#REF!</definedName>
    <definedName name="SL014Month" localSheetId="28">#REF!</definedName>
    <definedName name="SL014Month" localSheetId="16">#REF!</definedName>
    <definedName name="SL014Month" localSheetId="22">#REF!</definedName>
    <definedName name="SL014Month" localSheetId="26">#REF!</definedName>
    <definedName name="SL014Month" localSheetId="20">#REF!</definedName>
    <definedName name="SL014Month" localSheetId="19">#REF!</definedName>
    <definedName name="SL014Month" localSheetId="18">#REF!</definedName>
    <definedName name="SL014Month" localSheetId="17">#REF!</definedName>
    <definedName name="SL014Month" localSheetId="27">#REF!</definedName>
    <definedName name="SL014Month" localSheetId="21">#REF!</definedName>
    <definedName name="SL014Month" localSheetId="15">#REF!</definedName>
    <definedName name="SL014Month" localSheetId="7">#REF!</definedName>
    <definedName name="SL014Month" localSheetId="8">#REF!</definedName>
    <definedName name="SL014Month" localSheetId="1">#REF!</definedName>
    <definedName name="SL014Month" localSheetId="25">#REF!</definedName>
    <definedName name="SL014Month" localSheetId="30">#REF!</definedName>
    <definedName name="SL014Month" localSheetId="4">#REF!</definedName>
    <definedName name="SL014Month" localSheetId="11">#REF!</definedName>
    <definedName name="SL014Month" localSheetId="24">#REF!</definedName>
    <definedName name="SL014Month">#REF!</definedName>
    <definedName name="SL014Text" localSheetId="29">#REF!</definedName>
    <definedName name="SL014Text" localSheetId="2">#REF!</definedName>
    <definedName name="SL014Text" localSheetId="28">#REF!</definedName>
    <definedName name="SL014Text" localSheetId="16">#REF!</definedName>
    <definedName name="SL014Text" localSheetId="22">#REF!</definedName>
    <definedName name="SL014Text" localSheetId="26">#REF!</definedName>
    <definedName name="SL014Text" localSheetId="20">#REF!</definedName>
    <definedName name="SL014Text" localSheetId="19">#REF!</definedName>
    <definedName name="SL014Text" localSheetId="18">#REF!</definedName>
    <definedName name="SL014Text" localSheetId="17">#REF!</definedName>
    <definedName name="SL014Text" localSheetId="27">#REF!</definedName>
    <definedName name="SL014Text" localSheetId="21">#REF!</definedName>
    <definedName name="SL014Text" localSheetId="15">#REF!</definedName>
    <definedName name="SL014Text" localSheetId="7">#REF!</definedName>
    <definedName name="SL014Text" localSheetId="8">#REF!</definedName>
    <definedName name="SL014Text" localSheetId="1">#REF!</definedName>
    <definedName name="SL014Text" localSheetId="25">#REF!</definedName>
    <definedName name="SL014Text" localSheetId="30">#REF!</definedName>
    <definedName name="SL014Text" localSheetId="4">#REF!</definedName>
    <definedName name="SL014Text" localSheetId="11">#REF!</definedName>
    <definedName name="SL014Text" localSheetId="24">#REF!</definedName>
    <definedName name="SL014Text">#REF!</definedName>
    <definedName name="SL014Title" localSheetId="29">#REF!</definedName>
    <definedName name="SL014Title" localSheetId="2">#REF!</definedName>
    <definedName name="SL014Title" localSheetId="28">#REF!</definedName>
    <definedName name="SL014Title" localSheetId="16">#REF!</definedName>
    <definedName name="SL014Title" localSheetId="22">#REF!</definedName>
    <definedName name="SL014Title" localSheetId="26">#REF!</definedName>
    <definedName name="SL014Title" localSheetId="20">#REF!</definedName>
    <definedName name="SL014Title" localSheetId="19">#REF!</definedName>
    <definedName name="SL014Title" localSheetId="18">#REF!</definedName>
    <definedName name="SL014Title" localSheetId="17">#REF!</definedName>
    <definedName name="SL014Title" localSheetId="27">#REF!</definedName>
    <definedName name="SL014Title" localSheetId="21">#REF!</definedName>
    <definedName name="SL014Title" localSheetId="15">#REF!</definedName>
    <definedName name="SL014Title" localSheetId="7">#REF!</definedName>
    <definedName name="SL014Title" localSheetId="8">#REF!</definedName>
    <definedName name="SL014Title" localSheetId="1">#REF!</definedName>
    <definedName name="SL014Title" localSheetId="25">#REF!</definedName>
    <definedName name="SL014Title" localSheetId="30">#REF!</definedName>
    <definedName name="SL014Title" localSheetId="4">#REF!</definedName>
    <definedName name="SL014Title" localSheetId="11">#REF!</definedName>
    <definedName name="SL014Title" localSheetId="24">#REF!</definedName>
    <definedName name="SL014Title">#REF!</definedName>
    <definedName name="SL014YTD" localSheetId="29">#REF!</definedName>
    <definedName name="SL014YTD" localSheetId="2">#REF!</definedName>
    <definedName name="SL014YTD" localSheetId="28">#REF!</definedName>
    <definedName name="SL014YTD" localSheetId="16">#REF!</definedName>
    <definedName name="SL014YTD" localSheetId="22">#REF!</definedName>
    <definedName name="SL014YTD" localSheetId="26">#REF!</definedName>
    <definedName name="SL014YTD" localSheetId="20">#REF!</definedName>
    <definedName name="SL014YTD" localSheetId="19">#REF!</definedName>
    <definedName name="SL014YTD" localSheetId="18">#REF!</definedName>
    <definedName name="SL014YTD" localSheetId="17">#REF!</definedName>
    <definedName name="SL014YTD" localSheetId="27">#REF!</definedName>
    <definedName name="SL014YTD" localSheetId="21">#REF!</definedName>
    <definedName name="SL014YTD" localSheetId="15">#REF!</definedName>
    <definedName name="SL014YTD" localSheetId="7">#REF!</definedName>
    <definedName name="SL014YTD" localSheetId="8">#REF!</definedName>
    <definedName name="SL014YTD" localSheetId="1">#REF!</definedName>
    <definedName name="SL014YTD" localSheetId="25">#REF!</definedName>
    <definedName name="SL014YTD" localSheetId="30">#REF!</definedName>
    <definedName name="SL014YTD" localSheetId="4">#REF!</definedName>
    <definedName name="SL014YTD" localSheetId="11">#REF!</definedName>
    <definedName name="SL014YTD" localSheetId="24">#REF!</definedName>
    <definedName name="SL014YTD">#REF!</definedName>
    <definedName name="SL015Month" localSheetId="29">#REF!</definedName>
    <definedName name="SL015Month" localSheetId="2">#REF!</definedName>
    <definedName name="SL015Month" localSheetId="28">#REF!</definedName>
    <definedName name="SL015Month" localSheetId="16">#REF!</definedName>
    <definedName name="SL015Month" localSheetId="22">#REF!</definedName>
    <definedName name="SL015Month" localSheetId="26">#REF!</definedName>
    <definedName name="SL015Month" localSheetId="20">#REF!</definedName>
    <definedName name="SL015Month" localSheetId="19">#REF!</definedName>
    <definedName name="SL015Month" localSheetId="18">#REF!</definedName>
    <definedName name="SL015Month" localSheetId="17">#REF!</definedName>
    <definedName name="SL015Month" localSheetId="27">#REF!</definedName>
    <definedName name="SL015Month" localSheetId="21">#REF!</definedName>
    <definedName name="SL015Month" localSheetId="15">#REF!</definedName>
    <definedName name="SL015Month" localSheetId="7">#REF!</definedName>
    <definedName name="SL015Month" localSheetId="8">#REF!</definedName>
    <definedName name="SL015Month" localSheetId="1">#REF!</definedName>
    <definedName name="SL015Month" localSheetId="25">#REF!</definedName>
    <definedName name="SL015Month" localSheetId="30">#REF!</definedName>
    <definedName name="SL015Month" localSheetId="4">#REF!</definedName>
    <definedName name="SL015Month" localSheetId="11">#REF!</definedName>
    <definedName name="SL015Month" localSheetId="24">#REF!</definedName>
    <definedName name="SL015Month">#REF!</definedName>
    <definedName name="SL015Text" localSheetId="29">#REF!</definedName>
    <definedName name="SL015Text" localSheetId="2">#REF!</definedName>
    <definedName name="SL015Text" localSheetId="28">#REF!</definedName>
    <definedName name="SL015Text" localSheetId="16">#REF!</definedName>
    <definedName name="SL015Text" localSheetId="22">#REF!</definedName>
    <definedName name="SL015Text" localSheetId="26">#REF!</definedName>
    <definedName name="SL015Text" localSheetId="20">#REF!</definedName>
    <definedName name="SL015Text" localSheetId="19">#REF!</definedName>
    <definedName name="SL015Text" localSheetId="18">#REF!</definedName>
    <definedName name="SL015Text" localSheetId="17">#REF!</definedName>
    <definedName name="SL015Text" localSheetId="27">#REF!</definedName>
    <definedName name="SL015Text" localSheetId="21">#REF!</definedName>
    <definedName name="SL015Text" localSheetId="15">#REF!</definedName>
    <definedName name="SL015Text" localSheetId="7">#REF!</definedName>
    <definedName name="SL015Text" localSheetId="8">#REF!</definedName>
    <definedName name="SL015Text" localSheetId="1">#REF!</definedName>
    <definedName name="SL015Text" localSheetId="25">#REF!</definedName>
    <definedName name="SL015Text" localSheetId="30">#REF!</definedName>
    <definedName name="SL015Text" localSheetId="4">#REF!</definedName>
    <definedName name="SL015Text" localSheetId="11">#REF!</definedName>
    <definedName name="SL015Text" localSheetId="24">#REF!</definedName>
    <definedName name="SL015Text">#REF!</definedName>
    <definedName name="SL015Title" localSheetId="29">#REF!</definedName>
    <definedName name="SL015Title" localSheetId="2">#REF!</definedName>
    <definedName name="SL015Title" localSheetId="28">#REF!</definedName>
    <definedName name="SL015Title" localSheetId="16">#REF!</definedName>
    <definedName name="SL015Title" localSheetId="22">#REF!</definedName>
    <definedName name="SL015Title" localSheetId="26">#REF!</definedName>
    <definedName name="SL015Title" localSheetId="20">#REF!</definedName>
    <definedName name="SL015Title" localSheetId="19">#REF!</definedName>
    <definedName name="SL015Title" localSheetId="18">#REF!</definedName>
    <definedName name="SL015Title" localSheetId="17">#REF!</definedName>
    <definedName name="SL015Title" localSheetId="27">#REF!</definedName>
    <definedName name="SL015Title" localSheetId="21">#REF!</definedName>
    <definedName name="SL015Title" localSheetId="15">#REF!</definedName>
    <definedName name="SL015Title" localSheetId="7">#REF!</definedName>
    <definedName name="SL015Title" localSheetId="8">#REF!</definedName>
    <definedName name="SL015Title" localSheetId="1">#REF!</definedName>
    <definedName name="SL015Title" localSheetId="25">#REF!</definedName>
    <definedName name="SL015Title" localSheetId="30">#REF!</definedName>
    <definedName name="SL015Title" localSheetId="4">#REF!</definedName>
    <definedName name="SL015Title" localSheetId="11">#REF!</definedName>
    <definedName name="SL015Title" localSheetId="24">#REF!</definedName>
    <definedName name="SL015Title">#REF!</definedName>
    <definedName name="SL015YTD" localSheetId="29">#REF!</definedName>
    <definedName name="SL015YTD" localSheetId="2">#REF!</definedName>
    <definedName name="SL015YTD" localSheetId="28">#REF!</definedName>
    <definedName name="SL015YTD" localSheetId="16">#REF!</definedName>
    <definedName name="SL015YTD" localSheetId="22">#REF!</definedName>
    <definedName name="SL015YTD" localSheetId="26">#REF!</definedName>
    <definedName name="SL015YTD" localSheetId="20">#REF!</definedName>
    <definedName name="SL015YTD" localSheetId="19">#REF!</definedName>
    <definedName name="SL015YTD" localSheetId="18">#REF!</definedName>
    <definedName name="SL015YTD" localSheetId="17">#REF!</definedName>
    <definedName name="SL015YTD" localSheetId="27">#REF!</definedName>
    <definedName name="SL015YTD" localSheetId="21">#REF!</definedName>
    <definedName name="SL015YTD" localSheetId="15">#REF!</definedName>
    <definedName name="SL015YTD" localSheetId="7">#REF!</definedName>
    <definedName name="SL015YTD" localSheetId="8">#REF!</definedName>
    <definedName name="SL015YTD" localSheetId="1">#REF!</definedName>
    <definedName name="SL015YTD" localSheetId="25">#REF!</definedName>
    <definedName name="SL015YTD" localSheetId="30">#REF!</definedName>
    <definedName name="SL015YTD" localSheetId="4">#REF!</definedName>
    <definedName name="SL015YTD" localSheetId="11">#REF!</definedName>
    <definedName name="SL015YTD" localSheetId="24">#REF!</definedName>
    <definedName name="SL015YTD">#REF!</definedName>
    <definedName name="SL016Text" localSheetId="29">#REF!</definedName>
    <definedName name="SL016Text" localSheetId="2">#REF!</definedName>
    <definedName name="SL016Text" localSheetId="28">#REF!</definedName>
    <definedName name="SL016Text" localSheetId="16">#REF!</definedName>
    <definedName name="SL016Text" localSheetId="22">#REF!</definedName>
    <definedName name="SL016Text" localSheetId="26">#REF!</definedName>
    <definedName name="SL016Text" localSheetId="20">#REF!</definedName>
    <definedName name="SL016Text" localSheetId="19">#REF!</definedName>
    <definedName name="SL016Text" localSheetId="18">#REF!</definedName>
    <definedName name="SL016Text" localSheetId="17">#REF!</definedName>
    <definedName name="SL016Text" localSheetId="27">#REF!</definedName>
    <definedName name="SL016Text" localSheetId="21">#REF!</definedName>
    <definedName name="SL016Text" localSheetId="15">#REF!</definedName>
    <definedName name="SL016Text" localSheetId="7">#REF!</definedName>
    <definedName name="SL016Text" localSheetId="8">#REF!</definedName>
    <definedName name="SL016Text" localSheetId="1">#REF!</definedName>
    <definedName name="SL016Text" localSheetId="25">#REF!</definedName>
    <definedName name="SL016Text" localSheetId="30">#REF!</definedName>
    <definedName name="SL016Text" localSheetId="4">#REF!</definedName>
    <definedName name="SL016Text" localSheetId="11">#REF!</definedName>
    <definedName name="SL016Text" localSheetId="24">#REF!</definedName>
    <definedName name="SL016Text">#REF!</definedName>
    <definedName name="SL016Title" localSheetId="29">#REF!</definedName>
    <definedName name="SL016Title" localSheetId="2">#REF!</definedName>
    <definedName name="SL016Title" localSheetId="28">#REF!</definedName>
    <definedName name="SL016Title" localSheetId="16">#REF!</definedName>
    <definedName name="SL016Title" localSheetId="22">#REF!</definedName>
    <definedName name="SL016Title" localSheetId="26">#REF!</definedName>
    <definedName name="SL016Title" localSheetId="20">#REF!</definedName>
    <definedName name="SL016Title" localSheetId="19">#REF!</definedName>
    <definedName name="SL016Title" localSheetId="18">#REF!</definedName>
    <definedName name="SL016Title" localSheetId="17">#REF!</definedName>
    <definedName name="SL016Title" localSheetId="27">#REF!</definedName>
    <definedName name="SL016Title" localSheetId="21">#REF!</definedName>
    <definedName name="SL016Title" localSheetId="15">#REF!</definedName>
    <definedName name="SL016Title" localSheetId="7">#REF!</definedName>
    <definedName name="SL016Title" localSheetId="8">#REF!</definedName>
    <definedName name="SL016Title" localSheetId="1">#REF!</definedName>
    <definedName name="SL016Title" localSheetId="25">#REF!</definedName>
    <definedName name="SL016Title" localSheetId="30">#REF!</definedName>
    <definedName name="SL016Title" localSheetId="4">#REF!</definedName>
    <definedName name="SL016Title" localSheetId="11">#REF!</definedName>
    <definedName name="SL016Title" localSheetId="24">#REF!</definedName>
    <definedName name="SL016Title">#REF!</definedName>
    <definedName name="SL017Text" localSheetId="29">#REF!</definedName>
    <definedName name="SL017Text" localSheetId="2">#REF!</definedName>
    <definedName name="SL017Text" localSheetId="28">#REF!</definedName>
    <definedName name="SL017Text" localSheetId="16">#REF!</definedName>
    <definedName name="SL017Text" localSheetId="22">#REF!</definedName>
    <definedName name="SL017Text" localSheetId="26">#REF!</definedName>
    <definedName name="SL017Text" localSheetId="20">#REF!</definedName>
    <definedName name="SL017Text" localSheetId="19">#REF!</definedName>
    <definedName name="SL017Text" localSheetId="18">#REF!</definedName>
    <definedName name="SL017Text" localSheetId="17">#REF!</definedName>
    <definedName name="SL017Text" localSheetId="27">#REF!</definedName>
    <definedName name="SL017Text" localSheetId="21">#REF!</definedName>
    <definedName name="SL017Text" localSheetId="15">#REF!</definedName>
    <definedName name="SL017Text" localSheetId="7">#REF!</definedName>
    <definedName name="SL017Text" localSheetId="8">#REF!</definedName>
    <definedName name="SL017Text" localSheetId="1">#REF!</definedName>
    <definedName name="SL017Text" localSheetId="25">#REF!</definedName>
    <definedName name="SL017Text" localSheetId="30">#REF!</definedName>
    <definedName name="SL017Text" localSheetId="4">#REF!</definedName>
    <definedName name="SL017Text" localSheetId="11">#REF!</definedName>
    <definedName name="SL017Text" localSheetId="24">#REF!</definedName>
    <definedName name="SL017Text">#REF!</definedName>
    <definedName name="SL017Title" localSheetId="29">#REF!</definedName>
    <definedName name="SL017Title" localSheetId="2">#REF!</definedName>
    <definedName name="SL017Title" localSheetId="28">#REF!</definedName>
    <definedName name="SL017Title" localSheetId="16">#REF!</definedName>
    <definedName name="SL017Title" localSheetId="22">#REF!</definedName>
    <definedName name="SL017Title" localSheetId="26">#REF!</definedName>
    <definedName name="SL017Title" localSheetId="20">#REF!</definedName>
    <definedName name="SL017Title" localSheetId="19">#REF!</definedName>
    <definedName name="SL017Title" localSheetId="18">#REF!</definedName>
    <definedName name="SL017Title" localSheetId="17">#REF!</definedName>
    <definedName name="SL017Title" localSheetId="27">#REF!</definedName>
    <definedName name="SL017Title" localSheetId="21">#REF!</definedName>
    <definedName name="SL017Title" localSheetId="15">#REF!</definedName>
    <definedName name="SL017Title" localSheetId="7">#REF!</definedName>
    <definedName name="SL017Title" localSheetId="8">#REF!</definedName>
    <definedName name="SL017Title" localSheetId="1">#REF!</definedName>
    <definedName name="SL017Title" localSheetId="25">#REF!</definedName>
    <definedName name="SL017Title" localSheetId="30">#REF!</definedName>
    <definedName name="SL017Title" localSheetId="4">#REF!</definedName>
    <definedName name="SL017Title" localSheetId="11">#REF!</definedName>
    <definedName name="SL017Title" localSheetId="24">#REF!</definedName>
    <definedName name="SL017Title">#REF!</definedName>
    <definedName name="SL018Month" localSheetId="29">#REF!</definedName>
    <definedName name="SL018Month" localSheetId="2">#REF!</definedName>
    <definedName name="SL018Month" localSheetId="28">#REF!</definedName>
    <definedName name="SL018Month" localSheetId="16">#REF!</definedName>
    <definedName name="SL018Month" localSheetId="22">#REF!</definedName>
    <definedName name="SL018Month" localSheetId="26">#REF!</definedName>
    <definedName name="SL018Month" localSheetId="20">#REF!</definedName>
    <definedName name="SL018Month" localSheetId="19">#REF!</definedName>
    <definedName name="SL018Month" localSheetId="18">#REF!</definedName>
    <definedName name="SL018Month" localSheetId="17">#REF!</definedName>
    <definedName name="SL018Month" localSheetId="27">#REF!</definedName>
    <definedName name="SL018Month" localSheetId="21">#REF!</definedName>
    <definedName name="SL018Month" localSheetId="15">#REF!</definedName>
    <definedName name="SL018Month" localSheetId="7">#REF!</definedName>
    <definedName name="SL018Month" localSheetId="8">#REF!</definedName>
    <definedName name="SL018Month" localSheetId="1">#REF!</definedName>
    <definedName name="SL018Month" localSheetId="25">#REF!</definedName>
    <definedName name="SL018Month" localSheetId="30">#REF!</definedName>
    <definedName name="SL018Month" localSheetId="4">#REF!</definedName>
    <definedName name="SL018Month" localSheetId="11">#REF!</definedName>
    <definedName name="SL018Month" localSheetId="24">#REF!</definedName>
    <definedName name="SL018Month">#REF!</definedName>
    <definedName name="SL018Text" localSheetId="29">#REF!</definedName>
    <definedName name="SL018Text" localSheetId="2">#REF!</definedName>
    <definedName name="SL018Text" localSheetId="28">#REF!</definedName>
    <definedName name="SL018Text" localSheetId="16">#REF!</definedName>
    <definedName name="SL018Text" localSheetId="22">#REF!</definedName>
    <definedName name="SL018Text" localSheetId="26">#REF!</definedName>
    <definedName name="SL018Text" localSheetId="20">#REF!</definedName>
    <definedName name="SL018Text" localSheetId="19">#REF!</definedName>
    <definedName name="SL018Text" localSheetId="18">#REF!</definedName>
    <definedName name="SL018Text" localSheetId="17">#REF!</definedName>
    <definedName name="SL018Text" localSheetId="27">#REF!</definedName>
    <definedName name="SL018Text" localSheetId="21">#REF!</definedName>
    <definedName name="SL018Text" localSheetId="15">#REF!</definedName>
    <definedName name="SL018Text" localSheetId="7">#REF!</definedName>
    <definedName name="SL018Text" localSheetId="8">#REF!</definedName>
    <definedName name="SL018Text" localSheetId="1">#REF!</definedName>
    <definedName name="SL018Text" localSheetId="25">#REF!</definedName>
    <definedName name="SL018Text" localSheetId="30">#REF!</definedName>
    <definedName name="SL018Text" localSheetId="4">#REF!</definedName>
    <definedName name="SL018Text" localSheetId="11">#REF!</definedName>
    <definedName name="SL018Text" localSheetId="24">#REF!</definedName>
    <definedName name="SL018Text">#REF!</definedName>
    <definedName name="SL018Title" localSheetId="29">#REF!</definedName>
    <definedName name="SL018Title" localSheetId="2">#REF!</definedName>
    <definedName name="SL018Title" localSheetId="28">#REF!</definedName>
    <definedName name="SL018Title" localSheetId="16">#REF!</definedName>
    <definedName name="SL018Title" localSheetId="22">#REF!</definedName>
    <definedName name="SL018Title" localSheetId="26">#REF!</definedName>
    <definedName name="SL018Title" localSheetId="20">#REF!</definedName>
    <definedName name="SL018Title" localSheetId="19">#REF!</definedName>
    <definedName name="SL018Title" localSheetId="18">#REF!</definedName>
    <definedName name="SL018Title" localSheetId="17">#REF!</definedName>
    <definedName name="SL018Title" localSheetId="27">#REF!</definedName>
    <definedName name="SL018Title" localSheetId="21">#REF!</definedName>
    <definedName name="SL018Title" localSheetId="15">#REF!</definedName>
    <definedName name="SL018Title" localSheetId="7">#REF!</definedName>
    <definedName name="SL018Title" localSheetId="8">#REF!</definedName>
    <definedName name="SL018Title" localSheetId="1">#REF!</definedName>
    <definedName name="SL018Title" localSheetId="25">#REF!</definedName>
    <definedName name="SL018Title" localSheetId="30">#REF!</definedName>
    <definedName name="SL018Title" localSheetId="4">#REF!</definedName>
    <definedName name="SL018Title" localSheetId="11">#REF!</definedName>
    <definedName name="SL018Title" localSheetId="24">#REF!</definedName>
    <definedName name="SL018Title">#REF!</definedName>
    <definedName name="SL018YTD" localSheetId="29">#REF!</definedName>
    <definedName name="SL018YTD" localSheetId="2">#REF!</definedName>
    <definedName name="SL018YTD" localSheetId="28">#REF!</definedName>
    <definedName name="SL018YTD" localSheetId="16">#REF!</definedName>
    <definedName name="SL018YTD" localSheetId="22">#REF!</definedName>
    <definedName name="SL018YTD" localSheetId="26">#REF!</definedName>
    <definedName name="SL018YTD" localSheetId="20">#REF!</definedName>
    <definedName name="SL018YTD" localSheetId="19">#REF!</definedName>
    <definedName name="SL018YTD" localSheetId="18">#REF!</definedName>
    <definedName name="SL018YTD" localSheetId="17">#REF!</definedName>
    <definedName name="SL018YTD" localSheetId="27">#REF!</definedName>
    <definedName name="SL018YTD" localSheetId="21">#REF!</definedName>
    <definedName name="SL018YTD" localSheetId="15">#REF!</definedName>
    <definedName name="SL018YTD" localSheetId="7">#REF!</definedName>
    <definedName name="SL018YTD" localSheetId="8">#REF!</definedName>
    <definedName name="SL018YTD" localSheetId="1">#REF!</definedName>
    <definedName name="SL018YTD" localSheetId="25">#REF!</definedName>
    <definedName name="SL018YTD" localSheetId="30">#REF!</definedName>
    <definedName name="SL018YTD" localSheetId="4">#REF!</definedName>
    <definedName name="SL018YTD" localSheetId="11">#REF!</definedName>
    <definedName name="SL018YTD" localSheetId="24">#REF!</definedName>
    <definedName name="SL018YTD">#REF!</definedName>
    <definedName name="SL019Month" localSheetId="29">#REF!</definedName>
    <definedName name="SL019Month" localSheetId="2">#REF!</definedName>
    <definedName name="SL019Month" localSheetId="28">#REF!</definedName>
    <definedName name="SL019Month" localSheetId="16">#REF!</definedName>
    <definedName name="SL019Month" localSheetId="22">#REF!</definedName>
    <definedName name="SL019Month" localSheetId="26">#REF!</definedName>
    <definedName name="SL019Month" localSheetId="20">#REF!</definedName>
    <definedName name="SL019Month" localSheetId="19">#REF!</definedName>
    <definedName name="SL019Month" localSheetId="18">#REF!</definedName>
    <definedName name="SL019Month" localSheetId="17">#REF!</definedName>
    <definedName name="SL019Month" localSheetId="27">#REF!</definedName>
    <definedName name="SL019Month" localSheetId="21">#REF!</definedName>
    <definedName name="SL019Month" localSheetId="15">#REF!</definedName>
    <definedName name="SL019Month" localSheetId="7">#REF!</definedName>
    <definedName name="SL019Month" localSheetId="8">#REF!</definedName>
    <definedName name="SL019Month" localSheetId="1">#REF!</definedName>
    <definedName name="SL019Month" localSheetId="25">#REF!</definedName>
    <definedName name="SL019Month" localSheetId="30">#REF!</definedName>
    <definedName name="SL019Month" localSheetId="4">#REF!</definedName>
    <definedName name="SL019Month" localSheetId="11">#REF!</definedName>
    <definedName name="SL019Month" localSheetId="24">#REF!</definedName>
    <definedName name="SL019Month">#REF!</definedName>
    <definedName name="SL019Text" localSheetId="29">#REF!</definedName>
    <definedName name="SL019Text" localSheetId="2">#REF!</definedName>
    <definedName name="SL019Text" localSheetId="28">#REF!</definedName>
    <definedName name="SL019Text" localSheetId="16">#REF!</definedName>
    <definedName name="SL019Text" localSheetId="22">#REF!</definedName>
    <definedName name="SL019Text" localSheetId="26">#REF!</definedName>
    <definedName name="SL019Text" localSheetId="20">#REF!</definedName>
    <definedName name="SL019Text" localSheetId="19">#REF!</definedName>
    <definedName name="SL019Text" localSheetId="18">#REF!</definedName>
    <definedName name="SL019Text" localSheetId="17">#REF!</definedName>
    <definedName name="SL019Text" localSheetId="27">#REF!</definedName>
    <definedName name="SL019Text" localSheetId="21">#REF!</definedName>
    <definedName name="SL019Text" localSheetId="15">#REF!</definedName>
    <definedName name="SL019Text" localSheetId="7">#REF!</definedName>
    <definedName name="SL019Text" localSheetId="8">#REF!</definedName>
    <definedName name="SL019Text" localSheetId="1">#REF!</definedName>
    <definedName name="SL019Text" localSheetId="25">#REF!</definedName>
    <definedName name="SL019Text" localSheetId="30">#REF!</definedName>
    <definedName name="SL019Text" localSheetId="4">#REF!</definedName>
    <definedName name="SL019Text" localSheetId="11">#REF!</definedName>
    <definedName name="SL019Text" localSheetId="24">#REF!</definedName>
    <definedName name="SL019Text">#REF!</definedName>
    <definedName name="SL019Title" localSheetId="29">#REF!</definedName>
    <definedName name="SL019Title" localSheetId="2">#REF!</definedName>
    <definedName name="SL019Title" localSheetId="28">#REF!</definedName>
    <definedName name="SL019Title" localSheetId="16">#REF!</definedName>
    <definedName name="SL019Title" localSheetId="22">#REF!</definedName>
    <definedName name="SL019Title" localSheetId="26">#REF!</definedName>
    <definedName name="SL019Title" localSheetId="20">#REF!</definedName>
    <definedName name="SL019Title" localSheetId="19">#REF!</definedName>
    <definedName name="SL019Title" localSheetId="18">#REF!</definedName>
    <definedName name="SL019Title" localSheetId="17">#REF!</definedName>
    <definedName name="SL019Title" localSheetId="27">#REF!</definedName>
    <definedName name="SL019Title" localSheetId="21">#REF!</definedName>
    <definedName name="SL019Title" localSheetId="15">#REF!</definedName>
    <definedName name="SL019Title" localSheetId="7">#REF!</definedName>
    <definedName name="SL019Title" localSheetId="8">#REF!</definedName>
    <definedName name="SL019Title" localSheetId="1">#REF!</definedName>
    <definedName name="SL019Title" localSheetId="25">#REF!</definedName>
    <definedName name="SL019Title" localSheetId="30">#REF!</definedName>
    <definedName name="SL019Title" localSheetId="4">#REF!</definedName>
    <definedName name="SL019Title" localSheetId="11">#REF!</definedName>
    <definedName name="SL019Title" localSheetId="24">#REF!</definedName>
    <definedName name="SL019Title">#REF!</definedName>
    <definedName name="SL019YTD" localSheetId="29">#REF!</definedName>
    <definedName name="SL019YTD" localSheetId="2">#REF!</definedName>
    <definedName name="SL019YTD" localSheetId="28">#REF!</definedName>
    <definedName name="SL019YTD" localSheetId="16">#REF!</definedName>
    <definedName name="SL019YTD" localSheetId="22">#REF!</definedName>
    <definedName name="SL019YTD" localSheetId="26">#REF!</definedName>
    <definedName name="SL019YTD" localSheetId="20">#REF!</definedName>
    <definedName name="SL019YTD" localSheetId="19">#REF!</definedName>
    <definedName name="SL019YTD" localSheetId="18">#REF!</definedName>
    <definedName name="SL019YTD" localSheetId="17">#REF!</definedName>
    <definedName name="SL019YTD" localSheetId="27">#REF!</definedName>
    <definedName name="SL019YTD" localSheetId="21">#REF!</definedName>
    <definedName name="SL019YTD" localSheetId="15">#REF!</definedName>
    <definedName name="SL019YTD" localSheetId="7">#REF!</definedName>
    <definedName name="SL019YTD" localSheetId="8">#REF!</definedName>
    <definedName name="SL019YTD" localSheetId="1">#REF!</definedName>
    <definedName name="SL019YTD" localSheetId="25">#REF!</definedName>
    <definedName name="SL019YTD" localSheetId="30">#REF!</definedName>
    <definedName name="SL019YTD" localSheetId="4">#REF!</definedName>
    <definedName name="SL019YTD" localSheetId="11">#REF!</definedName>
    <definedName name="SL019YTD" localSheetId="24">#REF!</definedName>
    <definedName name="SL019YTD">#REF!</definedName>
    <definedName name="SL021Month" localSheetId="29">#REF!</definedName>
    <definedName name="SL021Month" localSheetId="2">#REF!</definedName>
    <definedName name="SL021Month" localSheetId="28">#REF!</definedName>
    <definedName name="SL021Month" localSheetId="16">#REF!</definedName>
    <definedName name="SL021Month" localSheetId="22">#REF!</definedName>
    <definedName name="SL021Month" localSheetId="26">#REF!</definedName>
    <definedName name="SL021Month" localSheetId="20">#REF!</definedName>
    <definedName name="SL021Month" localSheetId="19">#REF!</definedName>
    <definedName name="SL021Month" localSheetId="18">#REF!</definedName>
    <definedName name="SL021Month" localSheetId="17">#REF!</definedName>
    <definedName name="SL021Month" localSheetId="27">#REF!</definedName>
    <definedName name="SL021Month" localSheetId="21">#REF!</definedName>
    <definedName name="SL021Month" localSheetId="15">#REF!</definedName>
    <definedName name="SL021Month" localSheetId="7">#REF!</definedName>
    <definedName name="SL021Month" localSheetId="8">#REF!</definedName>
    <definedName name="SL021Month" localSheetId="1">#REF!</definedName>
    <definedName name="SL021Month" localSheetId="25">#REF!</definedName>
    <definedName name="SL021Month" localSheetId="30">#REF!</definedName>
    <definedName name="SL021Month" localSheetId="4">#REF!</definedName>
    <definedName name="SL021Month" localSheetId="11">#REF!</definedName>
    <definedName name="SL021Month" localSheetId="24">#REF!</definedName>
    <definedName name="SL021Month">#REF!</definedName>
    <definedName name="SL021Text" localSheetId="29">#REF!</definedName>
    <definedName name="SL021Text" localSheetId="2">#REF!</definedName>
    <definedName name="SL021Text" localSheetId="28">#REF!</definedName>
    <definedName name="SL021Text" localSheetId="16">#REF!</definedName>
    <definedName name="SL021Text" localSheetId="22">#REF!</definedName>
    <definedName name="SL021Text" localSheetId="26">#REF!</definedName>
    <definedName name="SL021Text" localSheetId="20">#REF!</definedName>
    <definedName name="SL021Text" localSheetId="19">#REF!</definedName>
    <definedName name="SL021Text" localSheetId="18">#REF!</definedName>
    <definedName name="SL021Text" localSheetId="17">#REF!</definedName>
    <definedName name="SL021Text" localSheetId="27">#REF!</definedName>
    <definedName name="SL021Text" localSheetId="21">#REF!</definedName>
    <definedName name="SL021Text" localSheetId="15">#REF!</definedName>
    <definedName name="SL021Text" localSheetId="7">#REF!</definedName>
    <definedName name="SL021Text" localSheetId="8">#REF!</definedName>
    <definedName name="SL021Text" localSheetId="1">#REF!</definedName>
    <definedName name="SL021Text" localSheetId="25">#REF!</definedName>
    <definedName name="SL021Text" localSheetId="30">#REF!</definedName>
    <definedName name="SL021Text" localSheetId="4">#REF!</definedName>
    <definedName name="SL021Text" localSheetId="11">#REF!</definedName>
    <definedName name="SL021Text" localSheetId="24">#REF!</definedName>
    <definedName name="SL021Text">#REF!</definedName>
    <definedName name="SL021Title" localSheetId="29">#REF!</definedName>
    <definedName name="SL021Title" localSheetId="2">#REF!</definedName>
    <definedName name="SL021Title" localSheetId="28">#REF!</definedName>
    <definedName name="SL021Title" localSheetId="16">#REF!</definedName>
    <definedName name="SL021Title" localSheetId="22">#REF!</definedName>
    <definedName name="SL021Title" localSheetId="26">#REF!</definedName>
    <definedName name="SL021Title" localSheetId="20">#REF!</definedName>
    <definedName name="SL021Title" localSheetId="19">#REF!</definedName>
    <definedName name="SL021Title" localSheetId="18">#REF!</definedName>
    <definedName name="SL021Title" localSheetId="17">#REF!</definedName>
    <definedName name="SL021Title" localSheetId="27">#REF!</definedName>
    <definedName name="SL021Title" localSheetId="21">#REF!</definedName>
    <definedName name="SL021Title" localSheetId="15">#REF!</definedName>
    <definedName name="SL021Title" localSheetId="7">#REF!</definedName>
    <definedName name="SL021Title" localSheetId="8">#REF!</definedName>
    <definedName name="SL021Title" localSheetId="1">#REF!</definedName>
    <definedName name="SL021Title" localSheetId="25">#REF!</definedName>
    <definedName name="SL021Title" localSheetId="30">#REF!</definedName>
    <definedName name="SL021Title" localSheetId="4">#REF!</definedName>
    <definedName name="SL021Title" localSheetId="11">#REF!</definedName>
    <definedName name="SL021Title" localSheetId="24">#REF!</definedName>
    <definedName name="SL021Title">#REF!</definedName>
    <definedName name="SL021YTD" localSheetId="29">#REF!</definedName>
    <definedName name="SL021YTD" localSheetId="2">#REF!</definedName>
    <definedName name="SL021YTD" localSheetId="28">#REF!</definedName>
    <definedName name="SL021YTD" localSheetId="16">#REF!</definedName>
    <definedName name="SL021YTD" localSheetId="22">#REF!</definedName>
    <definedName name="SL021YTD" localSheetId="26">#REF!</definedName>
    <definedName name="SL021YTD" localSheetId="20">#REF!</definedName>
    <definedName name="SL021YTD" localSheetId="19">#REF!</definedName>
    <definedName name="SL021YTD" localSheetId="18">#REF!</definedName>
    <definedName name="SL021YTD" localSheetId="17">#REF!</definedName>
    <definedName name="SL021YTD" localSheetId="27">#REF!</definedName>
    <definedName name="SL021YTD" localSheetId="21">#REF!</definedName>
    <definedName name="SL021YTD" localSheetId="15">#REF!</definedName>
    <definedName name="SL021YTD" localSheetId="7">#REF!</definedName>
    <definedName name="SL021YTD" localSheetId="8">#REF!</definedName>
    <definedName name="SL021YTD" localSheetId="1">#REF!</definedName>
    <definedName name="SL021YTD" localSheetId="25">#REF!</definedName>
    <definedName name="SL021YTD" localSheetId="30">#REF!</definedName>
    <definedName name="SL021YTD" localSheetId="4">#REF!</definedName>
    <definedName name="SL021YTD" localSheetId="11">#REF!</definedName>
    <definedName name="SL021YTD" localSheetId="24">#REF!</definedName>
    <definedName name="SL021YTD">#REF!</definedName>
    <definedName name="SL022Month" localSheetId="29">#REF!</definedName>
    <definedName name="SL022Month" localSheetId="2">#REF!</definedName>
    <definedName name="SL022Month" localSheetId="28">#REF!</definedName>
    <definedName name="SL022Month" localSheetId="16">#REF!</definedName>
    <definedName name="SL022Month" localSheetId="22">#REF!</definedName>
    <definedName name="SL022Month" localSheetId="26">#REF!</definedName>
    <definedName name="SL022Month" localSheetId="20">#REF!</definedName>
    <definedName name="SL022Month" localSheetId="19">#REF!</definedName>
    <definedName name="SL022Month" localSheetId="18">#REF!</definedName>
    <definedName name="SL022Month" localSheetId="17">#REF!</definedName>
    <definedName name="SL022Month" localSheetId="27">#REF!</definedName>
    <definedName name="SL022Month" localSheetId="21">#REF!</definedName>
    <definedName name="SL022Month" localSheetId="15">#REF!</definedName>
    <definedName name="SL022Month" localSheetId="7">#REF!</definedName>
    <definedName name="SL022Month" localSheetId="8">#REF!</definedName>
    <definedName name="SL022Month" localSheetId="1">#REF!</definedName>
    <definedName name="SL022Month" localSheetId="25">#REF!</definedName>
    <definedName name="SL022Month" localSheetId="30">#REF!</definedName>
    <definedName name="SL022Month" localSheetId="4">#REF!</definedName>
    <definedName name="SL022Month" localSheetId="11">#REF!</definedName>
    <definedName name="SL022Month" localSheetId="24">#REF!</definedName>
    <definedName name="SL022Month">#REF!</definedName>
    <definedName name="SL022Text" localSheetId="29">#REF!</definedName>
    <definedName name="SL022Text" localSheetId="2">#REF!</definedName>
    <definedName name="SL022Text" localSheetId="28">#REF!</definedName>
    <definedName name="SL022Text" localSheetId="16">#REF!</definedName>
    <definedName name="SL022Text" localSheetId="22">#REF!</definedName>
    <definedName name="SL022Text" localSheetId="26">#REF!</definedName>
    <definedName name="SL022Text" localSheetId="20">#REF!</definedName>
    <definedName name="SL022Text" localSheetId="19">#REF!</definedName>
    <definedName name="SL022Text" localSheetId="18">#REF!</definedName>
    <definedName name="SL022Text" localSheetId="17">#REF!</definedName>
    <definedName name="SL022Text" localSheetId="27">#REF!</definedName>
    <definedName name="SL022Text" localSheetId="21">#REF!</definedName>
    <definedName name="SL022Text" localSheetId="15">#REF!</definedName>
    <definedName name="SL022Text" localSheetId="7">#REF!</definedName>
    <definedName name="SL022Text" localSheetId="8">#REF!</definedName>
    <definedName name="SL022Text" localSheetId="1">#REF!</definedName>
    <definedName name="SL022Text" localSheetId="25">#REF!</definedName>
    <definedName name="SL022Text" localSheetId="30">#REF!</definedName>
    <definedName name="SL022Text" localSheetId="4">#REF!</definedName>
    <definedName name="SL022Text" localSheetId="11">#REF!</definedName>
    <definedName name="SL022Text" localSheetId="24">#REF!</definedName>
    <definedName name="SL022Text">#REF!</definedName>
    <definedName name="SL022Title" localSheetId="29">#REF!</definedName>
    <definedName name="SL022Title" localSheetId="2">#REF!</definedName>
    <definedName name="SL022Title" localSheetId="28">#REF!</definedName>
    <definedName name="SL022Title" localSheetId="16">#REF!</definedName>
    <definedName name="SL022Title" localSheetId="22">#REF!</definedName>
    <definedName name="SL022Title" localSheetId="26">#REF!</definedName>
    <definedName name="SL022Title" localSheetId="20">#REF!</definedName>
    <definedName name="SL022Title" localSheetId="19">#REF!</definedName>
    <definedName name="SL022Title" localSheetId="18">#REF!</definedName>
    <definedName name="SL022Title" localSheetId="17">#REF!</definedName>
    <definedName name="SL022Title" localSheetId="27">#REF!</definedName>
    <definedName name="SL022Title" localSheetId="21">#REF!</definedName>
    <definedName name="SL022Title" localSheetId="15">#REF!</definedName>
    <definedName name="SL022Title" localSheetId="7">#REF!</definedName>
    <definedName name="SL022Title" localSheetId="8">#REF!</definedName>
    <definedName name="SL022Title" localSheetId="1">#REF!</definedName>
    <definedName name="SL022Title" localSheetId="25">#REF!</definedName>
    <definedName name="SL022Title" localSheetId="30">#REF!</definedName>
    <definedName name="SL022Title" localSheetId="4">#REF!</definedName>
    <definedName name="SL022Title" localSheetId="11">#REF!</definedName>
    <definedName name="SL022Title" localSheetId="24">#REF!</definedName>
    <definedName name="SL022Title">#REF!</definedName>
    <definedName name="SL022YTD" localSheetId="29">#REF!</definedName>
    <definedName name="SL022YTD" localSheetId="2">#REF!</definedName>
    <definedName name="SL022YTD" localSheetId="28">#REF!</definedName>
    <definedName name="SL022YTD" localSheetId="16">#REF!</definedName>
    <definedName name="SL022YTD" localSheetId="22">#REF!</definedName>
    <definedName name="SL022YTD" localSheetId="26">#REF!</definedName>
    <definedName name="SL022YTD" localSheetId="20">#REF!</definedName>
    <definedName name="SL022YTD" localSheetId="19">#REF!</definedName>
    <definedName name="SL022YTD" localSheetId="18">#REF!</definedName>
    <definedName name="SL022YTD" localSheetId="17">#REF!</definedName>
    <definedName name="SL022YTD" localSheetId="27">#REF!</definedName>
    <definedName name="SL022YTD" localSheetId="21">#REF!</definedName>
    <definedName name="SL022YTD" localSheetId="15">#REF!</definedName>
    <definedName name="SL022YTD" localSheetId="7">#REF!</definedName>
    <definedName name="SL022YTD" localSheetId="8">#REF!</definedName>
    <definedName name="SL022YTD" localSheetId="1">#REF!</definedName>
    <definedName name="SL022YTD" localSheetId="25">#REF!</definedName>
    <definedName name="SL022YTD" localSheetId="30">#REF!</definedName>
    <definedName name="SL022YTD" localSheetId="4">#REF!</definedName>
    <definedName name="SL022YTD" localSheetId="11">#REF!</definedName>
    <definedName name="SL022YTD" localSheetId="24">#REF!</definedName>
    <definedName name="SL022YTD">#REF!</definedName>
    <definedName name="SL023Month" localSheetId="29">#REF!</definedName>
    <definedName name="SL023Month" localSheetId="2">#REF!</definedName>
    <definedName name="SL023Month" localSheetId="28">#REF!</definedName>
    <definedName name="SL023Month" localSheetId="16">#REF!</definedName>
    <definedName name="SL023Month" localSheetId="22">#REF!</definedName>
    <definedName name="SL023Month" localSheetId="26">#REF!</definedName>
    <definedName name="SL023Month" localSheetId="20">#REF!</definedName>
    <definedName name="SL023Month" localSheetId="19">#REF!</definedName>
    <definedName name="SL023Month" localSheetId="18">#REF!</definedName>
    <definedName name="SL023Month" localSheetId="17">#REF!</definedName>
    <definedName name="SL023Month" localSheetId="27">#REF!</definedName>
    <definedName name="SL023Month" localSheetId="21">#REF!</definedName>
    <definedName name="SL023Month" localSheetId="15">#REF!</definedName>
    <definedName name="SL023Month" localSheetId="7">#REF!</definedName>
    <definedName name="SL023Month" localSheetId="8">#REF!</definedName>
    <definedName name="SL023Month" localSheetId="1">#REF!</definedName>
    <definedName name="SL023Month" localSheetId="25">#REF!</definedName>
    <definedName name="SL023Month" localSheetId="30">#REF!</definedName>
    <definedName name="SL023Month" localSheetId="4">#REF!</definedName>
    <definedName name="SL023Month" localSheetId="11">#REF!</definedName>
    <definedName name="SL023Month" localSheetId="24">#REF!</definedName>
    <definedName name="SL023Month">#REF!</definedName>
    <definedName name="SL023Text" localSheetId="29">#REF!</definedName>
    <definedName name="SL023Text" localSheetId="2">#REF!</definedName>
    <definedName name="SL023Text" localSheetId="28">#REF!</definedName>
    <definedName name="SL023Text" localSheetId="16">#REF!</definedName>
    <definedName name="SL023Text" localSheetId="22">#REF!</definedName>
    <definedName name="SL023Text" localSheetId="26">#REF!</definedName>
    <definedName name="SL023Text" localSheetId="20">#REF!</definedName>
    <definedName name="SL023Text" localSheetId="19">#REF!</definedName>
    <definedName name="SL023Text" localSheetId="18">#REF!</definedName>
    <definedName name="SL023Text" localSheetId="17">#REF!</definedName>
    <definedName name="SL023Text" localSheetId="27">#REF!</definedName>
    <definedName name="SL023Text" localSheetId="21">#REF!</definedName>
    <definedName name="SL023Text" localSheetId="15">#REF!</definedName>
    <definedName name="SL023Text" localSheetId="7">#REF!</definedName>
    <definedName name="SL023Text" localSheetId="8">#REF!</definedName>
    <definedName name="SL023Text" localSheetId="1">#REF!</definedName>
    <definedName name="SL023Text" localSheetId="25">#REF!</definedName>
    <definedName name="SL023Text" localSheetId="30">#REF!</definedName>
    <definedName name="SL023Text" localSheetId="4">#REF!</definedName>
    <definedName name="SL023Text" localSheetId="11">#REF!</definedName>
    <definedName name="SL023Text" localSheetId="24">#REF!</definedName>
    <definedName name="SL023Text">#REF!</definedName>
    <definedName name="SL023Title" localSheetId="29">#REF!</definedName>
    <definedName name="SL023Title" localSheetId="2">#REF!</definedName>
    <definedName name="SL023Title" localSheetId="28">#REF!</definedName>
    <definedName name="SL023Title" localSheetId="16">#REF!</definedName>
    <definedName name="SL023Title" localSheetId="22">#REF!</definedName>
    <definedName name="SL023Title" localSheetId="26">#REF!</definedName>
    <definedName name="SL023Title" localSheetId="20">#REF!</definedName>
    <definedName name="SL023Title" localSheetId="19">#REF!</definedName>
    <definedName name="SL023Title" localSheetId="18">#REF!</definedName>
    <definedName name="SL023Title" localSheetId="17">#REF!</definedName>
    <definedName name="SL023Title" localSheetId="27">#REF!</definedName>
    <definedName name="SL023Title" localSheetId="21">#REF!</definedName>
    <definedName name="SL023Title" localSheetId="15">#REF!</definedName>
    <definedName name="SL023Title" localSheetId="7">#REF!</definedName>
    <definedName name="SL023Title" localSheetId="8">#REF!</definedName>
    <definedName name="SL023Title" localSheetId="1">#REF!</definedName>
    <definedName name="SL023Title" localSheetId="25">#REF!</definedName>
    <definedName name="SL023Title" localSheetId="30">#REF!</definedName>
    <definedName name="SL023Title" localSheetId="4">#REF!</definedName>
    <definedName name="SL023Title" localSheetId="11">#REF!</definedName>
    <definedName name="SL023Title" localSheetId="24">#REF!</definedName>
    <definedName name="SL023Title">#REF!</definedName>
    <definedName name="SL023YTD" localSheetId="29">#REF!</definedName>
    <definedName name="SL023YTD" localSheetId="2">#REF!</definedName>
    <definedName name="SL023YTD" localSheetId="28">#REF!</definedName>
    <definedName name="SL023YTD" localSheetId="16">#REF!</definedName>
    <definedName name="SL023YTD" localSheetId="22">#REF!</definedName>
    <definedName name="SL023YTD" localSheetId="26">#REF!</definedName>
    <definedName name="SL023YTD" localSheetId="20">#REF!</definedName>
    <definedName name="SL023YTD" localSheetId="19">#REF!</definedName>
    <definedName name="SL023YTD" localSheetId="18">#REF!</definedName>
    <definedName name="SL023YTD" localSheetId="17">#REF!</definedName>
    <definedName name="SL023YTD" localSheetId="27">#REF!</definedName>
    <definedName name="SL023YTD" localSheetId="21">#REF!</definedName>
    <definedName name="SL023YTD" localSheetId="15">#REF!</definedName>
    <definedName name="SL023YTD" localSheetId="7">#REF!</definedName>
    <definedName name="SL023YTD" localSheetId="8">#REF!</definedName>
    <definedName name="SL023YTD" localSheetId="1">#REF!</definedName>
    <definedName name="SL023YTD" localSheetId="25">#REF!</definedName>
    <definedName name="SL023YTD" localSheetId="30">#REF!</definedName>
    <definedName name="SL023YTD" localSheetId="4">#REF!</definedName>
    <definedName name="SL023YTD" localSheetId="11">#REF!</definedName>
    <definedName name="SL023YTD" localSheetId="24">#REF!</definedName>
    <definedName name="SL023YTD">#REF!</definedName>
    <definedName name="SL024Month" localSheetId="29">#REF!</definedName>
    <definedName name="SL024Month" localSheetId="2">#REF!</definedName>
    <definedName name="SL024Month" localSheetId="28">#REF!</definedName>
    <definedName name="SL024Month" localSheetId="16">#REF!</definedName>
    <definedName name="SL024Month" localSheetId="22">#REF!</definedName>
    <definedName name="SL024Month" localSheetId="26">#REF!</definedName>
    <definedName name="SL024Month" localSheetId="20">#REF!</definedName>
    <definedName name="SL024Month" localSheetId="19">#REF!</definedName>
    <definedName name="SL024Month" localSheetId="18">#REF!</definedName>
    <definedName name="SL024Month" localSheetId="17">#REF!</definedName>
    <definedName name="SL024Month" localSheetId="27">#REF!</definedName>
    <definedName name="SL024Month" localSheetId="21">#REF!</definedName>
    <definedName name="SL024Month" localSheetId="15">#REF!</definedName>
    <definedName name="SL024Month" localSheetId="7">#REF!</definedName>
    <definedName name="SL024Month" localSheetId="8">#REF!</definedName>
    <definedName name="SL024Month" localSheetId="1">#REF!</definedName>
    <definedName name="SL024Month" localSheetId="25">#REF!</definedName>
    <definedName name="SL024Month" localSheetId="30">#REF!</definedName>
    <definedName name="SL024Month" localSheetId="4">#REF!</definedName>
    <definedName name="SL024Month" localSheetId="11">#REF!</definedName>
    <definedName name="SL024Month" localSheetId="24">#REF!</definedName>
    <definedName name="SL024Month">#REF!</definedName>
    <definedName name="SL024Text" localSheetId="29">#REF!</definedName>
    <definedName name="SL024Text" localSheetId="2">#REF!</definedName>
    <definedName name="SL024Text" localSheetId="28">#REF!</definedName>
    <definedName name="SL024Text" localSheetId="16">#REF!</definedName>
    <definedName name="SL024Text" localSheetId="22">#REF!</definedName>
    <definedName name="SL024Text" localSheetId="26">#REF!</definedName>
    <definedName name="SL024Text" localSheetId="20">#REF!</definedName>
    <definedName name="SL024Text" localSheetId="19">#REF!</definedName>
    <definedName name="SL024Text" localSheetId="18">#REF!</definedName>
    <definedName name="SL024Text" localSheetId="17">#REF!</definedName>
    <definedName name="SL024Text" localSheetId="27">#REF!</definedName>
    <definedName name="SL024Text" localSheetId="21">#REF!</definedName>
    <definedName name="SL024Text" localSheetId="15">#REF!</definedName>
    <definedName name="SL024Text" localSheetId="7">#REF!</definedName>
    <definedName name="SL024Text" localSheetId="8">#REF!</definedName>
    <definedName name="SL024Text" localSheetId="1">#REF!</definedName>
    <definedName name="SL024Text" localSheetId="25">#REF!</definedName>
    <definedName name="SL024Text" localSheetId="30">#REF!</definedName>
    <definedName name="SL024Text" localSheetId="4">#REF!</definedName>
    <definedName name="SL024Text" localSheetId="11">#REF!</definedName>
    <definedName name="SL024Text" localSheetId="24">#REF!</definedName>
    <definedName name="SL024Text">#REF!</definedName>
    <definedName name="SL024Title" localSheetId="29">#REF!</definedName>
    <definedName name="SL024Title" localSheetId="2">#REF!</definedName>
    <definedName name="SL024Title" localSheetId="28">#REF!</definedName>
    <definedName name="SL024Title" localSheetId="16">#REF!</definedName>
    <definedName name="SL024Title" localSheetId="22">#REF!</definedName>
    <definedName name="SL024Title" localSheetId="26">#REF!</definedName>
    <definedName name="SL024Title" localSheetId="20">#REF!</definedName>
    <definedName name="SL024Title" localSheetId="19">#REF!</definedName>
    <definedName name="SL024Title" localSheetId="18">#REF!</definedName>
    <definedName name="SL024Title" localSheetId="17">#REF!</definedName>
    <definedName name="SL024Title" localSheetId="27">#REF!</definedName>
    <definedName name="SL024Title" localSheetId="21">#REF!</definedName>
    <definedName name="SL024Title" localSheetId="15">#REF!</definedName>
    <definedName name="SL024Title" localSheetId="7">#REF!</definedName>
    <definedName name="SL024Title" localSheetId="8">#REF!</definedName>
    <definedName name="SL024Title" localSheetId="1">#REF!</definedName>
    <definedName name="SL024Title" localSheetId="25">#REF!</definedName>
    <definedName name="SL024Title" localSheetId="30">#REF!</definedName>
    <definedName name="SL024Title" localSheetId="4">#REF!</definedName>
    <definedName name="SL024Title" localSheetId="11">#REF!</definedName>
    <definedName name="SL024Title" localSheetId="24">#REF!</definedName>
    <definedName name="SL024Title">#REF!</definedName>
    <definedName name="SL024YTD" localSheetId="29">#REF!</definedName>
    <definedName name="SL024YTD" localSheetId="2">#REF!</definedName>
    <definedName name="SL024YTD" localSheetId="28">#REF!</definedName>
    <definedName name="SL024YTD" localSheetId="16">#REF!</definedName>
    <definedName name="SL024YTD" localSheetId="22">#REF!</definedName>
    <definedName name="SL024YTD" localSheetId="26">#REF!</definedName>
    <definedName name="SL024YTD" localSheetId="20">#REF!</definedName>
    <definedName name="SL024YTD" localSheetId="19">#REF!</definedName>
    <definedName name="SL024YTD" localSheetId="18">#REF!</definedName>
    <definedName name="SL024YTD" localSheetId="17">#REF!</definedName>
    <definedName name="SL024YTD" localSheetId="27">#REF!</definedName>
    <definedName name="SL024YTD" localSheetId="21">#REF!</definedName>
    <definedName name="SL024YTD" localSheetId="15">#REF!</definedName>
    <definedName name="SL024YTD" localSheetId="7">#REF!</definedName>
    <definedName name="SL024YTD" localSheetId="8">#REF!</definedName>
    <definedName name="SL024YTD" localSheetId="1">#REF!</definedName>
    <definedName name="SL024YTD" localSheetId="25">#REF!</definedName>
    <definedName name="SL024YTD" localSheetId="30">#REF!</definedName>
    <definedName name="SL024YTD" localSheetId="4">#REF!</definedName>
    <definedName name="SL024YTD" localSheetId="11">#REF!</definedName>
    <definedName name="SL024YTD" localSheetId="24">#REF!</definedName>
    <definedName name="SL024YTD">#REF!</definedName>
    <definedName name="SL025Month" localSheetId="29">#REF!</definedName>
    <definedName name="SL025Month" localSheetId="2">#REF!</definedName>
    <definedName name="SL025Month" localSheetId="28">#REF!</definedName>
    <definedName name="SL025Month" localSheetId="16">#REF!</definedName>
    <definedName name="SL025Month" localSheetId="22">#REF!</definedName>
    <definedName name="SL025Month" localSheetId="26">#REF!</definedName>
    <definedName name="SL025Month" localSheetId="20">#REF!</definedName>
    <definedName name="SL025Month" localSheetId="19">#REF!</definedName>
    <definedName name="SL025Month" localSheetId="18">#REF!</definedName>
    <definedName name="SL025Month" localSheetId="17">#REF!</definedName>
    <definedName name="SL025Month" localSheetId="27">#REF!</definedName>
    <definedName name="SL025Month" localSheetId="21">#REF!</definedName>
    <definedName name="SL025Month" localSheetId="15">#REF!</definedName>
    <definedName name="SL025Month" localSheetId="7">#REF!</definedName>
    <definedName name="SL025Month" localSheetId="8">#REF!</definedName>
    <definedName name="SL025Month" localSheetId="1">#REF!</definedName>
    <definedName name="SL025Month" localSheetId="25">#REF!</definedName>
    <definedName name="SL025Month" localSheetId="30">#REF!</definedName>
    <definedName name="SL025Month" localSheetId="4">#REF!</definedName>
    <definedName name="SL025Month" localSheetId="11">#REF!</definedName>
    <definedName name="SL025Month" localSheetId="24">#REF!</definedName>
    <definedName name="SL025Month">#REF!</definedName>
    <definedName name="SL025Text" localSheetId="29">#REF!</definedName>
    <definedName name="SL025Text" localSheetId="2">#REF!</definedName>
    <definedName name="SL025Text" localSheetId="28">#REF!</definedName>
    <definedName name="SL025Text" localSheetId="16">#REF!</definedName>
    <definedName name="SL025Text" localSheetId="22">#REF!</definedName>
    <definedName name="SL025Text" localSheetId="26">#REF!</definedName>
    <definedName name="SL025Text" localSheetId="20">#REF!</definedName>
    <definedName name="SL025Text" localSheetId="19">#REF!</definedName>
    <definedName name="SL025Text" localSheetId="18">#REF!</definedName>
    <definedName name="SL025Text" localSheetId="17">#REF!</definedName>
    <definedName name="SL025Text" localSheetId="27">#REF!</definedName>
    <definedName name="SL025Text" localSheetId="21">#REF!</definedName>
    <definedName name="SL025Text" localSheetId="15">#REF!</definedName>
    <definedName name="SL025Text" localSheetId="7">#REF!</definedName>
    <definedName name="SL025Text" localSheetId="8">#REF!</definedName>
    <definedName name="SL025Text" localSheetId="1">#REF!</definedName>
    <definedName name="SL025Text" localSheetId="25">#REF!</definedName>
    <definedName name="SL025Text" localSheetId="30">#REF!</definedName>
    <definedName name="SL025Text" localSheetId="4">#REF!</definedName>
    <definedName name="SL025Text" localSheetId="11">#REF!</definedName>
    <definedName name="SL025Text" localSheetId="24">#REF!</definedName>
    <definedName name="SL025Text">#REF!</definedName>
    <definedName name="SL025Title" localSheetId="29">#REF!</definedName>
    <definedName name="SL025Title" localSheetId="2">#REF!</definedName>
    <definedName name="SL025Title" localSheetId="28">#REF!</definedName>
    <definedName name="SL025Title" localSheetId="16">#REF!</definedName>
    <definedName name="SL025Title" localSheetId="22">#REF!</definedName>
    <definedName name="SL025Title" localSheetId="26">#REF!</definedName>
    <definedName name="SL025Title" localSheetId="20">#REF!</definedName>
    <definedName name="SL025Title" localSheetId="19">#REF!</definedName>
    <definedName name="SL025Title" localSheetId="18">#REF!</definedName>
    <definedName name="SL025Title" localSheetId="17">#REF!</definedName>
    <definedName name="SL025Title" localSheetId="27">#REF!</definedName>
    <definedName name="SL025Title" localSheetId="21">#REF!</definedName>
    <definedName name="SL025Title" localSheetId="15">#REF!</definedName>
    <definedName name="SL025Title" localSheetId="7">#REF!</definedName>
    <definedName name="SL025Title" localSheetId="8">#REF!</definedName>
    <definedName name="SL025Title" localSheetId="1">#REF!</definedName>
    <definedName name="SL025Title" localSheetId="25">#REF!</definedName>
    <definedName name="SL025Title" localSheetId="30">#REF!</definedName>
    <definedName name="SL025Title" localSheetId="4">#REF!</definedName>
    <definedName name="SL025Title" localSheetId="11">#REF!</definedName>
    <definedName name="SL025Title" localSheetId="24">#REF!</definedName>
    <definedName name="SL025Title">#REF!</definedName>
    <definedName name="SL025YTD" localSheetId="29">#REF!</definedName>
    <definedName name="SL025YTD" localSheetId="2">#REF!</definedName>
    <definedName name="SL025YTD" localSheetId="28">#REF!</definedName>
    <definedName name="SL025YTD" localSheetId="16">#REF!</definedName>
    <definedName name="SL025YTD" localSheetId="22">#REF!</definedName>
    <definedName name="SL025YTD" localSheetId="26">#REF!</definedName>
    <definedName name="SL025YTD" localSheetId="20">#REF!</definedName>
    <definedName name="SL025YTD" localSheetId="19">#REF!</definedName>
    <definedName name="SL025YTD" localSheetId="18">#REF!</definedName>
    <definedName name="SL025YTD" localSheetId="17">#REF!</definedName>
    <definedName name="SL025YTD" localSheetId="27">#REF!</definedName>
    <definedName name="SL025YTD" localSheetId="21">#REF!</definedName>
    <definedName name="SL025YTD" localSheetId="15">#REF!</definedName>
    <definedName name="SL025YTD" localSheetId="7">#REF!</definedName>
    <definedName name="SL025YTD" localSheetId="8">#REF!</definedName>
    <definedName name="SL025YTD" localSheetId="1">#REF!</definedName>
    <definedName name="SL025YTD" localSheetId="25">#REF!</definedName>
    <definedName name="SL025YTD" localSheetId="30">#REF!</definedName>
    <definedName name="SL025YTD" localSheetId="4">#REF!</definedName>
    <definedName name="SL025YTD" localSheetId="11">#REF!</definedName>
    <definedName name="SL025YTD" localSheetId="24">#REF!</definedName>
    <definedName name="SL025YTD">#REF!</definedName>
    <definedName name="StartMonth" localSheetId="29">#REF!</definedName>
    <definedName name="StartMonth" localSheetId="2">#REF!</definedName>
    <definedName name="StartMonth" localSheetId="28">#REF!</definedName>
    <definedName name="StartMonth" localSheetId="16">#REF!</definedName>
    <definedName name="StartMonth" localSheetId="22">#REF!</definedName>
    <definedName name="StartMonth" localSheetId="26">#REF!</definedName>
    <definedName name="StartMonth" localSheetId="20">#REF!</definedName>
    <definedName name="StartMonth" localSheetId="19">#REF!</definedName>
    <definedName name="StartMonth" localSheetId="18">#REF!</definedName>
    <definedName name="StartMonth" localSheetId="17">#REF!</definedName>
    <definedName name="StartMonth" localSheetId="27">#REF!</definedName>
    <definedName name="StartMonth" localSheetId="21">#REF!</definedName>
    <definedName name="StartMonth" localSheetId="15">#REF!</definedName>
    <definedName name="StartMonth" localSheetId="7">#REF!</definedName>
    <definedName name="StartMonth" localSheetId="8">#REF!</definedName>
    <definedName name="StartMonth" localSheetId="1">#REF!</definedName>
    <definedName name="StartMonth" localSheetId="25">#REF!</definedName>
    <definedName name="StartMonth" localSheetId="30">#REF!</definedName>
    <definedName name="StartMonth" localSheetId="4">#REF!</definedName>
    <definedName name="StartMonth" localSheetId="11">#REF!</definedName>
    <definedName name="StartMonth" localSheetId="24">#REF!</definedName>
    <definedName name="StartMonth">#REF!</definedName>
    <definedName name="SWSC">'national caseload'!$B$47</definedName>
    <definedName name="Target1516M" localSheetId="29">#REF!</definedName>
    <definedName name="Target1516M" localSheetId="2">#REF!</definedName>
    <definedName name="Target1516M" localSheetId="28">#REF!</definedName>
    <definedName name="Target1516M" localSheetId="16">#REF!</definedName>
    <definedName name="Target1516M" localSheetId="22">#REF!</definedName>
    <definedName name="Target1516M" localSheetId="26">#REF!</definedName>
    <definedName name="Target1516M" localSheetId="20">#REF!</definedName>
    <definedName name="Target1516M" localSheetId="19">#REF!</definedName>
    <definedName name="Target1516M" localSheetId="18">#REF!</definedName>
    <definedName name="Target1516M" localSheetId="17">#REF!</definedName>
    <definedName name="Target1516M" localSheetId="27">#REF!</definedName>
    <definedName name="Target1516M" localSheetId="21">#REF!</definedName>
    <definedName name="Target1516M" localSheetId="15">#REF!</definedName>
    <definedName name="Target1516M" localSheetId="7">#REF!</definedName>
    <definedName name="Target1516M" localSheetId="8">#REF!</definedName>
    <definedName name="Target1516M" localSheetId="1">#REF!</definedName>
    <definedName name="Target1516M" localSheetId="25">#REF!</definedName>
    <definedName name="Target1516M" localSheetId="30">#REF!</definedName>
    <definedName name="Target1516M" localSheetId="4">#REF!</definedName>
    <definedName name="Target1516M" localSheetId="11">#REF!</definedName>
    <definedName name="Target1516M" localSheetId="24">#REF!</definedName>
    <definedName name="Target1516M">#REF!</definedName>
    <definedName name="Target1516Ref" localSheetId="29">#REF!</definedName>
    <definedName name="Target1516Ref" localSheetId="2">#REF!</definedName>
    <definedName name="Target1516Ref" localSheetId="28">#REF!</definedName>
    <definedName name="Target1516Ref" localSheetId="16">#REF!</definedName>
    <definedName name="Target1516Ref" localSheetId="22">#REF!</definedName>
    <definedName name="Target1516Ref" localSheetId="26">#REF!</definedName>
    <definedName name="Target1516Ref" localSheetId="20">#REF!</definedName>
    <definedName name="Target1516Ref" localSheetId="19">#REF!</definedName>
    <definedName name="Target1516Ref" localSheetId="18">#REF!</definedName>
    <definedName name="Target1516Ref" localSheetId="17">#REF!</definedName>
    <definedName name="Target1516Ref" localSheetId="27">#REF!</definedName>
    <definedName name="Target1516Ref" localSheetId="21">#REF!</definedName>
    <definedName name="Target1516Ref" localSheetId="15">#REF!</definedName>
    <definedName name="Target1516Ref" localSheetId="7">#REF!</definedName>
    <definedName name="Target1516Ref" localSheetId="8">#REF!</definedName>
    <definedName name="Target1516Ref" localSheetId="1">#REF!</definedName>
    <definedName name="Target1516Ref" localSheetId="25">#REF!</definedName>
    <definedName name="Target1516Ref" localSheetId="30">#REF!</definedName>
    <definedName name="Target1516Ref" localSheetId="4">#REF!</definedName>
    <definedName name="Target1516Ref" localSheetId="11">#REF!</definedName>
    <definedName name="Target1516Ref" localSheetId="24">#REF!</definedName>
    <definedName name="Target1516Ref">#REF!</definedName>
    <definedName name="Target1516YTD" localSheetId="29">#REF!</definedName>
    <definedName name="Target1516YTD" localSheetId="2">#REF!</definedName>
    <definedName name="Target1516YTD" localSheetId="28">#REF!</definedName>
    <definedName name="Target1516YTD" localSheetId="16">#REF!</definedName>
    <definedName name="Target1516YTD" localSheetId="22">#REF!</definedName>
    <definedName name="Target1516YTD" localSheetId="26">#REF!</definedName>
    <definedName name="Target1516YTD" localSheetId="20">#REF!</definedName>
    <definedName name="Target1516YTD" localSheetId="19">#REF!</definedName>
    <definedName name="Target1516YTD" localSheetId="18">#REF!</definedName>
    <definedName name="Target1516YTD" localSheetId="17">#REF!</definedName>
    <definedName name="Target1516YTD" localSheetId="27">#REF!</definedName>
    <definedName name="Target1516YTD" localSheetId="21">#REF!</definedName>
    <definedName name="Target1516YTD" localSheetId="15">#REF!</definedName>
    <definedName name="Target1516YTD" localSheetId="7">#REF!</definedName>
    <definedName name="Target1516YTD" localSheetId="8">#REF!</definedName>
    <definedName name="Target1516YTD" localSheetId="1">#REF!</definedName>
    <definedName name="Target1516YTD" localSheetId="25">#REF!</definedName>
    <definedName name="Target1516YTD" localSheetId="30">#REF!</definedName>
    <definedName name="Target1516YTD" localSheetId="4">#REF!</definedName>
    <definedName name="Target1516YTD" localSheetId="11">#REF!</definedName>
    <definedName name="Target1516YTD" localSheetId="24">#REF!</definedName>
    <definedName name="Target1516YTD">#REF!</definedName>
    <definedName name="Targets" localSheetId="29">#REF!</definedName>
    <definedName name="Targets" localSheetId="2">#REF!</definedName>
    <definedName name="Targets" localSheetId="28">#REF!</definedName>
    <definedName name="Targets" localSheetId="16">#REF!</definedName>
    <definedName name="Targets" localSheetId="22">#REF!</definedName>
    <definedName name="Targets" localSheetId="26">#REF!</definedName>
    <definedName name="Targets" localSheetId="20">#REF!</definedName>
    <definedName name="Targets" localSheetId="19">#REF!</definedName>
    <definedName name="Targets" localSheetId="18">#REF!</definedName>
    <definedName name="Targets" localSheetId="17">#REF!</definedName>
    <definedName name="Targets" localSheetId="27">#REF!</definedName>
    <definedName name="Targets" localSheetId="21">#REF!</definedName>
    <definedName name="Targets" localSheetId="15">#REF!</definedName>
    <definedName name="Targets" localSheetId="7">#REF!</definedName>
    <definedName name="Targets" localSheetId="8">#REF!</definedName>
    <definedName name="Targets" localSheetId="1">#REF!</definedName>
    <definedName name="Targets" localSheetId="25">#REF!</definedName>
    <definedName name="Targets" localSheetId="30">#REF!</definedName>
    <definedName name="Targets" localSheetId="4">#REF!</definedName>
    <definedName name="Targets" localSheetId="11">#REF!</definedName>
    <definedName name="Targets" localSheetId="24">#REF!</definedName>
    <definedName name="Targets">#REF!</definedName>
    <definedName name="Targets2" localSheetId="29">#REF!</definedName>
    <definedName name="Targets2" localSheetId="2">#REF!</definedName>
    <definedName name="Targets2" localSheetId="28">#REF!</definedName>
    <definedName name="Targets2" localSheetId="16">#REF!</definedName>
    <definedName name="Targets2" localSheetId="22">#REF!</definedName>
    <definedName name="Targets2" localSheetId="26">#REF!</definedName>
    <definedName name="Targets2" localSheetId="20">#REF!</definedName>
    <definedName name="Targets2" localSheetId="19">#REF!</definedName>
    <definedName name="Targets2" localSheetId="18">#REF!</definedName>
    <definedName name="Targets2" localSheetId="17">#REF!</definedName>
    <definedName name="Targets2" localSheetId="27">#REF!</definedName>
    <definedName name="Targets2" localSheetId="21">#REF!</definedName>
    <definedName name="Targets2" localSheetId="15">#REF!</definedName>
    <definedName name="Targets2" localSheetId="7">#REF!</definedName>
    <definedName name="Targets2" localSheetId="8">#REF!</definedName>
    <definedName name="Targets2" localSheetId="1">#REF!</definedName>
    <definedName name="Targets2" localSheetId="25">#REF!</definedName>
    <definedName name="Targets2" localSheetId="30">#REF!</definedName>
    <definedName name="Targets2" localSheetId="4">#REF!</definedName>
    <definedName name="Targets2" localSheetId="11">#REF!</definedName>
    <definedName name="Targets2" localSheetId="24">#REF!</definedName>
    <definedName name="Targets2">#REF!</definedName>
    <definedName name="Team_Regions">PDUs!$N$1:$Y$1</definedName>
    <definedName name="W">'national caseload'!$B$52</definedName>
    <definedName name="Wales" localSheetId="20">#REF!</definedName>
    <definedName name="Wales" localSheetId="19">#REF!</definedName>
    <definedName name="Wales" localSheetId="18">#REF!</definedName>
    <definedName name="Wales" localSheetId="17">#REF!</definedName>
    <definedName name="Wales" localSheetId="15">#REF!</definedName>
    <definedName name="Wales" localSheetId="11">#REF!</definedName>
    <definedName name="Wales">#REF!</definedName>
    <definedName name="Weighting" localSheetId="29">#REF!</definedName>
    <definedName name="Weighting" localSheetId="2">#REF!</definedName>
    <definedName name="Weighting" localSheetId="28">#REF!</definedName>
    <definedName name="Weighting" localSheetId="16">#REF!</definedName>
    <definedName name="Weighting" localSheetId="22">#REF!</definedName>
    <definedName name="Weighting" localSheetId="26">#REF!</definedName>
    <definedName name="Weighting" localSheetId="20">#REF!</definedName>
    <definedName name="Weighting" localSheetId="19">#REF!</definedName>
    <definedName name="Weighting" localSheetId="18">#REF!</definedName>
    <definedName name="Weighting" localSheetId="17">#REF!</definedName>
    <definedName name="Weighting" localSheetId="27">#REF!</definedName>
    <definedName name="Weighting" localSheetId="21">#REF!</definedName>
    <definedName name="Weighting" localSheetId="15">#REF!</definedName>
    <definedName name="Weighting" localSheetId="7">#REF!</definedName>
    <definedName name="Weighting" localSheetId="8">#REF!</definedName>
    <definedName name="Weighting" localSheetId="1">#REF!</definedName>
    <definedName name="Weighting" localSheetId="25">#REF!</definedName>
    <definedName name="Weighting" localSheetId="30">#REF!</definedName>
    <definedName name="Weighting" localSheetId="4">#REF!</definedName>
    <definedName name="Weighting" localSheetId="11">#REF!</definedName>
    <definedName name="Weighting" localSheetId="24">#REF!</definedName>
    <definedName name="Weighting">#REF!</definedName>
    <definedName name="WMR">'national caseload'!$B$57</definedName>
    <definedName name="WorkPackages" localSheetId="2">'[3]List Data'!$A$2:$A$77</definedName>
    <definedName name="WorkPackages" localSheetId="16">'[3]List Data'!$A$2:$A$77</definedName>
    <definedName name="WorkPackages" localSheetId="22">'[3]List Data'!$A$2:$A$77</definedName>
    <definedName name="WorkPackages" localSheetId="26">'[3]List Data'!$A$2:$A$77</definedName>
    <definedName name="WorkPackages" localSheetId="27">'[3]List Data'!$A$2:$A$77</definedName>
    <definedName name="WorkPackages" localSheetId="21">'[3]List Data'!$A$2:$A$77</definedName>
    <definedName name="WorkPackages" localSheetId="1">'[3]List Data'!$A$2:$A$77</definedName>
    <definedName name="WorkPackages" localSheetId="25">'[3]List Data'!$A$2:$A$77</definedName>
    <definedName name="WorkPackages" localSheetId="4">'[3]List Data'!$A$2:$A$77</definedName>
    <definedName name="WorkPackages" localSheetId="24">'[3]List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1" i="87" l="1"/>
  <c r="F81" i="87"/>
  <c r="G81" i="87"/>
  <c r="H81" i="87"/>
  <c r="I81" i="87"/>
  <c r="J81" i="87"/>
  <c r="K81" i="87"/>
  <c r="L81" i="87"/>
  <c r="M81" i="87"/>
  <c r="N81" i="87"/>
  <c r="O81" i="87"/>
  <c r="E82" i="87"/>
  <c r="F82" i="87"/>
  <c r="G82" i="87"/>
  <c r="H82" i="87"/>
  <c r="I82" i="87"/>
  <c r="J82" i="87"/>
  <c r="K82" i="87"/>
  <c r="L82" i="87"/>
  <c r="M82" i="87"/>
  <c r="N82" i="87"/>
  <c r="O82" i="87"/>
  <c r="E83" i="87"/>
  <c r="F83" i="87"/>
  <c r="G83" i="87"/>
  <c r="H83" i="87"/>
  <c r="I83" i="87"/>
  <c r="J83" i="87"/>
  <c r="K83" i="87"/>
  <c r="L83" i="87"/>
  <c r="M83" i="87"/>
  <c r="N83" i="87"/>
  <c r="O83" i="87"/>
  <c r="E84" i="87"/>
  <c r="F84" i="87"/>
  <c r="G84" i="87"/>
  <c r="H84" i="87"/>
  <c r="I84" i="87"/>
  <c r="J84" i="87"/>
  <c r="K84" i="87"/>
  <c r="L84" i="87"/>
  <c r="M84" i="87"/>
  <c r="N84" i="87"/>
  <c r="O84" i="87"/>
  <c r="E85" i="87"/>
  <c r="F85" i="87"/>
  <c r="G85" i="87"/>
  <c r="H85" i="87"/>
  <c r="I85" i="87"/>
  <c r="J85" i="87"/>
  <c r="K85" i="87"/>
  <c r="L85" i="87"/>
  <c r="M85" i="87"/>
  <c r="N85" i="87"/>
  <c r="O85" i="87"/>
  <c r="E86" i="87"/>
  <c r="F86" i="87"/>
  <c r="G86" i="87"/>
  <c r="H86" i="87"/>
  <c r="I86" i="87"/>
  <c r="J86" i="87"/>
  <c r="K86" i="87"/>
  <c r="L86" i="87"/>
  <c r="M86" i="87"/>
  <c r="N86" i="87"/>
  <c r="O86" i="87"/>
  <c r="E87" i="87"/>
  <c r="F87" i="87"/>
  <c r="G87" i="87"/>
  <c r="H87" i="87"/>
  <c r="I87" i="87"/>
  <c r="J87" i="87"/>
  <c r="K87" i="87"/>
  <c r="L87" i="87"/>
  <c r="M87" i="87"/>
  <c r="N87" i="87"/>
  <c r="O87" i="87"/>
  <c r="E88" i="87"/>
  <c r="F88" i="87"/>
  <c r="G88" i="87"/>
  <c r="H88" i="87"/>
  <c r="I88" i="87"/>
  <c r="J88" i="87"/>
  <c r="K88" i="87"/>
  <c r="L88" i="87"/>
  <c r="M88" i="87"/>
  <c r="N88" i="87"/>
  <c r="O88" i="87"/>
  <c r="E89" i="87"/>
  <c r="F89" i="87"/>
  <c r="G89" i="87"/>
  <c r="H89" i="87"/>
  <c r="I89" i="87"/>
  <c r="J89" i="87"/>
  <c r="K89" i="87"/>
  <c r="L89" i="87"/>
  <c r="M89" i="87"/>
  <c r="N89" i="87"/>
  <c r="O89" i="87"/>
  <c r="E90" i="87"/>
  <c r="F90" i="87"/>
  <c r="G90" i="87"/>
  <c r="H90" i="87"/>
  <c r="I90" i="87"/>
  <c r="J90" i="87"/>
  <c r="K90" i="87"/>
  <c r="L90" i="87"/>
  <c r="M90" i="87"/>
  <c r="N90" i="87"/>
  <c r="O90" i="87"/>
  <c r="E91" i="87"/>
  <c r="F91" i="87"/>
  <c r="G91" i="87"/>
  <c r="H91" i="87"/>
  <c r="I91" i="87"/>
  <c r="J91" i="87"/>
  <c r="K91" i="87"/>
  <c r="L91" i="87"/>
  <c r="M91" i="87"/>
  <c r="N91" i="87"/>
  <c r="O91" i="87"/>
  <c r="E92" i="87"/>
  <c r="F92" i="87"/>
  <c r="G92" i="87"/>
  <c r="H92" i="87"/>
  <c r="I92" i="87"/>
  <c r="J92" i="87"/>
  <c r="K92" i="87"/>
  <c r="L92" i="87"/>
  <c r="M92" i="87"/>
  <c r="N92" i="87"/>
  <c r="O92" i="87"/>
  <c r="E93" i="87"/>
  <c r="F93" i="87"/>
  <c r="G93" i="87"/>
  <c r="H93" i="87"/>
  <c r="I93" i="87"/>
  <c r="J93" i="87"/>
  <c r="K93" i="87"/>
  <c r="L93" i="87"/>
  <c r="M93" i="87"/>
  <c r="N93" i="87"/>
  <c r="O93" i="87"/>
  <c r="E94" i="87"/>
  <c r="F94" i="87"/>
  <c r="G94" i="87"/>
  <c r="H94" i="87"/>
  <c r="I94" i="87"/>
  <c r="J94" i="87"/>
  <c r="K94" i="87"/>
  <c r="L94" i="87"/>
  <c r="M94" i="87"/>
  <c r="N94" i="87"/>
  <c r="O94" i="87"/>
  <c r="E95" i="87"/>
  <c r="F95" i="87"/>
  <c r="G95" i="87"/>
  <c r="H95" i="87"/>
  <c r="I95" i="87"/>
  <c r="J95" i="87"/>
  <c r="K95" i="87"/>
  <c r="L95" i="87"/>
  <c r="M95" i="87"/>
  <c r="N95" i="87"/>
  <c r="O95" i="87"/>
  <c r="E96" i="87"/>
  <c r="F96" i="87"/>
  <c r="G96" i="87"/>
  <c r="H96" i="87"/>
  <c r="I96" i="87"/>
  <c r="J96" i="87"/>
  <c r="K96" i="87"/>
  <c r="L96" i="87"/>
  <c r="M96" i="87"/>
  <c r="N96" i="87"/>
  <c r="O96" i="87"/>
  <c r="E97" i="87"/>
  <c r="F97" i="87"/>
  <c r="G97" i="87"/>
  <c r="H97" i="87"/>
  <c r="I97" i="87"/>
  <c r="J97" i="87"/>
  <c r="K97" i="87"/>
  <c r="L97" i="87"/>
  <c r="M97" i="87"/>
  <c r="N97" i="87"/>
  <c r="O97" i="87"/>
  <c r="E98" i="87"/>
  <c r="F98" i="87"/>
  <c r="G98" i="87"/>
  <c r="H98" i="87"/>
  <c r="I98" i="87"/>
  <c r="J98" i="87"/>
  <c r="K98" i="87"/>
  <c r="L98" i="87"/>
  <c r="M98" i="87"/>
  <c r="N98" i="87"/>
  <c r="O98" i="87"/>
  <c r="E99" i="87"/>
  <c r="F99" i="87"/>
  <c r="G99" i="87"/>
  <c r="H99" i="87"/>
  <c r="I99" i="87"/>
  <c r="J99" i="87"/>
  <c r="K99" i="87"/>
  <c r="L99" i="87"/>
  <c r="M99" i="87"/>
  <c r="N99" i="87"/>
  <c r="O99" i="87"/>
  <c r="E100" i="87"/>
  <c r="F100" i="87"/>
  <c r="G100" i="87"/>
  <c r="H100" i="87"/>
  <c r="I100" i="87"/>
  <c r="J100" i="87"/>
  <c r="K100" i="87"/>
  <c r="L100" i="87"/>
  <c r="M100" i="87"/>
  <c r="N100" i="87"/>
  <c r="O100" i="87"/>
  <c r="E101" i="87"/>
  <c r="F101" i="87"/>
  <c r="G101" i="87"/>
  <c r="H101" i="87"/>
  <c r="I101" i="87"/>
  <c r="J101" i="87"/>
  <c r="K101" i="87"/>
  <c r="L101" i="87"/>
  <c r="M101" i="87"/>
  <c r="N101" i="87"/>
  <c r="O101" i="87"/>
  <c r="E102" i="87"/>
  <c r="F102" i="87"/>
  <c r="G102" i="87"/>
  <c r="H102" i="87"/>
  <c r="I102" i="87"/>
  <c r="J102" i="87"/>
  <c r="K102" i="87"/>
  <c r="L102" i="87"/>
  <c r="M102" i="87"/>
  <c r="N102" i="87"/>
  <c r="O102" i="87"/>
  <c r="E103" i="87"/>
  <c r="F103" i="87"/>
  <c r="G103" i="87"/>
  <c r="H103" i="87"/>
  <c r="I103" i="87"/>
  <c r="J103" i="87"/>
  <c r="K103" i="87"/>
  <c r="L103" i="87"/>
  <c r="M103" i="87"/>
  <c r="N103" i="87"/>
  <c r="O103" i="87"/>
  <c r="E104" i="87"/>
  <c r="F104" i="87"/>
  <c r="G104" i="87"/>
  <c r="H104" i="87"/>
  <c r="I104" i="87"/>
  <c r="J104" i="87"/>
  <c r="K104" i="87"/>
  <c r="L104" i="87"/>
  <c r="M104" i="87"/>
  <c r="N104" i="87"/>
  <c r="O104" i="87"/>
  <c r="E105" i="87"/>
  <c r="F105" i="87"/>
  <c r="G105" i="87"/>
  <c r="H105" i="87"/>
  <c r="I105" i="87"/>
  <c r="J105" i="87"/>
  <c r="K105" i="87"/>
  <c r="L105" i="87"/>
  <c r="M105" i="87"/>
  <c r="N105" i="87"/>
  <c r="O105" i="87"/>
  <c r="E106" i="87"/>
  <c r="F106" i="87"/>
  <c r="G106" i="87"/>
  <c r="H106" i="87"/>
  <c r="I106" i="87"/>
  <c r="J106" i="87"/>
  <c r="K106" i="87"/>
  <c r="L106" i="87"/>
  <c r="M106" i="87"/>
  <c r="N106" i="87"/>
  <c r="O106" i="87"/>
  <c r="E107" i="87"/>
  <c r="F107" i="87"/>
  <c r="G107" i="87"/>
  <c r="H107" i="87"/>
  <c r="I107" i="87"/>
  <c r="J107" i="87"/>
  <c r="K107" i="87"/>
  <c r="L107" i="87"/>
  <c r="M107" i="87"/>
  <c r="N107" i="87"/>
  <c r="O107" i="87"/>
  <c r="E108" i="87"/>
  <c r="F108" i="87"/>
  <c r="G108" i="87"/>
  <c r="H108" i="87"/>
  <c r="I108" i="87"/>
  <c r="J108" i="87"/>
  <c r="K108" i="87"/>
  <c r="L108" i="87"/>
  <c r="M108" i="87"/>
  <c r="N108" i="87"/>
  <c r="O108" i="87"/>
  <c r="E109" i="87"/>
  <c r="F109" i="87"/>
  <c r="G109" i="87"/>
  <c r="H109" i="87"/>
  <c r="I109" i="87"/>
  <c r="J109" i="87"/>
  <c r="K109" i="87"/>
  <c r="L109" i="87"/>
  <c r="M109" i="87"/>
  <c r="N109" i="87"/>
  <c r="O109" i="87"/>
  <c r="E110" i="87"/>
  <c r="F110" i="87"/>
  <c r="G110" i="87"/>
  <c r="H110" i="87"/>
  <c r="I110" i="87"/>
  <c r="J110" i="87"/>
  <c r="K110" i="87"/>
  <c r="L110" i="87"/>
  <c r="M110" i="87"/>
  <c r="N110" i="87"/>
  <c r="O110" i="87"/>
  <c r="E111" i="87"/>
  <c r="F111" i="87"/>
  <c r="G111" i="87"/>
  <c r="H111" i="87"/>
  <c r="I111" i="87"/>
  <c r="J111" i="87"/>
  <c r="K111" i="87"/>
  <c r="L111" i="87"/>
  <c r="M111" i="87"/>
  <c r="N111" i="87"/>
  <c r="O111" i="87"/>
  <c r="E112" i="87"/>
  <c r="F112" i="87"/>
  <c r="G112" i="87"/>
  <c r="H112" i="87"/>
  <c r="I112" i="87"/>
  <c r="J112" i="87"/>
  <c r="K112" i="87"/>
  <c r="L112" i="87"/>
  <c r="M112" i="87"/>
  <c r="N112" i="87"/>
  <c r="O112" i="87"/>
  <c r="E113" i="87"/>
  <c r="F113" i="87"/>
  <c r="G113" i="87"/>
  <c r="H113" i="87"/>
  <c r="I113" i="87"/>
  <c r="J113" i="87"/>
  <c r="K113" i="87"/>
  <c r="L113" i="87"/>
  <c r="M113" i="87"/>
  <c r="N113" i="87"/>
  <c r="O113" i="87"/>
  <c r="E114" i="87"/>
  <c r="F114" i="87"/>
  <c r="G114" i="87"/>
  <c r="H114" i="87"/>
  <c r="I114" i="87"/>
  <c r="J114" i="87"/>
  <c r="K114" i="87"/>
  <c r="L114" i="87"/>
  <c r="M114" i="87"/>
  <c r="N114" i="87"/>
  <c r="O114" i="87"/>
  <c r="E115" i="87"/>
  <c r="F115" i="87"/>
  <c r="G115" i="87"/>
  <c r="H115" i="87"/>
  <c r="I115" i="87"/>
  <c r="J115" i="87"/>
  <c r="K115" i="87"/>
  <c r="L115" i="87"/>
  <c r="M115" i="87"/>
  <c r="N115" i="87"/>
  <c r="O115" i="87"/>
  <c r="E116" i="87"/>
  <c r="F116" i="87"/>
  <c r="G116" i="87"/>
  <c r="H116" i="87"/>
  <c r="I116" i="87"/>
  <c r="J116" i="87"/>
  <c r="K116" i="87"/>
  <c r="L116" i="87"/>
  <c r="M116" i="87"/>
  <c r="N116" i="87"/>
  <c r="O116" i="87"/>
  <c r="E117" i="87"/>
  <c r="F117" i="87"/>
  <c r="G117" i="87"/>
  <c r="H117" i="87"/>
  <c r="I117" i="87"/>
  <c r="J117" i="87"/>
  <c r="K117" i="87"/>
  <c r="L117" i="87"/>
  <c r="M117" i="87"/>
  <c r="N117" i="87"/>
  <c r="O117" i="87"/>
  <c r="E118" i="87"/>
  <c r="F118" i="87"/>
  <c r="G118" i="87"/>
  <c r="H118" i="87"/>
  <c r="I118" i="87"/>
  <c r="J118" i="87"/>
  <c r="K118" i="87"/>
  <c r="L118" i="87"/>
  <c r="M118" i="87"/>
  <c r="N118" i="87"/>
  <c r="O118" i="87"/>
  <c r="E119" i="87"/>
  <c r="F119" i="87"/>
  <c r="G119" i="87"/>
  <c r="H119" i="87"/>
  <c r="I119" i="87"/>
  <c r="J119" i="87"/>
  <c r="K119" i="87"/>
  <c r="L119" i="87"/>
  <c r="M119" i="87"/>
  <c r="N119" i="87"/>
  <c r="O119" i="87"/>
  <c r="E120" i="87"/>
  <c r="F120" i="87"/>
  <c r="G120" i="87"/>
  <c r="H120" i="87"/>
  <c r="I120" i="87"/>
  <c r="J120" i="87"/>
  <c r="K120" i="87"/>
  <c r="L120" i="87"/>
  <c r="M120" i="87"/>
  <c r="N120" i="87"/>
  <c r="O120" i="87"/>
  <c r="E121" i="87"/>
  <c r="F121" i="87"/>
  <c r="G121" i="87"/>
  <c r="H121" i="87"/>
  <c r="I121" i="87"/>
  <c r="J121" i="87"/>
  <c r="K121" i="87"/>
  <c r="L121" i="87"/>
  <c r="M121" i="87"/>
  <c r="N121" i="87"/>
  <c r="O121" i="87"/>
  <c r="E122" i="87"/>
  <c r="F122" i="87"/>
  <c r="G122" i="87"/>
  <c r="H122" i="87"/>
  <c r="I122" i="87"/>
  <c r="J122" i="87"/>
  <c r="K122" i="87"/>
  <c r="L122" i="87"/>
  <c r="M122" i="87"/>
  <c r="N122" i="87"/>
  <c r="O122" i="87"/>
  <c r="E123" i="87"/>
  <c r="F123" i="87"/>
  <c r="G123" i="87"/>
  <c r="H123" i="87"/>
  <c r="I123" i="87"/>
  <c r="J123" i="87"/>
  <c r="K123" i="87"/>
  <c r="L123" i="87"/>
  <c r="M123" i="87"/>
  <c r="N123" i="87"/>
  <c r="O123" i="87"/>
  <c r="E124" i="87"/>
  <c r="F124" i="87"/>
  <c r="G124" i="87"/>
  <c r="H124" i="87"/>
  <c r="I124" i="87"/>
  <c r="J124" i="87"/>
  <c r="K124" i="87"/>
  <c r="L124" i="87"/>
  <c r="M124" i="87"/>
  <c r="N124" i="87"/>
  <c r="O124" i="87"/>
  <c r="E125" i="87"/>
  <c r="F125" i="87"/>
  <c r="G125" i="87"/>
  <c r="H125" i="87"/>
  <c r="I125" i="87"/>
  <c r="J125" i="87"/>
  <c r="K125" i="87"/>
  <c r="L125" i="87"/>
  <c r="M125" i="87"/>
  <c r="N125" i="87"/>
  <c r="O125" i="87"/>
  <c r="E126" i="87"/>
  <c r="F126" i="87"/>
  <c r="G126" i="87"/>
  <c r="H126" i="87"/>
  <c r="I126" i="87"/>
  <c r="J126" i="87"/>
  <c r="K126" i="87"/>
  <c r="L126" i="87"/>
  <c r="M126" i="87"/>
  <c r="N126" i="87"/>
  <c r="O126" i="87"/>
  <c r="E127" i="87"/>
  <c r="F127" i="87"/>
  <c r="G127" i="87"/>
  <c r="H127" i="87"/>
  <c r="I127" i="87"/>
  <c r="J127" i="87"/>
  <c r="K127" i="87"/>
  <c r="L127" i="87"/>
  <c r="M127" i="87"/>
  <c r="N127" i="87"/>
  <c r="O127" i="87"/>
  <c r="E128" i="87"/>
  <c r="F128" i="87"/>
  <c r="G128" i="87"/>
  <c r="H128" i="87"/>
  <c r="I128" i="87"/>
  <c r="J128" i="87"/>
  <c r="K128" i="87"/>
  <c r="L128" i="87"/>
  <c r="M128" i="87"/>
  <c r="N128" i="87"/>
  <c r="O128" i="87"/>
  <c r="D81" i="87"/>
  <c r="D82" i="87"/>
  <c r="D83" i="87"/>
  <c r="D84" i="87"/>
  <c r="D85" i="87"/>
  <c r="D86" i="87"/>
  <c r="D87" i="87"/>
  <c r="D88" i="87"/>
  <c r="D89" i="87"/>
  <c r="D90" i="87"/>
  <c r="D91" i="87"/>
  <c r="D92" i="87"/>
  <c r="D93" i="87"/>
  <c r="D94" i="87"/>
  <c r="D95" i="87"/>
  <c r="D96" i="87"/>
  <c r="D97" i="87"/>
  <c r="D98" i="87"/>
  <c r="D99" i="87"/>
  <c r="D100" i="87"/>
  <c r="D101" i="87"/>
  <c r="D102" i="87"/>
  <c r="D103" i="87"/>
  <c r="D104" i="87"/>
  <c r="D105" i="87"/>
  <c r="D106" i="87"/>
  <c r="D107" i="87"/>
  <c r="D108" i="87"/>
  <c r="D109" i="87"/>
  <c r="D110" i="87"/>
  <c r="D111" i="87"/>
  <c r="D112" i="87"/>
  <c r="D113" i="87"/>
  <c r="D114" i="87"/>
  <c r="D115" i="87"/>
  <c r="D116" i="87"/>
  <c r="D117" i="87"/>
  <c r="D118" i="87"/>
  <c r="D119" i="87"/>
  <c r="D120" i="87"/>
  <c r="D121" i="87"/>
  <c r="D122" i="87"/>
  <c r="D123" i="87"/>
  <c r="D124" i="87"/>
  <c r="D125" i="87"/>
  <c r="D126" i="87"/>
  <c r="D127" i="87"/>
  <c r="D128" i="87"/>
  <c r="C81" i="87"/>
  <c r="C82" i="87"/>
  <c r="C83" i="87"/>
  <c r="C84" i="87"/>
  <c r="C85" i="87"/>
  <c r="C86" i="87"/>
  <c r="C87" i="87"/>
  <c r="C88" i="87"/>
  <c r="C89" i="87"/>
  <c r="C90" i="87"/>
  <c r="C91" i="87"/>
  <c r="C92" i="87"/>
  <c r="C93" i="87"/>
  <c r="C94" i="87"/>
  <c r="C95" i="87"/>
  <c r="C96" i="87"/>
  <c r="C97" i="87"/>
  <c r="C98" i="87"/>
  <c r="C99" i="87"/>
  <c r="C100" i="87"/>
  <c r="C101" i="87"/>
  <c r="C102" i="87"/>
  <c r="C103" i="87"/>
  <c r="C104" i="87"/>
  <c r="C105" i="87"/>
  <c r="C106" i="87"/>
  <c r="C107" i="87"/>
  <c r="C108" i="87"/>
  <c r="C109" i="87"/>
  <c r="C110" i="87"/>
  <c r="C111" i="87"/>
  <c r="C112" i="87"/>
  <c r="C113" i="87"/>
  <c r="C114" i="87"/>
  <c r="C115" i="87"/>
  <c r="C116" i="87"/>
  <c r="C117" i="87"/>
  <c r="C118" i="87"/>
  <c r="C119" i="87"/>
  <c r="C120" i="87"/>
  <c r="C121" i="87"/>
  <c r="C122" i="87"/>
  <c r="C123" i="87"/>
  <c r="C124" i="87"/>
  <c r="C125" i="87"/>
  <c r="C126" i="87"/>
  <c r="C127" i="87"/>
  <c r="C128" i="87"/>
  <c r="O27" i="87"/>
  <c r="O28" i="87"/>
  <c r="O29" i="87"/>
  <c r="O30" i="87"/>
  <c r="O31" i="87"/>
  <c r="O32" i="87"/>
  <c r="O33" i="87"/>
  <c r="O34" i="87"/>
  <c r="O35" i="87"/>
  <c r="O36" i="87"/>
  <c r="O37" i="87"/>
  <c r="O38" i="87"/>
  <c r="O39" i="87"/>
  <c r="O40" i="87"/>
  <c r="O41" i="87"/>
  <c r="O42" i="87"/>
  <c r="O43" i="87"/>
  <c r="O44" i="87"/>
  <c r="O45" i="87"/>
  <c r="O46" i="87"/>
  <c r="O47" i="87"/>
  <c r="O48" i="87"/>
  <c r="O49" i="87"/>
  <c r="O50" i="87"/>
  <c r="O51" i="87"/>
  <c r="O52" i="87"/>
  <c r="O53" i="87"/>
  <c r="O54" i="87"/>
  <c r="O55" i="87"/>
  <c r="O56" i="87"/>
  <c r="O57" i="87"/>
  <c r="O58" i="87"/>
  <c r="O59" i="87"/>
  <c r="O60" i="87"/>
  <c r="O61" i="87"/>
  <c r="O62" i="87"/>
  <c r="O63" i="87"/>
  <c r="O64" i="87"/>
  <c r="O65" i="87"/>
  <c r="O66" i="87"/>
  <c r="O67" i="87"/>
  <c r="O68" i="87"/>
  <c r="O69" i="87"/>
  <c r="O70" i="87"/>
  <c r="O71" i="87"/>
  <c r="O72" i="87"/>
  <c r="O73" i="87"/>
  <c r="O74" i="87"/>
  <c r="L27" i="87"/>
  <c r="M27" i="87"/>
  <c r="N27" i="87"/>
  <c r="L28" i="87"/>
  <c r="M28" i="87"/>
  <c r="N28" i="87"/>
  <c r="L29" i="87"/>
  <c r="M29" i="87"/>
  <c r="N29" i="87"/>
  <c r="L30" i="87"/>
  <c r="M30" i="87"/>
  <c r="N30" i="87"/>
  <c r="L31" i="87"/>
  <c r="M31" i="87"/>
  <c r="N31" i="87"/>
  <c r="L32" i="87"/>
  <c r="M32" i="87"/>
  <c r="N32" i="87"/>
  <c r="L33" i="87"/>
  <c r="M33" i="87"/>
  <c r="N33" i="87"/>
  <c r="L34" i="87"/>
  <c r="M34" i="87"/>
  <c r="N34" i="87"/>
  <c r="L35" i="87"/>
  <c r="M35" i="87"/>
  <c r="N35" i="87"/>
  <c r="L36" i="87"/>
  <c r="M36" i="87"/>
  <c r="N36" i="87"/>
  <c r="L37" i="87"/>
  <c r="M37" i="87"/>
  <c r="N37" i="87"/>
  <c r="L38" i="87"/>
  <c r="M38" i="87"/>
  <c r="N38" i="87"/>
  <c r="L39" i="87"/>
  <c r="M39" i="87"/>
  <c r="N39" i="87"/>
  <c r="L40" i="87"/>
  <c r="M40" i="87"/>
  <c r="N40" i="87"/>
  <c r="L41" i="87"/>
  <c r="M41" i="87"/>
  <c r="N41" i="87"/>
  <c r="L42" i="87"/>
  <c r="M42" i="87"/>
  <c r="N42" i="87"/>
  <c r="L43" i="87"/>
  <c r="M43" i="87"/>
  <c r="N43" i="87"/>
  <c r="L44" i="87"/>
  <c r="M44" i="87"/>
  <c r="N44" i="87"/>
  <c r="L45" i="87"/>
  <c r="M45" i="87"/>
  <c r="N45" i="87"/>
  <c r="L46" i="87"/>
  <c r="M46" i="87"/>
  <c r="N46" i="87"/>
  <c r="L47" i="87"/>
  <c r="M47" i="87"/>
  <c r="N47" i="87"/>
  <c r="L48" i="87"/>
  <c r="M48" i="87"/>
  <c r="N48" i="87"/>
  <c r="L49" i="87"/>
  <c r="M49" i="87"/>
  <c r="N49" i="87"/>
  <c r="L50" i="87"/>
  <c r="M50" i="87"/>
  <c r="N50" i="87"/>
  <c r="L51" i="87"/>
  <c r="M51" i="87"/>
  <c r="N51" i="87"/>
  <c r="L52" i="87"/>
  <c r="M52" i="87"/>
  <c r="N52" i="87"/>
  <c r="L53" i="87"/>
  <c r="M53" i="87"/>
  <c r="N53" i="87"/>
  <c r="L54" i="87"/>
  <c r="M54" i="87"/>
  <c r="N54" i="87"/>
  <c r="L55" i="87"/>
  <c r="M55" i="87"/>
  <c r="N55" i="87"/>
  <c r="L56" i="87"/>
  <c r="M56" i="87"/>
  <c r="N56" i="87"/>
  <c r="L57" i="87"/>
  <c r="M57" i="87"/>
  <c r="N57" i="87"/>
  <c r="L58" i="87"/>
  <c r="M58" i="87"/>
  <c r="N58" i="87"/>
  <c r="L59" i="87"/>
  <c r="M59" i="87"/>
  <c r="N59" i="87"/>
  <c r="L60" i="87"/>
  <c r="M60" i="87"/>
  <c r="N60" i="87"/>
  <c r="L61" i="87"/>
  <c r="M61" i="87"/>
  <c r="N61" i="87"/>
  <c r="L62" i="87"/>
  <c r="M62" i="87"/>
  <c r="N62" i="87"/>
  <c r="L63" i="87"/>
  <c r="M63" i="87"/>
  <c r="N63" i="87"/>
  <c r="L64" i="87"/>
  <c r="M64" i="87"/>
  <c r="N64" i="87"/>
  <c r="L65" i="87"/>
  <c r="M65" i="87"/>
  <c r="N65" i="87"/>
  <c r="L66" i="87"/>
  <c r="M66" i="87"/>
  <c r="N66" i="87"/>
  <c r="L67" i="87"/>
  <c r="M67" i="87"/>
  <c r="N67" i="87"/>
  <c r="L68" i="87"/>
  <c r="M68" i="87"/>
  <c r="N68" i="87"/>
  <c r="L69" i="87"/>
  <c r="M69" i="87"/>
  <c r="N69" i="87"/>
  <c r="L70" i="87"/>
  <c r="M70" i="87"/>
  <c r="N70" i="87"/>
  <c r="L71" i="87"/>
  <c r="M71" i="87"/>
  <c r="N71" i="87"/>
  <c r="L72" i="87"/>
  <c r="M72" i="87"/>
  <c r="N72" i="87"/>
  <c r="L73" i="87"/>
  <c r="M73" i="87"/>
  <c r="N73" i="87"/>
  <c r="L74" i="87"/>
  <c r="M74" i="87"/>
  <c r="N74" i="87"/>
  <c r="K27" i="87"/>
  <c r="K28" i="87"/>
  <c r="K29" i="87"/>
  <c r="K30" i="87"/>
  <c r="K31" i="87"/>
  <c r="K32" i="87"/>
  <c r="K33" i="87"/>
  <c r="K34" i="87"/>
  <c r="K35" i="87"/>
  <c r="K36" i="87"/>
  <c r="K37" i="87"/>
  <c r="K38" i="87"/>
  <c r="K39" i="87"/>
  <c r="K40" i="87"/>
  <c r="K41" i="87"/>
  <c r="K42" i="87"/>
  <c r="K43" i="87"/>
  <c r="K44" i="87"/>
  <c r="K45" i="87"/>
  <c r="K46" i="87"/>
  <c r="K47" i="87"/>
  <c r="K48" i="87"/>
  <c r="K49" i="87"/>
  <c r="K50" i="87"/>
  <c r="K51" i="87"/>
  <c r="K52" i="87"/>
  <c r="K53" i="87"/>
  <c r="K54" i="87"/>
  <c r="K55" i="87"/>
  <c r="K56" i="87"/>
  <c r="K57" i="87"/>
  <c r="K58" i="87"/>
  <c r="K59" i="87"/>
  <c r="K60" i="87"/>
  <c r="K61" i="87"/>
  <c r="K62" i="87"/>
  <c r="K63" i="87"/>
  <c r="K64" i="87"/>
  <c r="K65" i="87"/>
  <c r="K66" i="87"/>
  <c r="K67" i="87"/>
  <c r="K68" i="87"/>
  <c r="K69" i="87"/>
  <c r="K70" i="87"/>
  <c r="K71" i="87"/>
  <c r="K72" i="87"/>
  <c r="K73" i="87"/>
  <c r="K74" i="87"/>
  <c r="J27" i="87"/>
  <c r="J28" i="87"/>
  <c r="J29" i="87"/>
  <c r="J30" i="87"/>
  <c r="J31" i="87"/>
  <c r="J32" i="87"/>
  <c r="J33" i="87"/>
  <c r="J34" i="87"/>
  <c r="J35" i="87"/>
  <c r="J36" i="87"/>
  <c r="J37" i="87"/>
  <c r="J38" i="87"/>
  <c r="J39" i="87"/>
  <c r="J40" i="87"/>
  <c r="J41" i="87"/>
  <c r="J42" i="87"/>
  <c r="J43" i="87"/>
  <c r="J44" i="87"/>
  <c r="J45" i="87"/>
  <c r="J46" i="87"/>
  <c r="J47" i="87"/>
  <c r="J48" i="87"/>
  <c r="J49" i="87"/>
  <c r="J50" i="87"/>
  <c r="J51" i="87"/>
  <c r="J52" i="87"/>
  <c r="J53" i="87"/>
  <c r="J54" i="87"/>
  <c r="J55" i="87"/>
  <c r="J56" i="87"/>
  <c r="J57" i="87"/>
  <c r="J58" i="87"/>
  <c r="J59" i="87"/>
  <c r="J60" i="87"/>
  <c r="J61" i="87"/>
  <c r="J62" i="87"/>
  <c r="J63" i="87"/>
  <c r="J64" i="87"/>
  <c r="J65" i="87"/>
  <c r="J66" i="87"/>
  <c r="J67" i="87"/>
  <c r="J68" i="87"/>
  <c r="J69" i="87"/>
  <c r="J70" i="87"/>
  <c r="J71" i="87"/>
  <c r="J72" i="87"/>
  <c r="J73" i="87"/>
  <c r="J74" i="87"/>
  <c r="I27" i="87"/>
  <c r="I28" i="87"/>
  <c r="I29" i="87"/>
  <c r="I30" i="87"/>
  <c r="I31" i="87"/>
  <c r="I32" i="87"/>
  <c r="I33" i="87"/>
  <c r="I34" i="87"/>
  <c r="I35" i="87"/>
  <c r="I36" i="87"/>
  <c r="I37" i="87"/>
  <c r="I38" i="87"/>
  <c r="I39" i="87"/>
  <c r="I40" i="87"/>
  <c r="I41" i="87"/>
  <c r="I42" i="87"/>
  <c r="I43" i="87"/>
  <c r="I44" i="87"/>
  <c r="I45" i="87"/>
  <c r="I46" i="87"/>
  <c r="I47" i="87"/>
  <c r="I48" i="87"/>
  <c r="I49" i="87"/>
  <c r="I50" i="87"/>
  <c r="I51" i="87"/>
  <c r="I52" i="87"/>
  <c r="I53" i="87"/>
  <c r="I54" i="87"/>
  <c r="I55" i="87"/>
  <c r="I56" i="87"/>
  <c r="I57" i="87"/>
  <c r="I58" i="87"/>
  <c r="I59" i="87"/>
  <c r="I60" i="87"/>
  <c r="I61" i="87"/>
  <c r="I62" i="87"/>
  <c r="I63" i="87"/>
  <c r="I64" i="87"/>
  <c r="I65" i="87"/>
  <c r="I66" i="87"/>
  <c r="I67" i="87"/>
  <c r="I68" i="87"/>
  <c r="I69" i="87"/>
  <c r="I70" i="87"/>
  <c r="I71" i="87"/>
  <c r="I72" i="87"/>
  <c r="I73" i="87"/>
  <c r="I74" i="87"/>
  <c r="H27" i="87"/>
  <c r="H28" i="87"/>
  <c r="H29" i="87"/>
  <c r="H30" i="87"/>
  <c r="H31" i="87"/>
  <c r="H32" i="87"/>
  <c r="H33" i="87"/>
  <c r="H34" i="87"/>
  <c r="H35" i="87"/>
  <c r="H36" i="87"/>
  <c r="H37" i="87"/>
  <c r="H38" i="87"/>
  <c r="H39" i="87"/>
  <c r="H40" i="87"/>
  <c r="H41" i="87"/>
  <c r="H42" i="87"/>
  <c r="H43" i="87"/>
  <c r="H44" i="87"/>
  <c r="H45" i="87"/>
  <c r="H46" i="87"/>
  <c r="H47" i="87"/>
  <c r="H48" i="87"/>
  <c r="H49" i="87"/>
  <c r="H50" i="87"/>
  <c r="H51" i="87"/>
  <c r="H52" i="87"/>
  <c r="H53" i="87"/>
  <c r="H54" i="87"/>
  <c r="H55" i="87"/>
  <c r="H56" i="87"/>
  <c r="H57" i="87"/>
  <c r="H58" i="87"/>
  <c r="H59" i="87"/>
  <c r="H60" i="87"/>
  <c r="H61" i="87"/>
  <c r="H62" i="87"/>
  <c r="H63" i="87"/>
  <c r="H64" i="87"/>
  <c r="H65" i="87"/>
  <c r="H66" i="87"/>
  <c r="H67" i="87"/>
  <c r="H68" i="87"/>
  <c r="H69" i="87"/>
  <c r="H70" i="87"/>
  <c r="H71" i="87"/>
  <c r="H72" i="87"/>
  <c r="H73" i="87"/>
  <c r="H74" i="87"/>
  <c r="G27" i="87"/>
  <c r="G28" i="87"/>
  <c r="G29" i="87"/>
  <c r="G30" i="87"/>
  <c r="G31" i="87"/>
  <c r="G32" i="87"/>
  <c r="G33" i="87"/>
  <c r="G34" i="87"/>
  <c r="G35" i="87"/>
  <c r="G36" i="87"/>
  <c r="G37" i="87"/>
  <c r="G38" i="87"/>
  <c r="G39" i="87"/>
  <c r="G40" i="87"/>
  <c r="G41" i="87"/>
  <c r="G42" i="87"/>
  <c r="G43" i="87"/>
  <c r="G44" i="87"/>
  <c r="G45" i="87"/>
  <c r="G46" i="87"/>
  <c r="G47" i="87"/>
  <c r="G48" i="87"/>
  <c r="G49" i="87"/>
  <c r="G50" i="87"/>
  <c r="G51" i="87"/>
  <c r="G52" i="87"/>
  <c r="G53" i="87"/>
  <c r="G54" i="87"/>
  <c r="G55" i="87"/>
  <c r="G56" i="87"/>
  <c r="G57" i="87"/>
  <c r="G58" i="87"/>
  <c r="G59" i="87"/>
  <c r="G60" i="87"/>
  <c r="G61" i="87"/>
  <c r="G62" i="87"/>
  <c r="G63" i="87"/>
  <c r="G64" i="87"/>
  <c r="G65" i="87"/>
  <c r="G66" i="87"/>
  <c r="G67" i="87"/>
  <c r="G68" i="87"/>
  <c r="G69" i="87"/>
  <c r="G70" i="87"/>
  <c r="G71" i="87"/>
  <c r="G72" i="87"/>
  <c r="G73" i="87"/>
  <c r="G74" i="87"/>
  <c r="F27" i="87"/>
  <c r="F28" i="87"/>
  <c r="F29" i="87"/>
  <c r="F30" i="87"/>
  <c r="F31" i="87"/>
  <c r="F32" i="87"/>
  <c r="F33" i="87"/>
  <c r="F34" i="87"/>
  <c r="F35" i="87"/>
  <c r="F36" i="87"/>
  <c r="F37" i="87"/>
  <c r="F38" i="87"/>
  <c r="F39" i="87"/>
  <c r="F40" i="87"/>
  <c r="F41" i="87"/>
  <c r="F42" i="87"/>
  <c r="F43" i="87"/>
  <c r="F44" i="87"/>
  <c r="F45" i="87"/>
  <c r="F46" i="87"/>
  <c r="F47" i="87"/>
  <c r="F48" i="87"/>
  <c r="F49" i="87"/>
  <c r="F50" i="87"/>
  <c r="F51" i="87"/>
  <c r="F52" i="87"/>
  <c r="F53" i="87"/>
  <c r="F54" i="87"/>
  <c r="F55" i="87"/>
  <c r="F56" i="87"/>
  <c r="F57" i="87"/>
  <c r="F58" i="87"/>
  <c r="F59" i="87"/>
  <c r="F60" i="87"/>
  <c r="F61" i="87"/>
  <c r="F62" i="87"/>
  <c r="F63" i="87"/>
  <c r="F64" i="87"/>
  <c r="F65" i="87"/>
  <c r="F66" i="87"/>
  <c r="F67" i="87"/>
  <c r="F68" i="87"/>
  <c r="F69" i="87"/>
  <c r="F70" i="87"/>
  <c r="F71" i="87"/>
  <c r="F72" i="87"/>
  <c r="F73" i="87"/>
  <c r="F74" i="87"/>
  <c r="E50" i="87"/>
  <c r="E51" i="87"/>
  <c r="E52" i="87"/>
  <c r="E53" i="87"/>
  <c r="E54" i="87"/>
  <c r="E55" i="87"/>
  <c r="E56" i="87"/>
  <c r="E57" i="87"/>
  <c r="E58" i="87"/>
  <c r="E59" i="87"/>
  <c r="E60" i="87"/>
  <c r="E61" i="87"/>
  <c r="E62" i="87"/>
  <c r="E63" i="87"/>
  <c r="E64" i="87"/>
  <c r="E65" i="87"/>
  <c r="E66" i="87"/>
  <c r="E67" i="87"/>
  <c r="E68" i="87"/>
  <c r="E69" i="87"/>
  <c r="E70" i="87"/>
  <c r="E71" i="87"/>
  <c r="E72" i="87"/>
  <c r="E73" i="87"/>
  <c r="E74" i="87"/>
  <c r="D60" i="87"/>
  <c r="D61" i="87"/>
  <c r="D62" i="87"/>
  <c r="D63" i="87"/>
  <c r="D64" i="87"/>
  <c r="D65" i="87"/>
  <c r="D66" i="87"/>
  <c r="D67" i="87"/>
  <c r="D68" i="87"/>
  <c r="D69" i="87"/>
  <c r="D70" i="87"/>
  <c r="D71" i="87"/>
  <c r="D72" i="87"/>
  <c r="D73" i="87"/>
  <c r="D74" i="87"/>
  <c r="C64" i="87"/>
  <c r="C65" i="87"/>
  <c r="C66" i="87"/>
  <c r="C67" i="87"/>
  <c r="C68" i="87"/>
  <c r="C69" i="87"/>
  <c r="C70" i="87"/>
  <c r="C71" i="87"/>
  <c r="C72" i="87"/>
  <c r="C73" i="87"/>
  <c r="C74" i="87"/>
  <c r="C63" i="87"/>
  <c r="C62" i="87"/>
  <c r="C61" i="87"/>
  <c r="C60" i="87"/>
  <c r="T211" i="100" l="1"/>
  <c r="E211" i="100"/>
  <c r="F211" i="100"/>
  <c r="G211" i="100"/>
  <c r="H211" i="100"/>
  <c r="I211" i="100"/>
  <c r="J211" i="100"/>
  <c r="K211" i="100"/>
  <c r="L211" i="100"/>
  <c r="M211" i="100"/>
  <c r="N211" i="100"/>
  <c r="O211" i="100"/>
  <c r="P211" i="100"/>
  <c r="Q211" i="100"/>
  <c r="R211" i="100"/>
  <c r="S211" i="100"/>
  <c r="D211" i="100"/>
  <c r="T206" i="100"/>
  <c r="E206" i="100"/>
  <c r="F206" i="100"/>
  <c r="G206" i="100"/>
  <c r="H206" i="100"/>
  <c r="I206" i="100"/>
  <c r="J206" i="100"/>
  <c r="K206" i="100"/>
  <c r="L206" i="100"/>
  <c r="M206" i="100"/>
  <c r="N206" i="100"/>
  <c r="O206" i="100"/>
  <c r="P206" i="100"/>
  <c r="Q206" i="100"/>
  <c r="R206" i="100"/>
  <c r="S206" i="100"/>
  <c r="D206" i="100"/>
  <c r="T201" i="100"/>
  <c r="E201" i="100"/>
  <c r="F201" i="100"/>
  <c r="G201" i="100"/>
  <c r="H201" i="100"/>
  <c r="I201" i="100"/>
  <c r="J201" i="100"/>
  <c r="K201" i="100"/>
  <c r="L201" i="100"/>
  <c r="M201" i="100"/>
  <c r="N201" i="100"/>
  <c r="O201" i="100"/>
  <c r="P201" i="100"/>
  <c r="Q201" i="100"/>
  <c r="R201" i="100"/>
  <c r="S201" i="100"/>
  <c r="D201" i="100"/>
  <c r="T196" i="100"/>
  <c r="E196" i="100"/>
  <c r="F196" i="100"/>
  <c r="G196" i="100"/>
  <c r="H196" i="100"/>
  <c r="I196" i="100"/>
  <c r="J196" i="100"/>
  <c r="K196" i="100"/>
  <c r="L196" i="100"/>
  <c r="M196" i="100"/>
  <c r="N196" i="100"/>
  <c r="O196" i="100"/>
  <c r="P196" i="100"/>
  <c r="Q196" i="100"/>
  <c r="R196" i="100"/>
  <c r="S196" i="100"/>
  <c r="D196" i="100"/>
  <c r="T191" i="100"/>
  <c r="E191" i="100"/>
  <c r="F191" i="100"/>
  <c r="G191" i="100"/>
  <c r="H191" i="100"/>
  <c r="I191" i="100"/>
  <c r="J191" i="100"/>
  <c r="K191" i="100"/>
  <c r="L191" i="100"/>
  <c r="M191" i="100"/>
  <c r="N191" i="100"/>
  <c r="O191" i="100"/>
  <c r="P191" i="100"/>
  <c r="Q191" i="100"/>
  <c r="R191" i="100"/>
  <c r="S191" i="100"/>
  <c r="D191" i="100"/>
  <c r="T186" i="100"/>
  <c r="E186" i="100"/>
  <c r="F186" i="100"/>
  <c r="G186" i="100"/>
  <c r="H186" i="100"/>
  <c r="I186" i="100"/>
  <c r="J186" i="100"/>
  <c r="K186" i="100"/>
  <c r="L186" i="100"/>
  <c r="M186" i="100"/>
  <c r="N186" i="100"/>
  <c r="O186" i="100"/>
  <c r="P186" i="100"/>
  <c r="Q186" i="100"/>
  <c r="R186" i="100"/>
  <c r="S186" i="100"/>
  <c r="D186" i="100"/>
  <c r="T181" i="100"/>
  <c r="E181" i="100"/>
  <c r="F181" i="100"/>
  <c r="G181" i="100"/>
  <c r="H181" i="100"/>
  <c r="I181" i="100"/>
  <c r="J181" i="100"/>
  <c r="K181" i="100"/>
  <c r="L181" i="100"/>
  <c r="M181" i="100"/>
  <c r="N181" i="100"/>
  <c r="O181" i="100"/>
  <c r="P181" i="100"/>
  <c r="Q181" i="100"/>
  <c r="R181" i="100"/>
  <c r="S181" i="100"/>
  <c r="D181" i="100"/>
  <c r="T176" i="100"/>
  <c r="E176" i="100"/>
  <c r="F176" i="100"/>
  <c r="G176" i="100"/>
  <c r="H176" i="100"/>
  <c r="I176" i="100"/>
  <c r="J176" i="100"/>
  <c r="K176" i="100"/>
  <c r="L176" i="100"/>
  <c r="M176" i="100"/>
  <c r="N176" i="100"/>
  <c r="O176" i="100"/>
  <c r="P176" i="100"/>
  <c r="Q176" i="100"/>
  <c r="R176" i="100"/>
  <c r="S176" i="100"/>
  <c r="D176" i="100"/>
  <c r="T171" i="100"/>
  <c r="E171" i="100"/>
  <c r="F171" i="100"/>
  <c r="G171" i="100"/>
  <c r="H171" i="100"/>
  <c r="I171" i="100"/>
  <c r="J171" i="100"/>
  <c r="K171" i="100"/>
  <c r="L171" i="100"/>
  <c r="M171" i="100"/>
  <c r="N171" i="100"/>
  <c r="O171" i="100"/>
  <c r="P171" i="100"/>
  <c r="Q171" i="100"/>
  <c r="R171" i="100"/>
  <c r="S171" i="100"/>
  <c r="D171" i="100"/>
  <c r="T166" i="100"/>
  <c r="E166" i="100"/>
  <c r="F166" i="100"/>
  <c r="G166" i="100"/>
  <c r="H166" i="100"/>
  <c r="I166" i="100"/>
  <c r="J166" i="100"/>
  <c r="K166" i="100"/>
  <c r="L166" i="100"/>
  <c r="M166" i="100"/>
  <c r="N166" i="100"/>
  <c r="O166" i="100"/>
  <c r="P166" i="100"/>
  <c r="Q166" i="100"/>
  <c r="R166" i="100"/>
  <c r="S166" i="100"/>
  <c r="D166" i="100"/>
  <c r="T161" i="100"/>
  <c r="E161" i="100"/>
  <c r="F161" i="100"/>
  <c r="G161" i="100"/>
  <c r="H161" i="100"/>
  <c r="I161" i="100"/>
  <c r="J161" i="100"/>
  <c r="K161" i="100"/>
  <c r="L161" i="100"/>
  <c r="M161" i="100"/>
  <c r="N161" i="100"/>
  <c r="O161" i="100"/>
  <c r="P161" i="100"/>
  <c r="Q161" i="100"/>
  <c r="R161" i="100"/>
  <c r="S161" i="100"/>
  <c r="D161" i="100"/>
  <c r="T156" i="100"/>
  <c r="E156" i="100"/>
  <c r="F156" i="100"/>
  <c r="G156" i="100"/>
  <c r="H156" i="100"/>
  <c r="I156" i="100"/>
  <c r="J156" i="100"/>
  <c r="K156" i="100"/>
  <c r="L156" i="100"/>
  <c r="M156" i="100"/>
  <c r="N156" i="100"/>
  <c r="O156" i="100"/>
  <c r="P156" i="100"/>
  <c r="Q156" i="100"/>
  <c r="R156" i="100"/>
  <c r="S156" i="100"/>
  <c r="D156" i="100"/>
  <c r="T151" i="100"/>
  <c r="E151" i="100"/>
  <c r="F151" i="100"/>
  <c r="G151" i="100"/>
  <c r="H151" i="100"/>
  <c r="I151" i="100"/>
  <c r="J151" i="100"/>
  <c r="K151" i="100"/>
  <c r="L151" i="100"/>
  <c r="M151" i="100"/>
  <c r="N151" i="100"/>
  <c r="O151" i="100"/>
  <c r="P151" i="100"/>
  <c r="Q151" i="100"/>
  <c r="R151" i="100"/>
  <c r="S151" i="100"/>
  <c r="D151" i="100"/>
  <c r="T141" i="100" a="1"/>
  <c r="T141" i="100" s="1"/>
  <c r="E141" i="100" a="1"/>
  <c r="E141" i="100" s="1"/>
  <c r="F141" i="100" a="1"/>
  <c r="F141" i="100" s="1"/>
  <c r="G141" i="100" a="1"/>
  <c r="G141" i="100" s="1"/>
  <c r="H141" i="100" a="1"/>
  <c r="H141" i="100" s="1"/>
  <c r="I141" i="100" a="1"/>
  <c r="I141" i="100" s="1"/>
  <c r="J141" i="100" a="1"/>
  <c r="J141" i="100" s="1"/>
  <c r="K141" i="100" a="1"/>
  <c r="K141" i="100" s="1"/>
  <c r="L141" i="100" a="1"/>
  <c r="L141" i="100" s="1"/>
  <c r="M141" i="100" a="1"/>
  <c r="M141" i="100" s="1"/>
  <c r="N141" i="100" a="1"/>
  <c r="N141" i="100" s="1"/>
  <c r="O141" i="100" a="1"/>
  <c r="O141" i="100" s="1"/>
  <c r="P141" i="100" a="1"/>
  <c r="P141" i="100" s="1"/>
  <c r="Q141" i="100" a="1"/>
  <c r="Q141" i="100" s="1"/>
  <c r="R141" i="100" a="1"/>
  <c r="R141" i="100" s="1"/>
  <c r="S141" i="100" a="1"/>
  <c r="S141" i="100" s="1"/>
  <c r="D141" i="100" a="1"/>
  <c r="D141" i="100" s="1"/>
  <c r="T136" i="100" a="1"/>
  <c r="T136" i="100" s="1"/>
  <c r="E136" i="100" a="1"/>
  <c r="E136" i="100" s="1"/>
  <c r="F136" i="100" a="1"/>
  <c r="F136" i="100" s="1"/>
  <c r="G136" i="100" a="1"/>
  <c r="G136" i="100" s="1"/>
  <c r="H136" i="100" a="1"/>
  <c r="H136" i="100" s="1"/>
  <c r="I136" i="100" a="1"/>
  <c r="I136" i="100" s="1"/>
  <c r="J136" i="100" a="1"/>
  <c r="J136" i="100" s="1"/>
  <c r="K136" i="100" a="1"/>
  <c r="K136" i="100" s="1"/>
  <c r="L136" i="100" a="1"/>
  <c r="L136" i="100" s="1"/>
  <c r="M136" i="100" a="1"/>
  <c r="M136" i="100" s="1"/>
  <c r="N136" i="100" a="1"/>
  <c r="N136" i="100" s="1"/>
  <c r="O136" i="100" a="1"/>
  <c r="O136" i="100" s="1"/>
  <c r="P136" i="100" a="1"/>
  <c r="P136" i="100" s="1"/>
  <c r="Q136" i="100" a="1"/>
  <c r="Q136" i="100" s="1"/>
  <c r="R136" i="100" a="1"/>
  <c r="R136" i="100" s="1"/>
  <c r="S136" i="100" a="1"/>
  <c r="S136" i="100" s="1"/>
  <c r="D136" i="100" a="1"/>
  <c r="D136" i="100" s="1"/>
  <c r="T131" i="100" a="1"/>
  <c r="T131" i="100" s="1"/>
  <c r="E131" i="100" a="1"/>
  <c r="E131" i="100" s="1"/>
  <c r="F131" i="100" a="1"/>
  <c r="F131" i="100" s="1"/>
  <c r="G131" i="100" a="1"/>
  <c r="G131" i="100" s="1"/>
  <c r="H131" i="100" a="1"/>
  <c r="H131" i="100" s="1"/>
  <c r="I131" i="100" a="1"/>
  <c r="I131" i="100" s="1"/>
  <c r="J131" i="100" a="1"/>
  <c r="J131" i="100" s="1"/>
  <c r="K131" i="100" a="1"/>
  <c r="K131" i="100" s="1"/>
  <c r="L131" i="100" a="1"/>
  <c r="L131" i="100" s="1"/>
  <c r="M131" i="100" a="1"/>
  <c r="M131" i="100" s="1"/>
  <c r="N131" i="100" a="1"/>
  <c r="N131" i="100" s="1"/>
  <c r="O131" i="100" a="1"/>
  <c r="O131" i="100" s="1"/>
  <c r="P131" i="100" a="1"/>
  <c r="P131" i="100" s="1"/>
  <c r="Q131" i="100" a="1"/>
  <c r="Q131" i="100" s="1"/>
  <c r="R131" i="100" a="1"/>
  <c r="R131" i="100" s="1"/>
  <c r="S131" i="100" a="1"/>
  <c r="S131" i="100" s="1"/>
  <c r="D131" i="100" a="1"/>
  <c r="D131" i="100" s="1"/>
  <c r="T126" i="100" a="1"/>
  <c r="T126" i="100" s="1"/>
  <c r="E126" i="100" a="1"/>
  <c r="E126" i="100" s="1"/>
  <c r="F126" i="100" a="1"/>
  <c r="F126" i="100" s="1"/>
  <c r="G126" i="100" a="1"/>
  <c r="G126" i="100" s="1"/>
  <c r="H126" i="100" a="1"/>
  <c r="H126" i="100" s="1"/>
  <c r="I126" i="100" a="1"/>
  <c r="I126" i="100" s="1"/>
  <c r="J126" i="100" a="1"/>
  <c r="J126" i="100" s="1"/>
  <c r="K126" i="100" a="1"/>
  <c r="K126" i="100" s="1"/>
  <c r="L126" i="100" a="1"/>
  <c r="L126" i="100" s="1"/>
  <c r="M126" i="100" a="1"/>
  <c r="M126" i="100" s="1"/>
  <c r="N126" i="100" a="1"/>
  <c r="N126" i="100" s="1"/>
  <c r="O126" i="100" a="1"/>
  <c r="O126" i="100" s="1"/>
  <c r="P126" i="100" a="1"/>
  <c r="P126" i="100" s="1"/>
  <c r="Q126" i="100" a="1"/>
  <c r="Q126" i="100" s="1"/>
  <c r="R126" i="100" a="1"/>
  <c r="R126" i="100" s="1"/>
  <c r="S126" i="100" a="1"/>
  <c r="S126" i="100" s="1"/>
  <c r="D126" i="100" a="1"/>
  <c r="D126" i="100" s="1"/>
  <c r="T121" i="100" a="1"/>
  <c r="T121" i="100" s="1"/>
  <c r="E121" i="100" a="1"/>
  <c r="E121" i="100" s="1"/>
  <c r="F121" i="100" a="1"/>
  <c r="F121" i="100" s="1"/>
  <c r="G121" i="100" a="1"/>
  <c r="G121" i="100" s="1"/>
  <c r="H121" i="100" a="1"/>
  <c r="H121" i="100" s="1"/>
  <c r="I121" i="100" a="1"/>
  <c r="I121" i="100" s="1"/>
  <c r="J121" i="100" a="1"/>
  <c r="J121" i="100" s="1"/>
  <c r="K121" i="100" a="1"/>
  <c r="K121" i="100" s="1"/>
  <c r="L121" i="100" a="1"/>
  <c r="L121" i="100" s="1"/>
  <c r="M121" i="100" a="1"/>
  <c r="M121" i="100" s="1"/>
  <c r="N121" i="100" a="1"/>
  <c r="N121" i="100" s="1"/>
  <c r="O121" i="100" a="1"/>
  <c r="O121" i="100" s="1"/>
  <c r="P121" i="100" a="1"/>
  <c r="P121" i="100" s="1"/>
  <c r="Q121" i="100" a="1"/>
  <c r="Q121" i="100" s="1"/>
  <c r="R121" i="100" a="1"/>
  <c r="R121" i="100" s="1"/>
  <c r="S121" i="100" a="1"/>
  <c r="S121" i="100" s="1"/>
  <c r="D121" i="100" a="1"/>
  <c r="D121" i="100" s="1"/>
  <c r="T116" i="100" a="1"/>
  <c r="T116" i="100" s="1"/>
  <c r="E116" i="100" a="1"/>
  <c r="E116" i="100" s="1"/>
  <c r="F116" i="100" a="1"/>
  <c r="F116" i="100" s="1"/>
  <c r="G116" i="100" a="1"/>
  <c r="G116" i="100" s="1"/>
  <c r="H116" i="100" a="1"/>
  <c r="H116" i="100" s="1"/>
  <c r="I116" i="100" a="1"/>
  <c r="I116" i="100" s="1"/>
  <c r="J116" i="100" a="1"/>
  <c r="J116" i="100" s="1"/>
  <c r="K116" i="100" a="1"/>
  <c r="K116" i="100" s="1"/>
  <c r="L116" i="100" a="1"/>
  <c r="L116" i="100" s="1"/>
  <c r="M116" i="100" a="1"/>
  <c r="M116" i="100" s="1"/>
  <c r="N116" i="100" a="1"/>
  <c r="N116" i="100" s="1"/>
  <c r="O116" i="100" a="1"/>
  <c r="O116" i="100" s="1"/>
  <c r="P116" i="100" a="1"/>
  <c r="P116" i="100" s="1"/>
  <c r="Q116" i="100" a="1"/>
  <c r="Q116" i="100" s="1"/>
  <c r="R116" i="100" a="1"/>
  <c r="R116" i="100" s="1"/>
  <c r="S116" i="100" a="1"/>
  <c r="S116" i="100" s="1"/>
  <c r="D116" i="100" a="1"/>
  <c r="D116" i="100" s="1"/>
  <c r="T109" i="100" a="1"/>
  <c r="T109" i="100" s="1"/>
  <c r="T108" i="100" a="1"/>
  <c r="T108" i="100" s="1"/>
  <c r="D107" i="100" a="1"/>
  <c r="D107" i="100" s="1"/>
  <c r="E107" i="100" a="1"/>
  <c r="E107" i="100" s="1"/>
  <c r="F107" i="100" a="1"/>
  <c r="F107" i="100" s="1"/>
  <c r="G107" i="100" a="1"/>
  <c r="G107" i="100" s="1"/>
  <c r="I107" i="100" a="1"/>
  <c r="I107" i="100" s="1"/>
  <c r="J107" i="100" a="1"/>
  <c r="J107" i="100" s="1"/>
  <c r="K107" i="100" a="1"/>
  <c r="K107" i="100" s="1"/>
  <c r="L107" i="100" a="1"/>
  <c r="L107" i="100" s="1"/>
  <c r="M107" i="100" a="1"/>
  <c r="M107" i="100" s="1"/>
  <c r="N107" i="100" a="1"/>
  <c r="N107" i="100" s="1"/>
  <c r="O107" i="100" a="1"/>
  <c r="O107" i="100" s="1"/>
  <c r="P107" i="100" a="1"/>
  <c r="P107" i="100" s="1"/>
  <c r="Q107" i="100" a="1"/>
  <c r="Q107" i="100" s="1"/>
  <c r="R107" i="100" a="1"/>
  <c r="R107" i="100" s="1"/>
  <c r="S107" i="100" a="1"/>
  <c r="S107" i="100" s="1"/>
  <c r="I111" i="100" a="1"/>
  <c r="I111" i="100" s="1"/>
  <c r="J111" i="100" a="1"/>
  <c r="J111" i="100" s="1"/>
  <c r="K111" i="100" a="1"/>
  <c r="K111" i="100" s="1"/>
  <c r="L111" i="100" a="1"/>
  <c r="L111" i="100" s="1"/>
  <c r="M111" i="100" a="1"/>
  <c r="M111" i="100" s="1"/>
  <c r="N111" i="100" a="1"/>
  <c r="N111" i="100" s="1"/>
  <c r="O111" i="100" a="1"/>
  <c r="O111" i="100" s="1"/>
  <c r="P111" i="100" a="1"/>
  <c r="P111" i="100" s="1"/>
  <c r="Q111" i="100" a="1"/>
  <c r="Q111" i="100" s="1"/>
  <c r="R111" i="100" a="1"/>
  <c r="R111" i="100" s="1"/>
  <c r="S111" i="100" a="1"/>
  <c r="S111" i="100" s="1"/>
  <c r="D111" i="100" a="1"/>
  <c r="D111" i="100" s="1"/>
  <c r="E111" i="100" a="1"/>
  <c r="E111" i="100" s="1"/>
  <c r="F111" i="100" a="1"/>
  <c r="F111" i="100" s="1"/>
  <c r="G111" i="100" a="1"/>
  <c r="G111" i="100" s="1"/>
  <c r="H111" i="100" a="1"/>
  <c r="H111" i="100" s="1"/>
  <c r="H110" i="100" a="1"/>
  <c r="H110" i="100" s="1"/>
  <c r="H109" i="100" a="1"/>
  <c r="H109" i="100" s="1"/>
  <c r="H107" i="100" a="1"/>
  <c r="H107" i="100" s="1"/>
  <c r="T111" i="100" a="1"/>
  <c r="T111" i="100" s="1"/>
  <c r="D112" i="100" a="1"/>
  <c r="D112" i="100" s="1"/>
  <c r="T106" i="100" a="1"/>
  <c r="T106" i="100" s="1"/>
  <c r="E106" i="100" a="1"/>
  <c r="E106" i="100" s="1"/>
  <c r="F106" i="100" a="1"/>
  <c r="F106" i="100" s="1"/>
  <c r="G106" i="100" a="1"/>
  <c r="G106" i="100" s="1"/>
  <c r="H106" i="100" a="1"/>
  <c r="H106" i="100" s="1"/>
  <c r="I106" i="100" a="1"/>
  <c r="I106" i="100" s="1"/>
  <c r="J106" i="100" a="1"/>
  <c r="J106" i="100" s="1"/>
  <c r="K106" i="100" a="1"/>
  <c r="K106" i="100" s="1"/>
  <c r="L106" i="100" a="1"/>
  <c r="L106" i="100" s="1"/>
  <c r="M106" i="100" a="1"/>
  <c r="M106" i="100" s="1"/>
  <c r="N106" i="100" a="1"/>
  <c r="N106" i="100" s="1"/>
  <c r="O106" i="100" a="1"/>
  <c r="O106" i="100" s="1"/>
  <c r="P106" i="100" a="1"/>
  <c r="P106" i="100" s="1"/>
  <c r="Q106" i="100" a="1"/>
  <c r="Q106" i="100" s="1"/>
  <c r="R106" i="100" a="1"/>
  <c r="R106" i="100" s="1"/>
  <c r="S106" i="100" a="1"/>
  <c r="S106" i="100" s="1"/>
  <c r="D106" i="100" a="1"/>
  <c r="D106" i="100" s="1"/>
  <c r="T101" i="100" a="1"/>
  <c r="T101" i="100" s="1"/>
  <c r="E101" i="100" a="1"/>
  <c r="E101" i="100" s="1"/>
  <c r="F101" i="100" a="1"/>
  <c r="F101" i="100" s="1"/>
  <c r="G101" i="100" a="1"/>
  <c r="G101" i="100" s="1"/>
  <c r="H101" i="100" a="1"/>
  <c r="H101" i="100" s="1"/>
  <c r="I101" i="100" a="1"/>
  <c r="I101" i="100" s="1"/>
  <c r="J101" i="100" a="1"/>
  <c r="J101" i="100" s="1"/>
  <c r="K101" i="100" a="1"/>
  <c r="K101" i="100" s="1"/>
  <c r="L101" i="100" a="1"/>
  <c r="L101" i="100" s="1"/>
  <c r="M101" i="100" a="1"/>
  <c r="M101" i="100" s="1"/>
  <c r="N101" i="100" a="1"/>
  <c r="N101" i="100" s="1"/>
  <c r="O101" i="100" a="1"/>
  <c r="O101" i="100" s="1"/>
  <c r="P101" i="100" a="1"/>
  <c r="P101" i="100" s="1"/>
  <c r="Q101" i="100" a="1"/>
  <c r="Q101" i="100" s="1"/>
  <c r="R101" i="100" a="1"/>
  <c r="R101" i="100" s="1"/>
  <c r="S101" i="100" a="1"/>
  <c r="S101" i="100" s="1"/>
  <c r="D101" i="100" a="1"/>
  <c r="D101" i="100" s="1"/>
  <c r="T96" i="100" a="1"/>
  <c r="T96" i="100" s="1"/>
  <c r="E96" i="100" a="1"/>
  <c r="E96" i="100" s="1"/>
  <c r="F96" i="100" a="1"/>
  <c r="F96" i="100" s="1"/>
  <c r="G96" i="100" a="1"/>
  <c r="G96" i="100" s="1"/>
  <c r="H96" i="100" a="1"/>
  <c r="H96" i="100" s="1"/>
  <c r="I96" i="100" a="1"/>
  <c r="I96" i="100" s="1"/>
  <c r="J96" i="100" a="1"/>
  <c r="J96" i="100" s="1"/>
  <c r="K96" i="100" a="1"/>
  <c r="K96" i="100" s="1"/>
  <c r="L96" i="100" a="1"/>
  <c r="L96" i="100" s="1"/>
  <c r="M96" i="100" a="1"/>
  <c r="M96" i="100" s="1"/>
  <c r="N96" i="100" a="1"/>
  <c r="N96" i="100" s="1"/>
  <c r="O96" i="100" a="1"/>
  <c r="O96" i="100" s="1"/>
  <c r="P96" i="100" a="1"/>
  <c r="P96" i="100" s="1"/>
  <c r="Q96" i="100" a="1"/>
  <c r="Q96" i="100" s="1"/>
  <c r="R96" i="100" a="1"/>
  <c r="R96" i="100" s="1"/>
  <c r="S96" i="100" a="1"/>
  <c r="S96" i="100" s="1"/>
  <c r="D96" i="100" a="1"/>
  <c r="D96" i="100" s="1"/>
  <c r="T91" i="100" a="1"/>
  <c r="T91" i="100" s="1"/>
  <c r="E91" i="100" a="1"/>
  <c r="E91" i="100" s="1"/>
  <c r="F91" i="100" a="1"/>
  <c r="F91" i="100" s="1"/>
  <c r="G91" i="100" a="1"/>
  <c r="G91" i="100" s="1"/>
  <c r="H91" i="100" a="1"/>
  <c r="H91" i="100" s="1"/>
  <c r="I91" i="100" a="1"/>
  <c r="I91" i="100" s="1"/>
  <c r="J91" i="100" a="1"/>
  <c r="J91" i="100" s="1"/>
  <c r="K91" i="100" a="1"/>
  <c r="K91" i="100" s="1"/>
  <c r="L91" i="100" a="1"/>
  <c r="L91" i="100" s="1"/>
  <c r="M91" i="100" a="1"/>
  <c r="M91" i="100" s="1"/>
  <c r="N91" i="100" a="1"/>
  <c r="N91" i="100" s="1"/>
  <c r="O91" i="100" a="1"/>
  <c r="O91" i="100" s="1"/>
  <c r="P91" i="100" a="1"/>
  <c r="P91" i="100" s="1"/>
  <c r="Q91" i="100" a="1"/>
  <c r="Q91" i="100" s="1"/>
  <c r="R91" i="100" a="1"/>
  <c r="R91" i="100" s="1"/>
  <c r="S91" i="100" a="1"/>
  <c r="S91" i="100" s="1"/>
  <c r="D91" i="100" a="1"/>
  <c r="D91" i="100" s="1"/>
  <c r="T86" i="100" a="1"/>
  <c r="T86" i="100" s="1"/>
  <c r="E86" i="100" a="1"/>
  <c r="E86" i="100" s="1"/>
  <c r="F86" i="100" a="1"/>
  <c r="F86" i="100" s="1"/>
  <c r="G86" i="100" a="1"/>
  <c r="G86" i="100" s="1"/>
  <c r="H86" i="100" a="1"/>
  <c r="H86" i="100" s="1"/>
  <c r="I86" i="100" a="1"/>
  <c r="I86" i="100" s="1"/>
  <c r="J86" i="100" a="1"/>
  <c r="J86" i="100" s="1"/>
  <c r="K86" i="100" a="1"/>
  <c r="K86" i="100" s="1"/>
  <c r="L86" i="100" a="1"/>
  <c r="L86" i="100" s="1"/>
  <c r="M86" i="100" a="1"/>
  <c r="M86" i="100" s="1"/>
  <c r="N86" i="100" a="1"/>
  <c r="N86" i="100" s="1"/>
  <c r="O86" i="100" a="1"/>
  <c r="O86" i="100" s="1"/>
  <c r="P86" i="100" a="1"/>
  <c r="P86" i="100" s="1"/>
  <c r="Q86" i="100" a="1"/>
  <c r="Q86" i="100" s="1"/>
  <c r="R86" i="100" a="1"/>
  <c r="R86" i="100" s="1"/>
  <c r="S86" i="100" a="1"/>
  <c r="S86" i="100" s="1"/>
  <c r="D86" i="100" a="1"/>
  <c r="D86" i="100" s="1"/>
  <c r="T81" i="100" a="1"/>
  <c r="T81" i="100" s="1"/>
  <c r="F81" i="100" a="1"/>
  <c r="F81" i="100" s="1"/>
  <c r="G81" i="100" a="1"/>
  <c r="G81" i="100" s="1"/>
  <c r="H81" i="100" a="1"/>
  <c r="H81" i="100" s="1"/>
  <c r="I81" i="100" a="1"/>
  <c r="I81" i="100" s="1"/>
  <c r="J81" i="100" a="1"/>
  <c r="J81" i="100" s="1"/>
  <c r="K81" i="100" a="1"/>
  <c r="K81" i="100" s="1"/>
  <c r="L81" i="100" a="1"/>
  <c r="L81" i="100" s="1"/>
  <c r="M81" i="100" a="1"/>
  <c r="M81" i="100" s="1"/>
  <c r="N81" i="100" a="1"/>
  <c r="N81" i="100" s="1"/>
  <c r="O81" i="100" a="1"/>
  <c r="O81" i="100" s="1"/>
  <c r="P81" i="100" a="1"/>
  <c r="P81" i="100" s="1"/>
  <c r="Q81" i="100" a="1"/>
  <c r="Q81" i="100" s="1"/>
  <c r="R81" i="100" a="1"/>
  <c r="R81" i="100" s="1"/>
  <c r="S81" i="100" a="1"/>
  <c r="S81" i="100" s="1"/>
  <c r="E81" i="100" a="1"/>
  <c r="E81" i="100" s="1"/>
  <c r="D81" i="100" a="1"/>
  <c r="D81" i="100" s="1"/>
  <c r="D80" i="100" a="1"/>
  <c r="D80" i="100" s="1"/>
  <c r="T71" i="100"/>
  <c r="E71" i="100"/>
  <c r="F71" i="100"/>
  <c r="G71" i="100"/>
  <c r="H71" i="100"/>
  <c r="I71" i="100"/>
  <c r="J71" i="100"/>
  <c r="K71" i="100"/>
  <c r="L71" i="100"/>
  <c r="M71" i="100"/>
  <c r="N71" i="100"/>
  <c r="O71" i="100"/>
  <c r="P71" i="100"/>
  <c r="Q71" i="100"/>
  <c r="R71" i="100"/>
  <c r="S71" i="100"/>
  <c r="D71" i="100"/>
  <c r="T66" i="100"/>
  <c r="E66" i="100"/>
  <c r="F66" i="100"/>
  <c r="G66" i="100"/>
  <c r="H66" i="100"/>
  <c r="I66" i="100"/>
  <c r="J66" i="100"/>
  <c r="K66" i="100"/>
  <c r="L66" i="100"/>
  <c r="M66" i="100"/>
  <c r="N66" i="100"/>
  <c r="O66" i="100"/>
  <c r="P66" i="100"/>
  <c r="Q66" i="100"/>
  <c r="R66" i="100"/>
  <c r="S66" i="100"/>
  <c r="D66" i="100"/>
  <c r="T61" i="100"/>
  <c r="E61" i="100"/>
  <c r="F61" i="100"/>
  <c r="G61" i="100"/>
  <c r="H61" i="100"/>
  <c r="I61" i="100"/>
  <c r="J61" i="100"/>
  <c r="K61" i="100"/>
  <c r="L61" i="100"/>
  <c r="M61" i="100"/>
  <c r="N61" i="100"/>
  <c r="O61" i="100"/>
  <c r="P61" i="100"/>
  <c r="Q61" i="100"/>
  <c r="R61" i="100"/>
  <c r="S61" i="100"/>
  <c r="D61" i="100"/>
  <c r="T56" i="100"/>
  <c r="E56" i="100"/>
  <c r="F56" i="100"/>
  <c r="G56" i="100"/>
  <c r="H56" i="100"/>
  <c r="I56" i="100"/>
  <c r="J56" i="100"/>
  <c r="K56" i="100"/>
  <c r="L56" i="100"/>
  <c r="M56" i="100"/>
  <c r="N56" i="100"/>
  <c r="O56" i="100"/>
  <c r="P56" i="100"/>
  <c r="Q56" i="100"/>
  <c r="R56" i="100"/>
  <c r="S56" i="100"/>
  <c r="D56" i="100"/>
  <c r="T51" i="100"/>
  <c r="E51" i="100"/>
  <c r="F51" i="100"/>
  <c r="G51" i="100"/>
  <c r="H51" i="100"/>
  <c r="I51" i="100"/>
  <c r="J51" i="100"/>
  <c r="K51" i="100"/>
  <c r="L51" i="100"/>
  <c r="M51" i="100"/>
  <c r="N51" i="100"/>
  <c r="O51" i="100"/>
  <c r="P51" i="100"/>
  <c r="Q51" i="100"/>
  <c r="R51" i="100"/>
  <c r="S51" i="100"/>
  <c r="D51" i="100"/>
  <c r="E41" i="100"/>
  <c r="F41" i="100"/>
  <c r="G41" i="100"/>
  <c r="H41" i="100"/>
  <c r="I41" i="100"/>
  <c r="J41" i="100"/>
  <c r="K41" i="100"/>
  <c r="L41" i="100"/>
  <c r="M41" i="100"/>
  <c r="N41" i="100"/>
  <c r="O41" i="100"/>
  <c r="P41" i="100"/>
  <c r="Q41" i="100"/>
  <c r="R41" i="100"/>
  <c r="S41" i="100"/>
  <c r="D41" i="100"/>
  <c r="T46" i="100"/>
  <c r="E46" i="100"/>
  <c r="F46" i="100"/>
  <c r="G46" i="100"/>
  <c r="H46" i="100"/>
  <c r="I46" i="100"/>
  <c r="J46" i="100"/>
  <c r="K46" i="100"/>
  <c r="L46" i="100"/>
  <c r="M46" i="100"/>
  <c r="N46" i="100"/>
  <c r="O46" i="100"/>
  <c r="P46" i="100"/>
  <c r="Q46" i="100"/>
  <c r="R46" i="100"/>
  <c r="S46" i="100"/>
  <c r="D46" i="100"/>
  <c r="T41" i="100"/>
  <c r="T36" i="100"/>
  <c r="E36" i="100"/>
  <c r="F36" i="100"/>
  <c r="G36" i="100"/>
  <c r="H36" i="100"/>
  <c r="I36" i="100"/>
  <c r="J36" i="100"/>
  <c r="K36" i="100"/>
  <c r="L36" i="100"/>
  <c r="M36" i="100"/>
  <c r="N36" i="100"/>
  <c r="O36" i="100"/>
  <c r="P36" i="100"/>
  <c r="Q36" i="100"/>
  <c r="R36" i="100"/>
  <c r="S36" i="100"/>
  <c r="D36" i="100"/>
  <c r="T31" i="100"/>
  <c r="E31" i="100"/>
  <c r="F31" i="100"/>
  <c r="G31" i="100"/>
  <c r="H31" i="100"/>
  <c r="I31" i="100"/>
  <c r="J31" i="100"/>
  <c r="K31" i="100"/>
  <c r="L31" i="100"/>
  <c r="M31" i="100"/>
  <c r="N31" i="100"/>
  <c r="O31" i="100"/>
  <c r="P31" i="100"/>
  <c r="Q31" i="100"/>
  <c r="R31" i="100"/>
  <c r="S31" i="100"/>
  <c r="D31" i="100"/>
  <c r="T26" i="100"/>
  <c r="E26" i="100"/>
  <c r="F26" i="100"/>
  <c r="G26" i="100"/>
  <c r="H26" i="100"/>
  <c r="I26" i="100"/>
  <c r="J26" i="100"/>
  <c r="K26" i="100"/>
  <c r="L26" i="100"/>
  <c r="M26" i="100"/>
  <c r="N26" i="100"/>
  <c r="O26" i="100"/>
  <c r="P26" i="100"/>
  <c r="Q26" i="100"/>
  <c r="R26" i="100"/>
  <c r="S26" i="100"/>
  <c r="D26" i="100"/>
  <c r="T21" i="100"/>
  <c r="E21" i="100"/>
  <c r="F21" i="100"/>
  <c r="G21" i="100"/>
  <c r="H21" i="100"/>
  <c r="I21" i="100"/>
  <c r="J21" i="100"/>
  <c r="K21" i="100"/>
  <c r="L21" i="100"/>
  <c r="M21" i="100"/>
  <c r="N21" i="100"/>
  <c r="O21" i="100"/>
  <c r="P21" i="100"/>
  <c r="Q21" i="100"/>
  <c r="R21" i="100"/>
  <c r="S21" i="100"/>
  <c r="D21" i="100"/>
  <c r="T16" i="100"/>
  <c r="G16" i="100"/>
  <c r="H16" i="100"/>
  <c r="I16" i="100"/>
  <c r="J16" i="100"/>
  <c r="K16" i="100"/>
  <c r="L16" i="100"/>
  <c r="M16" i="100"/>
  <c r="N16" i="100"/>
  <c r="O16" i="100"/>
  <c r="P16" i="100"/>
  <c r="Q16" i="100"/>
  <c r="R16" i="100"/>
  <c r="S16" i="100"/>
  <c r="F16" i="100"/>
  <c r="E16" i="100"/>
  <c r="F13" i="100"/>
  <c r="F15" i="100"/>
  <c r="D16" i="100"/>
  <c r="T11" i="100"/>
  <c r="S11" i="100"/>
  <c r="R11" i="100"/>
  <c r="Q11" i="100"/>
  <c r="P11" i="100"/>
  <c r="O11" i="100"/>
  <c r="N11" i="100"/>
  <c r="M11" i="100"/>
  <c r="L11" i="100"/>
  <c r="K11" i="100"/>
  <c r="J11" i="100"/>
  <c r="I11" i="100"/>
  <c r="H11" i="100"/>
  <c r="G11" i="100"/>
  <c r="F11" i="100"/>
  <c r="E11" i="100"/>
  <c r="D11" i="100"/>
  <c r="S75" i="117"/>
  <c r="R75" i="117"/>
  <c r="Q75" i="117"/>
  <c r="P75" i="117"/>
  <c r="O75" i="117"/>
  <c r="N75" i="117"/>
  <c r="M75" i="117"/>
  <c r="L75" i="117"/>
  <c r="K75" i="117"/>
  <c r="J75" i="117"/>
  <c r="I75" i="117"/>
  <c r="H75" i="117"/>
  <c r="G75" i="117"/>
  <c r="F75" i="117"/>
  <c r="E75" i="117"/>
  <c r="D75" i="117"/>
  <c r="C75" i="117"/>
  <c r="S67" i="117"/>
  <c r="R67" i="117"/>
  <c r="Q67" i="117"/>
  <c r="P67" i="117"/>
  <c r="O67" i="117"/>
  <c r="N67" i="117"/>
  <c r="M67" i="117"/>
  <c r="L67" i="117"/>
  <c r="K67" i="117"/>
  <c r="J67" i="117"/>
  <c r="I67" i="117"/>
  <c r="H67" i="117"/>
  <c r="G67" i="117"/>
  <c r="F67" i="117"/>
  <c r="E67" i="117"/>
  <c r="D67" i="117"/>
  <c r="C67" i="117"/>
  <c r="S59" i="117"/>
  <c r="R59" i="117"/>
  <c r="Q59" i="117"/>
  <c r="P59" i="117"/>
  <c r="O59" i="117"/>
  <c r="N59" i="117"/>
  <c r="M59" i="117"/>
  <c r="L59" i="117"/>
  <c r="K59" i="117"/>
  <c r="J59" i="117"/>
  <c r="I59" i="117"/>
  <c r="H59" i="117"/>
  <c r="G59" i="117"/>
  <c r="F59" i="117"/>
  <c r="E59" i="117"/>
  <c r="D59" i="117"/>
  <c r="C59" i="117"/>
  <c r="S51" i="117"/>
  <c r="R51" i="117"/>
  <c r="Q51" i="117"/>
  <c r="P51" i="117"/>
  <c r="O51" i="117"/>
  <c r="N51" i="117"/>
  <c r="M51" i="117"/>
  <c r="L51" i="117"/>
  <c r="K51" i="117"/>
  <c r="J51" i="117"/>
  <c r="I51" i="117"/>
  <c r="H51" i="117"/>
  <c r="G51" i="117"/>
  <c r="F51" i="117"/>
  <c r="E51" i="117"/>
  <c r="D51" i="117"/>
  <c r="C51" i="117"/>
  <c r="S43" i="117"/>
  <c r="R43" i="117"/>
  <c r="Q43" i="117"/>
  <c r="P43" i="117"/>
  <c r="O43" i="117"/>
  <c r="N43" i="117"/>
  <c r="M43" i="117"/>
  <c r="L43" i="117"/>
  <c r="K43" i="117"/>
  <c r="J43" i="117"/>
  <c r="I43" i="117"/>
  <c r="H43" i="117"/>
  <c r="G43" i="117"/>
  <c r="F43" i="117"/>
  <c r="E43" i="117"/>
  <c r="D43" i="117"/>
  <c r="C43" i="117"/>
  <c r="S73" i="115"/>
  <c r="R73" i="115"/>
  <c r="Q73" i="115"/>
  <c r="P73" i="115"/>
  <c r="O73" i="115"/>
  <c r="N73" i="115"/>
  <c r="M73" i="115"/>
  <c r="L73" i="115"/>
  <c r="K73" i="115"/>
  <c r="J73" i="115"/>
  <c r="I73" i="115"/>
  <c r="H73" i="115"/>
  <c r="G73" i="115"/>
  <c r="F73" i="115"/>
  <c r="E73" i="115"/>
  <c r="D73" i="115"/>
  <c r="C73" i="115"/>
  <c r="S64" i="115"/>
  <c r="R64" i="115"/>
  <c r="Q64" i="115"/>
  <c r="P64" i="115"/>
  <c r="O64" i="115"/>
  <c r="N64" i="115"/>
  <c r="M64" i="115"/>
  <c r="L64" i="115"/>
  <c r="K64" i="115"/>
  <c r="J64" i="115"/>
  <c r="I64" i="115"/>
  <c r="H64" i="115"/>
  <c r="G64" i="115"/>
  <c r="F64" i="115"/>
  <c r="E64" i="115"/>
  <c r="D64" i="115"/>
  <c r="C64" i="115"/>
  <c r="S56" i="115"/>
  <c r="R56" i="115"/>
  <c r="Q56" i="115"/>
  <c r="P56" i="115"/>
  <c r="O56" i="115"/>
  <c r="N56" i="115"/>
  <c r="M56" i="115"/>
  <c r="L56" i="115"/>
  <c r="K56" i="115"/>
  <c r="J56" i="115"/>
  <c r="I56" i="115"/>
  <c r="H56" i="115"/>
  <c r="G56" i="115"/>
  <c r="F56" i="115"/>
  <c r="E56" i="115"/>
  <c r="D56" i="115"/>
  <c r="C56" i="115"/>
  <c r="S48" i="115"/>
  <c r="R48" i="115"/>
  <c r="Q48" i="115"/>
  <c r="P48" i="115"/>
  <c r="O48" i="115"/>
  <c r="N48" i="115"/>
  <c r="M48" i="115"/>
  <c r="L48" i="115"/>
  <c r="K48" i="115"/>
  <c r="J48" i="115"/>
  <c r="I48" i="115"/>
  <c r="H48" i="115"/>
  <c r="G48" i="115"/>
  <c r="F48" i="115"/>
  <c r="E48" i="115"/>
  <c r="D48" i="115"/>
  <c r="C48" i="115"/>
  <c r="S40" i="115"/>
  <c r="R40" i="115"/>
  <c r="Q40" i="115"/>
  <c r="P40" i="115"/>
  <c r="O40" i="115"/>
  <c r="N40" i="115"/>
  <c r="M40" i="115"/>
  <c r="L40" i="115"/>
  <c r="K40" i="115"/>
  <c r="J40" i="115"/>
  <c r="I40" i="115"/>
  <c r="H40" i="115"/>
  <c r="G40" i="115"/>
  <c r="F40" i="115"/>
  <c r="E40" i="115"/>
  <c r="D40" i="115"/>
  <c r="C40" i="115"/>
  <c r="B14" i="98"/>
  <c r="B9" i="98"/>
  <c r="T67" i="117" l="1"/>
  <c r="T59" i="117"/>
  <c r="T51" i="117"/>
  <c r="T43" i="117"/>
  <c r="L18" i="117" s="1"/>
  <c r="T64" i="115"/>
  <c r="T56" i="115"/>
  <c r="T48" i="115"/>
  <c r="T40" i="115"/>
  <c r="L17" i="115" s="1"/>
  <c r="C12" i="89"/>
  <c r="D36" i="98"/>
  <c r="D35" i="98"/>
  <c r="D35" i="114" l="1"/>
  <c r="D36" i="114"/>
  <c r="D37" i="114"/>
  <c r="D38" i="114"/>
  <c r="D39" i="114"/>
  <c r="D40" i="114"/>
  <c r="D41" i="114"/>
  <c r="D42" i="114"/>
  <c r="D43" i="114"/>
  <c r="D44" i="114"/>
  <c r="D45" i="114"/>
  <c r="D46" i="114"/>
  <c r="D47" i="114"/>
  <c r="D48" i="114"/>
  <c r="D49" i="114"/>
  <c r="D50" i="114"/>
  <c r="D51" i="114"/>
  <c r="D52" i="114"/>
  <c r="D53" i="114"/>
  <c r="D54" i="114"/>
  <c r="D55" i="114"/>
  <c r="D56" i="114"/>
  <c r="D57" i="114"/>
  <c r="D58" i="114"/>
  <c r="D59" i="114"/>
  <c r="D60" i="114"/>
  <c r="D61" i="114"/>
  <c r="D62" i="114"/>
  <c r="D63" i="114"/>
  <c r="D64" i="114"/>
  <c r="D65" i="114"/>
  <c r="D66" i="114"/>
  <c r="D67" i="114"/>
  <c r="D68" i="114"/>
  <c r="D69" i="114"/>
  <c r="D70" i="114"/>
  <c r="D71" i="114"/>
  <c r="D72" i="114"/>
  <c r="D73" i="114"/>
  <c r="D74" i="114"/>
  <c r="D75" i="114"/>
  <c r="D76" i="114"/>
  <c r="D77" i="114"/>
  <c r="D78" i="114"/>
  <c r="D79" i="114"/>
  <c r="D80" i="114"/>
  <c r="D81" i="114"/>
  <c r="D82" i="114"/>
  <c r="C35" i="114"/>
  <c r="C36" i="114"/>
  <c r="C37" i="114"/>
  <c r="C38" i="114"/>
  <c r="C39" i="114"/>
  <c r="C40" i="114"/>
  <c r="C41" i="114"/>
  <c r="C42" i="114"/>
  <c r="C43" i="114"/>
  <c r="C44" i="114"/>
  <c r="C45" i="114"/>
  <c r="C46" i="114"/>
  <c r="C47" i="114"/>
  <c r="C48" i="114"/>
  <c r="C49" i="114"/>
  <c r="C50" i="114"/>
  <c r="C51" i="114"/>
  <c r="C52" i="114"/>
  <c r="C53" i="114"/>
  <c r="C54" i="114"/>
  <c r="C55" i="114"/>
  <c r="C56" i="114"/>
  <c r="C57" i="114"/>
  <c r="C58" i="114"/>
  <c r="C59" i="114"/>
  <c r="C60" i="114"/>
  <c r="C61" i="114"/>
  <c r="C62" i="114"/>
  <c r="C63" i="114"/>
  <c r="C64" i="114"/>
  <c r="C65" i="114"/>
  <c r="C66" i="114"/>
  <c r="C67" i="114"/>
  <c r="C68" i="114"/>
  <c r="C69" i="114"/>
  <c r="C70" i="114"/>
  <c r="C71" i="114"/>
  <c r="C72" i="114"/>
  <c r="C73" i="114"/>
  <c r="C74" i="114"/>
  <c r="C75" i="114"/>
  <c r="C76" i="114"/>
  <c r="C77" i="114"/>
  <c r="C78" i="114"/>
  <c r="C79" i="114"/>
  <c r="C80" i="114"/>
  <c r="C81" i="114"/>
  <c r="C82" i="114"/>
  <c r="D43" i="98"/>
  <c r="D44" i="98"/>
  <c r="D45" i="98"/>
  <c r="D46" i="98"/>
  <c r="D47" i="98"/>
  <c r="D48" i="98"/>
  <c r="D49" i="98"/>
  <c r="D50" i="98"/>
  <c r="D51" i="98"/>
  <c r="D52" i="98"/>
  <c r="D53" i="98"/>
  <c r="D54" i="98"/>
  <c r="D55" i="98"/>
  <c r="D56" i="98"/>
  <c r="D57" i="98"/>
  <c r="D58" i="98"/>
  <c r="D59" i="98"/>
  <c r="D60" i="98"/>
  <c r="D61" i="98"/>
  <c r="D62" i="98"/>
  <c r="D63" i="98"/>
  <c r="D64" i="98"/>
  <c r="D65" i="98"/>
  <c r="D66" i="98"/>
  <c r="D67" i="98"/>
  <c r="D68" i="98"/>
  <c r="D69" i="98"/>
  <c r="D70" i="98"/>
  <c r="D71" i="98"/>
  <c r="D72" i="98"/>
  <c r="D73" i="98"/>
  <c r="D74" i="98"/>
  <c r="D75" i="98"/>
  <c r="D76" i="98"/>
  <c r="D77" i="98"/>
  <c r="D78" i="98"/>
  <c r="D79" i="98"/>
  <c r="D80" i="98"/>
  <c r="D81" i="98"/>
  <c r="D82" i="98"/>
  <c r="C35" i="98"/>
  <c r="C36" i="98"/>
  <c r="C37" i="98"/>
  <c r="C38" i="98"/>
  <c r="C39" i="98"/>
  <c r="C40" i="98"/>
  <c r="C41" i="98"/>
  <c r="C42" i="98"/>
  <c r="C43" i="98"/>
  <c r="C44" i="98"/>
  <c r="C45" i="98"/>
  <c r="C46" i="98"/>
  <c r="C47" i="98"/>
  <c r="C48" i="98"/>
  <c r="C49" i="98"/>
  <c r="C50" i="98"/>
  <c r="C51" i="98"/>
  <c r="C52" i="98"/>
  <c r="C53" i="98"/>
  <c r="C54" i="98"/>
  <c r="C55" i="98"/>
  <c r="C56" i="98"/>
  <c r="C57" i="98"/>
  <c r="C58" i="98"/>
  <c r="C59" i="98"/>
  <c r="C60" i="98"/>
  <c r="C61" i="98"/>
  <c r="C62" i="98"/>
  <c r="C63" i="98"/>
  <c r="C64" i="98"/>
  <c r="C65" i="98"/>
  <c r="C66" i="98"/>
  <c r="C67" i="98"/>
  <c r="C68" i="98"/>
  <c r="C69" i="98"/>
  <c r="C70" i="98"/>
  <c r="C71" i="98"/>
  <c r="C72" i="98"/>
  <c r="C73" i="98"/>
  <c r="C74" i="98"/>
  <c r="C75" i="98"/>
  <c r="C76" i="98"/>
  <c r="C77" i="98"/>
  <c r="C78" i="98"/>
  <c r="C79" i="98"/>
  <c r="C80" i="98"/>
  <c r="C81" i="98"/>
  <c r="C82" i="98"/>
  <c r="C58" i="101"/>
  <c r="C59" i="101"/>
  <c r="C60" i="101"/>
  <c r="C61" i="101"/>
  <c r="C62" i="101"/>
  <c r="C63" i="101"/>
  <c r="C64" i="101"/>
  <c r="C65" i="101"/>
  <c r="C66" i="101"/>
  <c r="C67" i="101"/>
  <c r="C68" i="101"/>
  <c r="C69" i="101"/>
  <c r="C70" i="101"/>
  <c r="C71" i="101"/>
  <c r="C72" i="101"/>
  <c r="C73" i="101"/>
  <c r="C74" i="101"/>
  <c r="C75" i="101"/>
  <c r="C76" i="101"/>
  <c r="C77" i="101"/>
  <c r="C78" i="101"/>
  <c r="C79" i="101"/>
  <c r="C80" i="101"/>
  <c r="C81" i="101"/>
  <c r="C82" i="101"/>
  <c r="D56" i="101"/>
  <c r="D57" i="101"/>
  <c r="D58" i="101"/>
  <c r="D59" i="101"/>
  <c r="D60" i="101"/>
  <c r="D61" i="101"/>
  <c r="D62" i="101"/>
  <c r="D63" i="101"/>
  <c r="D64" i="101"/>
  <c r="D65" i="101"/>
  <c r="D66" i="101"/>
  <c r="D67" i="101"/>
  <c r="D68" i="101"/>
  <c r="D69" i="101"/>
  <c r="D70" i="101"/>
  <c r="D71" i="101"/>
  <c r="D72" i="101"/>
  <c r="D73" i="101"/>
  <c r="D74" i="101"/>
  <c r="D75" i="101"/>
  <c r="D76" i="101"/>
  <c r="D77" i="101"/>
  <c r="D78" i="101"/>
  <c r="D79" i="101"/>
  <c r="D80" i="101"/>
  <c r="D81" i="101"/>
  <c r="D82" i="101"/>
  <c r="D35" i="101"/>
  <c r="D36" i="101"/>
  <c r="D37" i="101"/>
  <c r="D38" i="101"/>
  <c r="D39" i="101"/>
  <c r="D40" i="101"/>
  <c r="D41" i="101"/>
  <c r="D42" i="101"/>
  <c r="D43" i="101"/>
  <c r="D44" i="101"/>
  <c r="D45" i="101"/>
  <c r="D46" i="101"/>
  <c r="D47" i="101"/>
  <c r="D48" i="101"/>
  <c r="D49" i="101"/>
  <c r="D50" i="101"/>
  <c r="D51" i="101"/>
  <c r="D52" i="101"/>
  <c r="D53" i="101"/>
  <c r="D54" i="101"/>
  <c r="D55" i="101"/>
  <c r="D34" i="101"/>
  <c r="C35" i="101"/>
  <c r="C36" i="101"/>
  <c r="C37" i="101"/>
  <c r="C38" i="101"/>
  <c r="C39" i="101"/>
  <c r="C40" i="101"/>
  <c r="C41" i="101"/>
  <c r="C42" i="101"/>
  <c r="C43" i="101"/>
  <c r="C44" i="101"/>
  <c r="C45" i="101"/>
  <c r="C46" i="101"/>
  <c r="C47" i="101"/>
  <c r="C48" i="101"/>
  <c r="C49" i="101"/>
  <c r="C50" i="101"/>
  <c r="C51" i="101"/>
  <c r="C52" i="101"/>
  <c r="C53" i="101"/>
  <c r="C54" i="101"/>
  <c r="C55" i="101"/>
  <c r="C56" i="101"/>
  <c r="C57" i="101"/>
  <c r="C34" i="101"/>
  <c r="H8" i="106"/>
  <c r="H9" i="106"/>
  <c r="H10" i="106"/>
  <c r="H11" i="106"/>
  <c r="H12" i="106"/>
  <c r="H14" i="106"/>
  <c r="H13" i="106"/>
  <c r="H15" i="106"/>
  <c r="H16" i="106"/>
  <c r="H17" i="106"/>
  <c r="H18" i="106"/>
  <c r="H19" i="106"/>
  <c r="H20" i="106"/>
  <c r="H21" i="106"/>
  <c r="H22" i="106"/>
  <c r="H23" i="106"/>
  <c r="H24" i="106"/>
  <c r="H25" i="106"/>
  <c r="H26" i="106"/>
  <c r="H27" i="106"/>
  <c r="H28" i="106"/>
  <c r="H29" i="106"/>
  <c r="H30" i="106"/>
  <c r="H31" i="106"/>
  <c r="H32" i="106"/>
  <c r="H33" i="106"/>
  <c r="H34" i="106"/>
  <c r="H35" i="106"/>
  <c r="H36" i="106"/>
  <c r="H37" i="106"/>
  <c r="H38" i="106"/>
  <c r="H39" i="106"/>
  <c r="H43" i="106"/>
  <c r="H44" i="106"/>
  <c r="H45" i="106"/>
  <c r="H40" i="106"/>
  <c r="H41" i="106"/>
  <c r="H42" i="106"/>
  <c r="H46" i="106"/>
  <c r="H47" i="106"/>
  <c r="H48" i="106"/>
  <c r="H49" i="106"/>
  <c r="H50" i="106"/>
  <c r="H51" i="106"/>
  <c r="H52" i="106"/>
  <c r="H53" i="106"/>
  <c r="H54" i="106"/>
  <c r="H7" i="106"/>
  <c r="H6" i="106"/>
  <c r="B17" i="89" l="1"/>
  <c r="C17" i="89"/>
  <c r="C33" i="87"/>
  <c r="D33" i="87"/>
  <c r="E33" i="87"/>
  <c r="D42" i="98"/>
  <c r="D13" i="106"/>
  <c r="E13" i="106" s="1"/>
  <c r="B53" i="89"/>
  <c r="C53" i="89"/>
  <c r="B54" i="89"/>
  <c r="C54" i="89"/>
  <c r="B55" i="89"/>
  <c r="C55" i="89"/>
  <c r="D32" i="106"/>
  <c r="E32" i="106" s="1"/>
  <c r="D33" i="106"/>
  <c r="E33" i="106" s="1"/>
  <c r="D34" i="106"/>
  <c r="E34" i="106" s="1"/>
  <c r="D30" i="106"/>
  <c r="E30" i="106" s="1"/>
  <c r="D31" i="106"/>
  <c r="E31" i="106" s="1"/>
  <c r="D40" i="106"/>
  <c r="E40" i="106" s="1"/>
  <c r="D41" i="106"/>
  <c r="E41" i="106" s="1"/>
  <c r="D42" i="106"/>
  <c r="E42" i="106" s="1"/>
  <c r="D35" i="106"/>
  <c r="E35" i="106" s="1"/>
  <c r="D36" i="106"/>
  <c r="E36" i="106" s="1"/>
  <c r="W5" i="117" l="1" a="1"/>
  <c r="W5" i="117" s="1"/>
  <c r="W4" i="115" a="1"/>
  <c r="W4" i="115" s="1"/>
  <c r="W5" i="115" a="1"/>
  <c r="W5" i="115" s="1"/>
  <c r="Z4" i="115" a="1"/>
  <c r="Z4" i="115" s="1"/>
  <c r="Z5" i="115" a="1"/>
  <c r="Z5" i="115" s="1"/>
  <c r="Z6" i="115" s="1"/>
  <c r="N10" i="115" l="1"/>
  <c r="N12" i="117" s="1"/>
  <c r="W6" i="115"/>
  <c r="N9" i="115" s="1"/>
  <c r="W6" i="117" a="1"/>
  <c r="W6" i="117" s="1"/>
  <c r="W7" i="117" s="1"/>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C44" i="115"/>
  <c r="F17" i="115"/>
  <c r="E17" i="115"/>
  <c r="D17" i="115"/>
  <c r="C17" i="115"/>
  <c r="F16" i="115"/>
  <c r="E16" i="115"/>
  <c r="D16" i="115"/>
  <c r="C16" i="115"/>
  <c r="B27" i="115"/>
  <c r="H16" i="115"/>
  <c r="H17" i="117"/>
  <c r="N11" i="117" l="1"/>
  <c r="C27" i="87"/>
  <c r="D27" i="87"/>
  <c r="E27" i="87"/>
  <c r="C28" i="87"/>
  <c r="D28" i="87"/>
  <c r="E28" i="87"/>
  <c r="C29" i="87"/>
  <c r="D29" i="87"/>
  <c r="E29" i="87"/>
  <c r="C30" i="87"/>
  <c r="D30" i="87"/>
  <c r="E30" i="87"/>
  <c r="C31" i="87"/>
  <c r="D31" i="87"/>
  <c r="E31" i="87"/>
  <c r="C32" i="87"/>
  <c r="D32" i="87"/>
  <c r="E32" i="87"/>
  <c r="C34" i="87"/>
  <c r="D34" i="87"/>
  <c r="E34" i="87"/>
  <c r="C35" i="87"/>
  <c r="D35" i="87"/>
  <c r="E35" i="87"/>
  <c r="C36" i="87"/>
  <c r="D36" i="87"/>
  <c r="E36" i="87"/>
  <c r="C37" i="87"/>
  <c r="D37" i="87"/>
  <c r="E37" i="87"/>
  <c r="C38" i="87"/>
  <c r="D38" i="87"/>
  <c r="E38" i="87"/>
  <c r="C39" i="87"/>
  <c r="D39" i="87"/>
  <c r="E39" i="87"/>
  <c r="C40" i="87"/>
  <c r="D40" i="87"/>
  <c r="E40" i="87"/>
  <c r="C41" i="87"/>
  <c r="D41" i="87"/>
  <c r="E41" i="87"/>
  <c r="C42" i="87"/>
  <c r="D42" i="87"/>
  <c r="E42" i="87"/>
  <c r="C43" i="87"/>
  <c r="D43" i="87"/>
  <c r="E43" i="87"/>
  <c r="C44" i="87"/>
  <c r="D44" i="87"/>
  <c r="E44" i="87"/>
  <c r="C45" i="87"/>
  <c r="D45" i="87"/>
  <c r="E45" i="87"/>
  <c r="C46" i="87"/>
  <c r="D46" i="87"/>
  <c r="E46" i="87"/>
  <c r="C47" i="87"/>
  <c r="D47" i="87"/>
  <c r="E47" i="87"/>
  <c r="C48" i="87"/>
  <c r="D48" i="87"/>
  <c r="E48" i="87"/>
  <c r="C49" i="87"/>
  <c r="D49" i="87"/>
  <c r="E49" i="87"/>
  <c r="C50" i="87"/>
  <c r="D50" i="87"/>
  <c r="C51" i="87"/>
  <c r="D51" i="87"/>
  <c r="C52" i="87"/>
  <c r="D52" i="87"/>
  <c r="C53" i="87"/>
  <c r="D53" i="87"/>
  <c r="C54" i="87"/>
  <c r="D54" i="87"/>
  <c r="C55" i="87"/>
  <c r="D55" i="87"/>
  <c r="C56" i="87"/>
  <c r="D56" i="87"/>
  <c r="C57" i="87"/>
  <c r="D57" i="87"/>
  <c r="C58" i="87"/>
  <c r="D58" i="87"/>
  <c r="C59" i="87"/>
  <c r="D59" i="87"/>
  <c r="N11" i="115" l="1"/>
  <c r="N13" i="117"/>
  <c r="M11" i="117" a="1"/>
  <c r="M11" i="117" s="1"/>
  <c r="M12" i="117" a="1"/>
  <c r="M12" i="117" s="1"/>
  <c r="B39" i="89"/>
  <c r="C39" i="89"/>
  <c r="B40" i="89"/>
  <c r="C40" i="89"/>
  <c r="B41" i="89"/>
  <c r="C41" i="89"/>
  <c r="B42" i="89"/>
  <c r="C42" i="89"/>
  <c r="B43" i="89"/>
  <c r="C43" i="89"/>
  <c r="B34" i="89"/>
  <c r="C34" i="89"/>
  <c r="B35" i="89"/>
  <c r="C35" i="89"/>
  <c r="D37" i="106"/>
  <c r="E37" i="106" s="1"/>
  <c r="D38" i="106"/>
  <c r="E38" i="106" s="1"/>
  <c r="D39" i="106"/>
  <c r="E39" i="106" s="1"/>
  <c r="D43" i="106"/>
  <c r="E43" i="106" s="1"/>
  <c r="D44" i="106"/>
  <c r="E44" i="106" s="1"/>
  <c r="D45" i="106"/>
  <c r="E45" i="106" s="1"/>
  <c r="D47" i="106"/>
  <c r="E47" i="106" s="1"/>
  <c r="D48" i="106"/>
  <c r="E48" i="106" s="1"/>
  <c r="D49" i="106"/>
  <c r="E49" i="106" s="1"/>
  <c r="D50" i="106"/>
  <c r="E50" i="106" s="1"/>
  <c r="D51" i="106"/>
  <c r="E51" i="106" s="1"/>
  <c r="D52" i="106"/>
  <c r="E52" i="106" s="1"/>
  <c r="D53" i="106"/>
  <c r="E53" i="106" s="1"/>
  <c r="D54" i="106"/>
  <c r="E54" i="106" s="1"/>
  <c r="M10" i="115" a="1"/>
  <c r="M10" i="115" s="1"/>
  <c r="M9" i="115" a="1"/>
  <c r="M9" i="115" s="1"/>
  <c r="M11" i="115" l="1"/>
  <c r="M13" i="117"/>
  <c r="C2" i="92"/>
  <c r="C2" i="91"/>
  <c r="C2" i="93"/>
  <c r="M18" i="88"/>
  <c r="L18" i="88"/>
  <c r="J18" i="88"/>
  <c r="I18" i="88"/>
  <c r="G18" i="88"/>
  <c r="F18" i="88"/>
  <c r="D18" i="88"/>
  <c r="C18" i="88"/>
  <c r="M17" i="88"/>
  <c r="L17" i="88"/>
  <c r="J17" i="88"/>
  <c r="I17" i="88"/>
  <c r="G17" i="88"/>
  <c r="F17" i="88"/>
  <c r="D17" i="88"/>
  <c r="C17" i="88"/>
  <c r="M16" i="88"/>
  <c r="L16" i="88"/>
  <c r="J16" i="88"/>
  <c r="I16" i="88"/>
  <c r="G16" i="88"/>
  <c r="F16" i="88"/>
  <c r="D16" i="88"/>
  <c r="C16" i="88"/>
  <c r="M15" i="88"/>
  <c r="L15" i="88"/>
  <c r="J15" i="88"/>
  <c r="I15" i="88"/>
  <c r="G15" i="88"/>
  <c r="F15" i="88"/>
  <c r="D15" i="88"/>
  <c r="C15" i="88"/>
  <c r="M14" i="88"/>
  <c r="L14" i="88"/>
  <c r="J14" i="88"/>
  <c r="I14" i="88"/>
  <c r="G14" i="88"/>
  <c r="F14" i="88"/>
  <c r="D14" i="88"/>
  <c r="C14" i="88"/>
  <c r="M13" i="88"/>
  <c r="L13" i="88"/>
  <c r="J13" i="88"/>
  <c r="I13" i="88"/>
  <c r="G13" i="88"/>
  <c r="F13" i="88"/>
  <c r="D13" i="88"/>
  <c r="C13" i="88"/>
  <c r="M12" i="88"/>
  <c r="L12" i="88"/>
  <c r="J12" i="88"/>
  <c r="I12" i="88"/>
  <c r="G12" i="88"/>
  <c r="F12" i="88"/>
  <c r="D12" i="88"/>
  <c r="C12" i="88"/>
  <c r="M11" i="88"/>
  <c r="L11" i="88"/>
  <c r="J11" i="88"/>
  <c r="I11" i="88"/>
  <c r="G11" i="88"/>
  <c r="F11" i="88"/>
  <c r="D11" i="88"/>
  <c r="C11" i="88"/>
  <c r="M10" i="88"/>
  <c r="L10" i="88"/>
  <c r="J10" i="88"/>
  <c r="I10" i="88"/>
  <c r="G10" i="88"/>
  <c r="F10" i="88"/>
  <c r="D10" i="88"/>
  <c r="C10" i="88"/>
  <c r="M9" i="88"/>
  <c r="L9" i="88"/>
  <c r="J9" i="88"/>
  <c r="I9" i="88"/>
  <c r="G9" i="88"/>
  <c r="F9" i="88"/>
  <c r="D9" i="88"/>
  <c r="C9" i="88"/>
  <c r="M8" i="88"/>
  <c r="L8" i="88"/>
  <c r="J8" i="88"/>
  <c r="I8" i="88"/>
  <c r="G8" i="88"/>
  <c r="F8" i="88"/>
  <c r="D8" i="88"/>
  <c r="C8" i="88"/>
  <c r="M7" i="88"/>
  <c r="L7" i="88"/>
  <c r="J7" i="88"/>
  <c r="I7" i="88"/>
  <c r="G7" i="88"/>
  <c r="F7" i="88"/>
  <c r="D7" i="88"/>
  <c r="C7" i="88"/>
  <c r="M6" i="88"/>
  <c r="L6" i="88"/>
  <c r="J6" i="88"/>
  <c r="I6" i="88"/>
  <c r="G6" i="88"/>
  <c r="F6" i="88"/>
  <c r="D6" i="88"/>
  <c r="C6" i="88"/>
  <c r="C58" i="89"/>
  <c r="B58" i="89"/>
  <c r="C57" i="89"/>
  <c r="B57" i="89"/>
  <c r="C56" i="89"/>
  <c r="B56" i="89"/>
  <c r="C52" i="89"/>
  <c r="B52" i="89"/>
  <c r="C46" i="89"/>
  <c r="B46" i="89"/>
  <c r="C45" i="89"/>
  <c r="B45" i="89"/>
  <c r="C44" i="89"/>
  <c r="B44" i="89"/>
  <c r="C51" i="89"/>
  <c r="B51" i="89"/>
  <c r="C50" i="89"/>
  <c r="B50" i="89"/>
  <c r="C49" i="89"/>
  <c r="B49" i="89"/>
  <c r="C48" i="89"/>
  <c r="B48" i="89"/>
  <c r="C38" i="89"/>
  <c r="B38" i="89"/>
  <c r="C37" i="89"/>
  <c r="B37" i="89"/>
  <c r="C36" i="89"/>
  <c r="B36" i="89"/>
  <c r="C47" i="89"/>
  <c r="B47" i="89"/>
  <c r="C33" i="89"/>
  <c r="B33" i="89"/>
  <c r="C32" i="89"/>
  <c r="B32" i="89"/>
  <c r="C31" i="89"/>
  <c r="B31" i="89"/>
  <c r="C30" i="89"/>
  <c r="B30" i="89"/>
  <c r="C29" i="89"/>
  <c r="B29" i="89"/>
  <c r="C28" i="89"/>
  <c r="B28" i="89"/>
  <c r="C27" i="89"/>
  <c r="B27" i="89"/>
  <c r="C24" i="89"/>
  <c r="B24" i="89"/>
  <c r="C26" i="89"/>
  <c r="B26" i="89"/>
  <c r="C23" i="89"/>
  <c r="B23" i="89"/>
  <c r="C25" i="89"/>
  <c r="B25" i="89"/>
  <c r="C22" i="89"/>
  <c r="B22" i="89"/>
  <c r="C21" i="89"/>
  <c r="B21" i="89"/>
  <c r="C20" i="89"/>
  <c r="B20" i="89"/>
  <c r="C19" i="89"/>
  <c r="B19" i="89"/>
  <c r="C18" i="89"/>
  <c r="B18" i="89"/>
  <c r="C16" i="89"/>
  <c r="B16" i="89"/>
  <c r="C15" i="89"/>
  <c r="B15" i="89"/>
  <c r="C14" i="89"/>
  <c r="B14" i="89"/>
  <c r="C13" i="89"/>
  <c r="B13" i="89"/>
  <c r="F12" i="89"/>
  <c r="C11" i="89"/>
  <c r="B11" i="89"/>
  <c r="F11" i="89"/>
  <c r="B12" i="89"/>
  <c r="F10" i="89"/>
  <c r="C10" i="89"/>
  <c r="B10" i="89"/>
  <c r="N130" i="87"/>
  <c r="M130" i="87"/>
  <c r="L130" i="87"/>
  <c r="K130" i="87"/>
  <c r="J130" i="87"/>
  <c r="I130" i="87"/>
  <c r="H130" i="87"/>
  <c r="G130" i="87"/>
  <c r="F130" i="87"/>
  <c r="E130" i="87"/>
  <c r="D130" i="87"/>
  <c r="C130" i="87"/>
  <c r="O129" i="87"/>
  <c r="N129" i="87"/>
  <c r="M129" i="87"/>
  <c r="L129" i="87"/>
  <c r="K129" i="87"/>
  <c r="J129" i="87"/>
  <c r="I129" i="87"/>
  <c r="H129" i="87"/>
  <c r="G129" i="87"/>
  <c r="F129" i="87"/>
  <c r="E129" i="87"/>
  <c r="D129" i="87"/>
  <c r="C129" i="87"/>
  <c r="O80" i="87"/>
  <c r="N80" i="87"/>
  <c r="M80" i="87"/>
  <c r="L80" i="87"/>
  <c r="K80" i="87"/>
  <c r="J80" i="87"/>
  <c r="I80" i="87"/>
  <c r="H80" i="87"/>
  <c r="G80" i="87"/>
  <c r="F80" i="87"/>
  <c r="E80" i="87"/>
  <c r="D80" i="87"/>
  <c r="C80" i="87"/>
  <c r="O75" i="87"/>
  <c r="N75" i="87"/>
  <c r="M75" i="87"/>
  <c r="L75" i="87"/>
  <c r="K75" i="87"/>
  <c r="J75" i="87"/>
  <c r="I75" i="87"/>
  <c r="H75" i="87"/>
  <c r="G75" i="87"/>
  <c r="F75" i="87"/>
  <c r="E75" i="87"/>
  <c r="D75" i="87"/>
  <c r="C75" i="87"/>
  <c r="O26" i="87"/>
  <c r="N26" i="87"/>
  <c r="M26" i="87"/>
  <c r="L26" i="87"/>
  <c r="K26" i="87"/>
  <c r="J26" i="87"/>
  <c r="I26" i="87"/>
  <c r="H26" i="87"/>
  <c r="G26" i="87"/>
  <c r="F26" i="87"/>
  <c r="E26" i="87"/>
  <c r="D26" i="87"/>
  <c r="C26" i="87"/>
  <c r="C22" i="87"/>
  <c r="G18" i="84"/>
  <c r="D18" i="84"/>
  <c r="C18" i="84"/>
  <c r="G17" i="84"/>
  <c r="D17" i="84"/>
  <c r="C17" i="84"/>
  <c r="G16" i="84"/>
  <c r="D16" i="84"/>
  <c r="C16" i="84"/>
  <c r="G15" i="84"/>
  <c r="D15" i="84"/>
  <c r="C15" i="84"/>
  <c r="G14" i="84"/>
  <c r="D14" i="84"/>
  <c r="C14" i="84"/>
  <c r="G13" i="84"/>
  <c r="D13" i="84"/>
  <c r="C13" i="84"/>
  <c r="G12" i="84"/>
  <c r="D12" i="84"/>
  <c r="C12" i="84"/>
  <c r="G11" i="84"/>
  <c r="D11" i="84"/>
  <c r="C11" i="84"/>
  <c r="G10" i="84"/>
  <c r="D10" i="84"/>
  <c r="C10" i="84"/>
  <c r="G9" i="84"/>
  <c r="D9" i="84"/>
  <c r="C9" i="84"/>
  <c r="G8" i="84"/>
  <c r="D8" i="84"/>
  <c r="C8" i="84"/>
  <c r="G7" i="84"/>
  <c r="D7" i="84"/>
  <c r="C7" i="84"/>
  <c r="G6" i="84"/>
  <c r="D6" i="84"/>
  <c r="C6" i="84"/>
  <c r="J35" i="95"/>
  <c r="I35" i="95"/>
  <c r="D35" i="95"/>
  <c r="C35" i="95"/>
  <c r="J34" i="95"/>
  <c r="I34" i="95"/>
  <c r="F34" i="95" a="1"/>
  <c r="F34" i="95" s="1"/>
  <c r="D34" i="95"/>
  <c r="C34" i="95"/>
  <c r="J33" i="95"/>
  <c r="I33" i="95"/>
  <c r="F33" i="95" a="1"/>
  <c r="F33" i="95" s="1"/>
  <c r="D33" i="95"/>
  <c r="C33" i="95"/>
  <c r="J32" i="95"/>
  <c r="I32" i="95"/>
  <c r="F32" i="95" a="1"/>
  <c r="F32" i="95" s="1"/>
  <c r="D32" i="95"/>
  <c r="C32" i="95"/>
  <c r="J31" i="95"/>
  <c r="I31" i="95"/>
  <c r="F31" i="95" a="1"/>
  <c r="F31" i="95" s="1"/>
  <c r="D31" i="95"/>
  <c r="C31" i="95"/>
  <c r="J30" i="95"/>
  <c r="K30" i="95" s="1"/>
  <c r="I30" i="95"/>
  <c r="F30" i="95" a="1"/>
  <c r="F30" i="95" s="1"/>
  <c r="D30" i="95"/>
  <c r="C30" i="95"/>
  <c r="J29" i="95"/>
  <c r="I29" i="95"/>
  <c r="F29" i="95" a="1"/>
  <c r="F29" i="95" s="1"/>
  <c r="D29" i="95"/>
  <c r="C29" i="95"/>
  <c r="J28" i="95"/>
  <c r="I28" i="95"/>
  <c r="F28" i="95" a="1"/>
  <c r="F28" i="95" s="1"/>
  <c r="D28" i="95"/>
  <c r="C28" i="95"/>
  <c r="J27" i="95"/>
  <c r="I27" i="95"/>
  <c r="F27" i="95" a="1"/>
  <c r="F27" i="95" s="1"/>
  <c r="D27" i="95"/>
  <c r="C27" i="95"/>
  <c r="J26" i="95"/>
  <c r="I26" i="95"/>
  <c r="F26" i="95" a="1"/>
  <c r="F26" i="95" s="1"/>
  <c r="D26" i="95"/>
  <c r="C26" i="95"/>
  <c r="J25" i="95"/>
  <c r="I25" i="95"/>
  <c r="F25" i="95" a="1"/>
  <c r="F25" i="95" s="1"/>
  <c r="D25" i="95"/>
  <c r="C25" i="95"/>
  <c r="J24" i="95"/>
  <c r="K24" i="95" s="1"/>
  <c r="I24" i="95"/>
  <c r="F24" i="95" a="1"/>
  <c r="F24" i="95" s="1"/>
  <c r="D24" i="95"/>
  <c r="C24" i="95"/>
  <c r="J23" i="95"/>
  <c r="I23" i="95"/>
  <c r="F23" i="95" a="1"/>
  <c r="F23" i="95" s="1"/>
  <c r="D23" i="95"/>
  <c r="C23" i="95"/>
  <c r="J18" i="95"/>
  <c r="K18" i="95" s="1"/>
  <c r="I18" i="95"/>
  <c r="D18" i="95"/>
  <c r="C18" i="95"/>
  <c r="L17" i="95" a="1"/>
  <c r="L17" i="95" s="1"/>
  <c r="J17" i="95"/>
  <c r="I17" i="95"/>
  <c r="F17" i="95" a="1"/>
  <c r="F17" i="95" s="1"/>
  <c r="D17" i="95"/>
  <c r="C17" i="95"/>
  <c r="L16" i="95" a="1"/>
  <c r="L16" i="95" s="1"/>
  <c r="J16" i="95"/>
  <c r="I16" i="95"/>
  <c r="F16" i="95" a="1"/>
  <c r="F16" i="95" s="1"/>
  <c r="D16" i="95"/>
  <c r="C16" i="95"/>
  <c r="L15" i="95" a="1"/>
  <c r="L15" i="95" s="1"/>
  <c r="J15" i="95"/>
  <c r="I15" i="95"/>
  <c r="F15" i="95" a="1"/>
  <c r="F15" i="95" s="1"/>
  <c r="D15" i="95"/>
  <c r="C15" i="95"/>
  <c r="E15" i="95" s="1"/>
  <c r="L14" i="95" a="1"/>
  <c r="L14" i="95" s="1"/>
  <c r="J14" i="95"/>
  <c r="I14" i="95"/>
  <c r="F14" i="95" a="1"/>
  <c r="F14" i="95" s="1"/>
  <c r="D14" i="95"/>
  <c r="C14" i="95"/>
  <c r="L13" i="95" a="1"/>
  <c r="L13" i="95" s="1"/>
  <c r="J13" i="95"/>
  <c r="I13" i="95"/>
  <c r="F13" i="95" a="1"/>
  <c r="F13" i="95" s="1"/>
  <c r="D13" i="95"/>
  <c r="C13" i="95"/>
  <c r="L12" i="95" a="1"/>
  <c r="L12" i="95" s="1"/>
  <c r="J12" i="95"/>
  <c r="I12" i="95"/>
  <c r="F12" i="95" a="1"/>
  <c r="F12" i="95" s="1"/>
  <c r="D12" i="95"/>
  <c r="C12" i="95"/>
  <c r="L11" i="95" a="1"/>
  <c r="L11" i="95" s="1"/>
  <c r="J11" i="95"/>
  <c r="I11" i="95"/>
  <c r="F11" i="95" a="1"/>
  <c r="F11" i="95" s="1"/>
  <c r="D11" i="95"/>
  <c r="C11" i="95"/>
  <c r="E11" i="95" s="1"/>
  <c r="L10" i="95" a="1"/>
  <c r="L10" i="95" s="1"/>
  <c r="J10" i="95"/>
  <c r="I10" i="95"/>
  <c r="F10" i="95" a="1"/>
  <c r="F10" i="95" s="1"/>
  <c r="D10" i="95"/>
  <c r="C10" i="95"/>
  <c r="L9" i="95" a="1"/>
  <c r="L9" i="95" s="1"/>
  <c r="J9" i="95"/>
  <c r="I9" i="95"/>
  <c r="F9" i="95" a="1"/>
  <c r="F9" i="95" s="1"/>
  <c r="D9" i="95"/>
  <c r="C9" i="95"/>
  <c r="L8" i="95" a="1"/>
  <c r="L8" i="95" s="1"/>
  <c r="J8" i="95"/>
  <c r="I8" i="95"/>
  <c r="F8" i="95" a="1"/>
  <c r="F8" i="95" s="1"/>
  <c r="D8" i="95"/>
  <c r="C8" i="95"/>
  <c r="L7" i="95" a="1"/>
  <c r="L7" i="95" s="1"/>
  <c r="J7" i="95"/>
  <c r="I7" i="95"/>
  <c r="F7" i="95" a="1"/>
  <c r="F7" i="95" s="1"/>
  <c r="D7" i="95"/>
  <c r="C7" i="95"/>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G104" i="110" s="1" a="1"/>
  <c r="B99" i="110"/>
  <c r="E102" i="110" s="1" a="1"/>
  <c r="T92" i="110"/>
  <c r="AF97" i="110" s="1" a="1"/>
  <c r="B92" i="110"/>
  <c r="P97" i="110" s="1" a="1"/>
  <c r="T85" i="110"/>
  <c r="AF89" i="110" s="1" a="1"/>
  <c r="B85" i="110"/>
  <c r="D90" i="110" s="1" a="1"/>
  <c r="T78" i="110"/>
  <c r="AG81" i="110" s="1" a="1"/>
  <c r="B78" i="110"/>
  <c r="O83" i="110" s="1" a="1"/>
  <c r="T71" i="110"/>
  <c r="X76" i="110" s="1" a="1"/>
  <c r="B71" i="110"/>
  <c r="T64" i="110"/>
  <c r="AE69" i="110" s="1"/>
  <c r="B64" i="110"/>
  <c r="Q69" i="110" s="1"/>
  <c r="T57" i="110"/>
  <c r="B57" i="110"/>
  <c r="H60" i="110" s="1"/>
  <c r="T50" i="110"/>
  <c r="AB55" i="110" s="1"/>
  <c r="B50" i="110"/>
  <c r="J54" i="110" s="1"/>
  <c r="T43" i="110"/>
  <c r="Z47" i="110" s="1"/>
  <c r="B43" i="110"/>
  <c r="N48" i="110" s="1"/>
  <c r="T36" i="110"/>
  <c r="AA41" i="110" s="1"/>
  <c r="B36" i="110"/>
  <c r="I39" i="110" s="1"/>
  <c r="T29" i="110"/>
  <c r="B29" i="110"/>
  <c r="P34" i="110" s="1"/>
  <c r="T22" i="110"/>
  <c r="B22" i="110"/>
  <c r="J27" i="110" s="1"/>
  <c r="T15" i="110"/>
  <c r="AJ20" i="110" s="1"/>
  <c r="B15" i="110"/>
  <c r="G20" i="110" s="1"/>
  <c r="T8" i="110"/>
  <c r="V12" i="110" s="1"/>
  <c r="B8" i="110"/>
  <c r="J12" i="110" s="1"/>
  <c r="B99" i="108"/>
  <c r="G102" i="108" s="1" a="1"/>
  <c r="T92" i="108"/>
  <c r="AF94" i="108" s="1" a="1"/>
  <c r="AF94" i="108" s="1"/>
  <c r="B92" i="108"/>
  <c r="L96" i="108" s="1" a="1"/>
  <c r="L96" i="108" s="1"/>
  <c r="T85" i="108"/>
  <c r="AJ90" i="108" s="1" a="1"/>
  <c r="AJ90" i="108" s="1"/>
  <c r="B85" i="108"/>
  <c r="T78" i="108"/>
  <c r="B78" i="108"/>
  <c r="G80" i="108" s="1" a="1"/>
  <c r="G80" i="108" s="1"/>
  <c r="T71" i="108"/>
  <c r="X75" i="108" s="1" a="1"/>
  <c r="X75" i="108" s="1"/>
  <c r="B71" i="108"/>
  <c r="Q73" i="108" s="1"/>
  <c r="T64" i="108"/>
  <c r="V69" i="108" s="1"/>
  <c r="B64" i="108"/>
  <c r="D68" i="108" s="1"/>
  <c r="T57" i="108"/>
  <c r="AB60" i="108" s="1"/>
  <c r="B57" i="108"/>
  <c r="T50" i="108"/>
  <c r="Z55" i="108" s="1"/>
  <c r="B50" i="108"/>
  <c r="C55" i="108" s="1"/>
  <c r="T43" i="108"/>
  <c r="Y46" i="108" s="1"/>
  <c r="B43" i="108"/>
  <c r="H47" i="108" s="1"/>
  <c r="T36" i="108"/>
  <c r="AC41" i="108" s="1"/>
  <c r="B36" i="108"/>
  <c r="M41" i="108" s="1"/>
  <c r="T29" i="108"/>
  <c r="AH31" i="108" s="1"/>
  <c r="B29" i="108"/>
  <c r="O34" i="108" s="1"/>
  <c r="T22" i="108"/>
  <c r="AC27" i="108" s="1"/>
  <c r="B22" i="108"/>
  <c r="F24" i="108" s="1"/>
  <c r="T15" i="108"/>
  <c r="B15" i="108"/>
  <c r="L20" i="108" s="1"/>
  <c r="T8" i="108"/>
  <c r="U11" i="108" s="1"/>
  <c r="B8" i="108"/>
  <c r="B99" i="109"/>
  <c r="T92" i="109"/>
  <c r="V94" i="109" s="1"/>
  <c r="B92" i="109"/>
  <c r="C97" i="109" s="1"/>
  <c r="T85" i="109"/>
  <c r="AB89" i="109" s="1"/>
  <c r="B85" i="109"/>
  <c r="K88" i="109" s="1"/>
  <c r="T78" i="109"/>
  <c r="V83" i="109" s="1"/>
  <c r="B78" i="109"/>
  <c r="T71" i="109"/>
  <c r="AB76" i="109" s="1"/>
  <c r="B71" i="109"/>
  <c r="J74" i="109" s="1"/>
  <c r="T64" i="109"/>
  <c r="AB69" i="109" s="1"/>
  <c r="B64" i="109"/>
  <c r="O67" i="109" s="1"/>
  <c r="T57" i="109"/>
  <c r="AB62" i="109" s="1"/>
  <c r="B57" i="109"/>
  <c r="R59" i="109" s="1"/>
  <c r="T50" i="109"/>
  <c r="AB55" i="109" s="1"/>
  <c r="B50" i="109"/>
  <c r="K53" i="109" s="1"/>
  <c r="T43" i="109"/>
  <c r="X47" i="109" s="1"/>
  <c r="B43" i="109"/>
  <c r="T36" i="109"/>
  <c r="W38" i="109" s="1"/>
  <c r="B36" i="109"/>
  <c r="J41" i="109" s="1"/>
  <c r="T29" i="109"/>
  <c r="AB33" i="109" s="1"/>
  <c r="B29" i="109"/>
  <c r="L34" i="109" s="1"/>
  <c r="T22" i="109"/>
  <c r="U27" i="109" s="1"/>
  <c r="B22" i="109"/>
  <c r="Q27" i="109" s="1"/>
  <c r="T15" i="109"/>
  <c r="B15" i="109"/>
  <c r="T8" i="109"/>
  <c r="B8" i="109"/>
  <c r="O13" i="109" s="1"/>
  <c r="T99" i="107"/>
  <c r="Z103" i="107" s="1"/>
  <c r="B99" i="107"/>
  <c r="R104" i="107" s="1"/>
  <c r="T92" i="107"/>
  <c r="AE95" i="107" s="1"/>
  <c r="B92" i="107"/>
  <c r="M97" i="107" s="1"/>
  <c r="T85" i="107"/>
  <c r="B85" i="107"/>
  <c r="R87" i="107" s="1"/>
  <c r="T78" i="107"/>
  <c r="B78" i="107"/>
  <c r="N83" i="107" s="1"/>
  <c r="T71" i="107"/>
  <c r="AB73" i="107" s="1"/>
  <c r="B71" i="107"/>
  <c r="R76" i="107" s="1"/>
  <c r="T64" i="107"/>
  <c r="Z69" i="107" s="1"/>
  <c r="B64" i="107"/>
  <c r="R69" i="107" s="1"/>
  <c r="T57" i="107"/>
  <c r="AI62" i="107" s="1"/>
  <c r="B57" i="107"/>
  <c r="R62" i="107" s="1"/>
  <c r="T50" i="107"/>
  <c r="U55" i="107" s="1"/>
  <c r="B50" i="107"/>
  <c r="R55" i="107" s="1"/>
  <c r="T43" i="107"/>
  <c r="AH48" i="107" s="1"/>
  <c r="B43" i="107"/>
  <c r="R48" i="107" s="1"/>
  <c r="T36" i="107"/>
  <c r="X39" i="107" s="1"/>
  <c r="B36" i="107"/>
  <c r="R41" i="107" s="1"/>
  <c r="T29" i="107"/>
  <c r="AJ34" i="107" s="1"/>
  <c r="B29" i="107"/>
  <c r="R34" i="107" s="1"/>
  <c r="T22" i="107"/>
  <c r="B22" i="107"/>
  <c r="R27" i="107" s="1"/>
  <c r="T15" i="107"/>
  <c r="AD20" i="107" s="1"/>
  <c r="B15" i="107"/>
  <c r="R20" i="107" s="1"/>
  <c r="T8" i="107"/>
  <c r="AH13" i="107" s="1"/>
  <c r="B8" i="107"/>
  <c r="R13" i="107" s="1"/>
  <c r="B124" i="81"/>
  <c r="D124" i="81" s="1"/>
  <c r="B123" i="81"/>
  <c r="D123" i="81" s="1"/>
  <c r="B122" i="81"/>
  <c r="D122" i="81" s="1"/>
  <c r="B121" i="81"/>
  <c r="D121" i="81" s="1"/>
  <c r="B120" i="81"/>
  <c r="D120" i="81" s="1"/>
  <c r="B119" i="81"/>
  <c r="D119" i="81" s="1"/>
  <c r="B118" i="81"/>
  <c r="D118" i="81" s="1"/>
  <c r="B117" i="81"/>
  <c r="D117" i="81" s="1"/>
  <c r="B116" i="81"/>
  <c r="D116" i="81" s="1"/>
  <c r="B115" i="81"/>
  <c r="D115" i="81" s="1"/>
  <c r="B114" i="81"/>
  <c r="D114" i="81" s="1"/>
  <c r="B113" i="81"/>
  <c r="D113" i="81" s="1"/>
  <c r="B112" i="81"/>
  <c r="D112" i="81" s="1"/>
  <c r="B111" i="81"/>
  <c r="D111" i="81" s="1"/>
  <c r="B110" i="81"/>
  <c r="D110" i="81" s="1"/>
  <c r="B109" i="81"/>
  <c r="D109" i="81" s="1"/>
  <c r="B108" i="81"/>
  <c r="D108" i="81" s="1"/>
  <c r="B107" i="81"/>
  <c r="D107" i="81" s="1"/>
  <c r="B106" i="81"/>
  <c r="D106" i="81" s="1"/>
  <c r="B105" i="81"/>
  <c r="D105" i="81" s="1"/>
  <c r="B104" i="81"/>
  <c r="D104" i="81" s="1"/>
  <c r="B103" i="81"/>
  <c r="D103" i="81" s="1"/>
  <c r="B102" i="81"/>
  <c r="D102" i="81" s="1"/>
  <c r="B101" i="81"/>
  <c r="D101" i="81" s="1"/>
  <c r="B100" i="81"/>
  <c r="D100" i="81" s="1"/>
  <c r="B99" i="81"/>
  <c r="D99" i="81" s="1"/>
  <c r="B98" i="81"/>
  <c r="D98" i="81" s="1"/>
  <c r="G97" i="81"/>
  <c r="E97" i="81"/>
  <c r="D97" i="81"/>
  <c r="C97" i="81"/>
  <c r="B94" i="81"/>
  <c r="I94" i="81" s="1"/>
  <c r="B93" i="81"/>
  <c r="J93" i="81" s="1"/>
  <c r="B92" i="81"/>
  <c r="I92" i="81" s="1"/>
  <c r="B91" i="81"/>
  <c r="B90" i="81"/>
  <c r="I90" i="81" s="1"/>
  <c r="B89" i="81"/>
  <c r="I89" i="81" s="1"/>
  <c r="B88" i="81"/>
  <c r="I88" i="81" s="1"/>
  <c r="B87" i="81"/>
  <c r="F87" i="81" s="1"/>
  <c r="B86" i="81"/>
  <c r="I86" i="81" s="1"/>
  <c r="B85" i="81"/>
  <c r="J85" i="81" s="1"/>
  <c r="B84" i="81"/>
  <c r="I84" i="81" s="1"/>
  <c r="B83" i="81"/>
  <c r="B82" i="81"/>
  <c r="I82" i="81" s="1"/>
  <c r="B81" i="81"/>
  <c r="I81" i="81" s="1"/>
  <c r="B80" i="81"/>
  <c r="I80" i="81" s="1"/>
  <c r="B79" i="81"/>
  <c r="F79" i="81" s="1"/>
  <c r="B78" i="81"/>
  <c r="I78" i="81" s="1"/>
  <c r="B77" i="81"/>
  <c r="F77" i="81" s="1"/>
  <c r="B76" i="81"/>
  <c r="I76" i="81" s="1"/>
  <c r="B75" i="81"/>
  <c r="B74" i="81"/>
  <c r="I74" i="81" s="1"/>
  <c r="B73" i="81"/>
  <c r="F73" i="81" s="1"/>
  <c r="B72" i="81"/>
  <c r="I72" i="81" s="1"/>
  <c r="B71" i="81"/>
  <c r="F71" i="81" s="1"/>
  <c r="B70" i="81"/>
  <c r="I70" i="81" s="1"/>
  <c r="B69" i="81"/>
  <c r="I69" i="81" s="1"/>
  <c r="B68" i="81"/>
  <c r="I68" i="81" s="1"/>
  <c r="J67" i="81"/>
  <c r="I67" i="81"/>
  <c r="G67" i="81"/>
  <c r="F67" i="81"/>
  <c r="D67" i="81"/>
  <c r="C67" i="81"/>
  <c r="B64" i="81"/>
  <c r="F64" i="81" s="1"/>
  <c r="B63" i="81"/>
  <c r="F63" i="81" s="1"/>
  <c r="B62" i="81"/>
  <c r="F62" i="81" s="1"/>
  <c r="B61" i="81"/>
  <c r="B60" i="81"/>
  <c r="F60" i="81" s="1"/>
  <c r="B59" i="81"/>
  <c r="F59" i="81" s="1"/>
  <c r="B58" i="81"/>
  <c r="F58" i="81" s="1"/>
  <c r="B57" i="81"/>
  <c r="F57" i="81" s="1"/>
  <c r="B56" i="81"/>
  <c r="B55" i="81"/>
  <c r="B54" i="81"/>
  <c r="I54" i="81" s="1"/>
  <c r="B53" i="81"/>
  <c r="B52" i="81"/>
  <c r="L52" i="81" s="1"/>
  <c r="B51" i="81"/>
  <c r="B50" i="81"/>
  <c r="B49" i="81"/>
  <c r="F49" i="81" s="1"/>
  <c r="B48" i="81"/>
  <c r="G48" i="81" s="1"/>
  <c r="B47" i="81"/>
  <c r="L47" i="81" s="1"/>
  <c r="B46" i="81"/>
  <c r="B45" i="81"/>
  <c r="B44" i="81"/>
  <c r="K44" i="81" s="1"/>
  <c r="B43" i="81"/>
  <c r="I43" i="81" s="1"/>
  <c r="B42" i="81"/>
  <c r="I42" i="81" s="1"/>
  <c r="B41" i="81"/>
  <c r="G41" i="81" s="1"/>
  <c r="B40" i="81"/>
  <c r="G40" i="81" s="1"/>
  <c r="B39" i="81"/>
  <c r="L39" i="81" s="1"/>
  <c r="B38" i="81"/>
  <c r="K38" i="81" s="1"/>
  <c r="L37" i="81"/>
  <c r="K37" i="81"/>
  <c r="I37" i="81"/>
  <c r="G37" i="81"/>
  <c r="F37" i="81"/>
  <c r="D37" i="81"/>
  <c r="C37" i="81"/>
  <c r="B34" i="81"/>
  <c r="H34" i="81" s="1"/>
  <c r="B33" i="81"/>
  <c r="H33" i="81" s="1"/>
  <c r="B32" i="81"/>
  <c r="H32" i="81" s="1"/>
  <c r="B31" i="81"/>
  <c r="B30" i="81"/>
  <c r="H30" i="81" s="1"/>
  <c r="B29" i="81"/>
  <c r="D29" i="81" s="1"/>
  <c r="B28" i="81"/>
  <c r="H28" i="81" s="1"/>
  <c r="B27" i="81"/>
  <c r="B26" i="81"/>
  <c r="H26" i="81" s="1"/>
  <c r="B25" i="81"/>
  <c r="D25" i="81" s="1"/>
  <c r="B24" i="81"/>
  <c r="H24" i="81" s="1"/>
  <c r="B23" i="81"/>
  <c r="B22" i="81"/>
  <c r="H22" i="81" s="1"/>
  <c r="B21" i="81"/>
  <c r="H21" i="81" s="1"/>
  <c r="B20" i="81"/>
  <c r="H20" i="81" s="1"/>
  <c r="B19" i="81"/>
  <c r="B18" i="81"/>
  <c r="H18" i="81" s="1"/>
  <c r="B17" i="81"/>
  <c r="B16" i="81"/>
  <c r="H16" i="81" s="1"/>
  <c r="B15" i="81"/>
  <c r="B14" i="81"/>
  <c r="H14" i="81" s="1"/>
  <c r="B13" i="81"/>
  <c r="D13" i="81" s="1"/>
  <c r="B12" i="81"/>
  <c r="H12" i="81" s="1"/>
  <c r="B11" i="81"/>
  <c r="B10" i="81"/>
  <c r="H10" i="81" s="1"/>
  <c r="B9" i="81"/>
  <c r="B8" i="81"/>
  <c r="H8" i="81" s="1"/>
  <c r="K7" i="81"/>
  <c r="J7" i="81"/>
  <c r="H7" i="81"/>
  <c r="G7" i="81"/>
  <c r="E7" i="81"/>
  <c r="D7" i="81"/>
  <c r="C7" i="81"/>
  <c r="T99" i="105"/>
  <c r="AJ104" i="105" s="1"/>
  <c r="B99" i="105"/>
  <c r="F102" i="105" s="1"/>
  <c r="T92" i="105"/>
  <c r="V97" i="105" s="1"/>
  <c r="B92" i="105"/>
  <c r="K97" i="105" s="1"/>
  <c r="T85" i="105"/>
  <c r="AG90" i="105" s="1"/>
  <c r="B85" i="105"/>
  <c r="O88" i="105" s="1"/>
  <c r="T78" i="105"/>
  <c r="AD82" i="105" s="1"/>
  <c r="B78" i="105"/>
  <c r="L83" i="105" s="1"/>
  <c r="T71" i="105"/>
  <c r="X76" i="105" s="1"/>
  <c r="B71" i="105"/>
  <c r="O76" i="105" s="1"/>
  <c r="T64" i="105"/>
  <c r="AJ69" i="105" s="1"/>
  <c r="B64" i="105"/>
  <c r="L69" i="105" s="1"/>
  <c r="T57" i="105"/>
  <c r="Z59" i="105" s="1"/>
  <c r="B57" i="105"/>
  <c r="O60" i="105" s="1"/>
  <c r="T50" i="105"/>
  <c r="Y54" i="105" s="1"/>
  <c r="B50" i="105"/>
  <c r="O55" i="105" s="1"/>
  <c r="T43" i="105"/>
  <c r="B43" i="105"/>
  <c r="T36" i="105"/>
  <c r="AJ39" i="105" s="1"/>
  <c r="B36" i="105"/>
  <c r="G41" i="105" s="1"/>
  <c r="T29" i="105"/>
  <c r="AD34" i="105" s="1"/>
  <c r="B29" i="105"/>
  <c r="T22" i="105"/>
  <c r="AG27" i="105" s="1"/>
  <c r="B22" i="105"/>
  <c r="O27" i="105" s="1"/>
  <c r="T15" i="105"/>
  <c r="AC20" i="105" s="1"/>
  <c r="B15" i="105"/>
  <c r="L19" i="105" s="1"/>
  <c r="T8" i="105"/>
  <c r="AH13" i="105" s="1"/>
  <c r="B8" i="105"/>
  <c r="O11" i="105" s="1"/>
  <c r="T99" i="102"/>
  <c r="U101" i="102" s="1"/>
  <c r="B99" i="102"/>
  <c r="P99" i="102" s="1"/>
  <c r="T92" i="102"/>
  <c r="AH92" i="102" s="1"/>
  <c r="B92" i="102"/>
  <c r="L97" i="102" s="1"/>
  <c r="T85" i="102"/>
  <c r="AH85" i="102" s="1"/>
  <c r="B85" i="102"/>
  <c r="K88" i="102" s="1"/>
  <c r="T78" i="102"/>
  <c r="AH78" i="102" s="1"/>
  <c r="B78" i="102"/>
  <c r="L83" i="102" s="1"/>
  <c r="T71" i="102"/>
  <c r="AB76" i="102" s="1"/>
  <c r="B71" i="102"/>
  <c r="L104" i="102" s="1"/>
  <c r="T64" i="102"/>
  <c r="AB97" i="102" s="1"/>
  <c r="B64" i="102"/>
  <c r="L66" i="102" s="1"/>
  <c r="T57" i="102"/>
  <c r="AH61" i="102" s="1"/>
  <c r="B57" i="102"/>
  <c r="O62" i="102" s="1"/>
  <c r="T50" i="102"/>
  <c r="AH55" i="102" s="1"/>
  <c r="B50" i="102"/>
  <c r="P54" i="102" s="1"/>
  <c r="T43" i="102"/>
  <c r="AG47" i="102" s="1"/>
  <c r="B43" i="102"/>
  <c r="F46" i="102" s="1"/>
  <c r="T36" i="102"/>
  <c r="AJ39" i="102" s="1"/>
  <c r="B36" i="102"/>
  <c r="G41" i="102" s="1"/>
  <c r="T29" i="102"/>
  <c r="AD32" i="102" s="1"/>
  <c r="B29" i="102"/>
  <c r="O34" i="102" s="1"/>
  <c r="T22" i="102"/>
  <c r="AC27" i="102" s="1"/>
  <c r="B22" i="102"/>
  <c r="D27" i="102" s="1"/>
  <c r="T15" i="102"/>
  <c r="W20" i="102" s="1"/>
  <c r="B15" i="102"/>
  <c r="J20" i="102" s="1"/>
  <c r="T8" i="102"/>
  <c r="B8" i="102"/>
  <c r="P13" i="102" s="1"/>
  <c r="S68" i="111"/>
  <c r="R68" i="111"/>
  <c r="Q68" i="111"/>
  <c r="P68" i="111"/>
  <c r="O68" i="111"/>
  <c r="N68" i="111"/>
  <c r="M68" i="111"/>
  <c r="L68" i="111"/>
  <c r="K68" i="111"/>
  <c r="AD68" i="111" s="1"/>
  <c r="J68" i="111"/>
  <c r="I68" i="111"/>
  <c r="H68" i="111"/>
  <c r="G68" i="111"/>
  <c r="F68" i="111"/>
  <c r="E68" i="111"/>
  <c r="D68" i="111"/>
  <c r="C68" i="111"/>
  <c r="V68" i="111" s="1"/>
  <c r="S67" i="111"/>
  <c r="R67" i="111"/>
  <c r="Q67" i="111"/>
  <c r="P67" i="111"/>
  <c r="O67" i="111"/>
  <c r="N67" i="111"/>
  <c r="M67" i="111"/>
  <c r="L67" i="111"/>
  <c r="K67" i="111"/>
  <c r="AD67" i="111" s="1"/>
  <c r="J67" i="111"/>
  <c r="I67" i="111"/>
  <c r="H67" i="111"/>
  <c r="G67" i="111"/>
  <c r="F67" i="111"/>
  <c r="E67" i="111"/>
  <c r="D67" i="111"/>
  <c r="C67" i="111"/>
  <c r="V67" i="111" s="1"/>
  <c r="S66" i="111"/>
  <c r="R66" i="111"/>
  <c r="Q66" i="111"/>
  <c r="P66" i="111"/>
  <c r="O66" i="111"/>
  <c r="N66" i="111"/>
  <c r="M66" i="111"/>
  <c r="L66" i="111"/>
  <c r="K66" i="111"/>
  <c r="AD66" i="111" s="1"/>
  <c r="J66" i="111"/>
  <c r="I66" i="111"/>
  <c r="H66" i="111"/>
  <c r="G66" i="111"/>
  <c r="F66" i="111"/>
  <c r="E66" i="111"/>
  <c r="D66" i="111"/>
  <c r="C66" i="111"/>
  <c r="V66" i="111" s="1"/>
  <c r="S65" i="111"/>
  <c r="R65" i="111"/>
  <c r="Q65" i="111"/>
  <c r="P65" i="111"/>
  <c r="O65" i="111"/>
  <c r="N65" i="111"/>
  <c r="M65" i="111"/>
  <c r="L65" i="111"/>
  <c r="K65" i="111"/>
  <c r="AD65" i="111" s="1"/>
  <c r="J65" i="111"/>
  <c r="I65" i="111"/>
  <c r="H65" i="111"/>
  <c r="G65" i="111"/>
  <c r="F65" i="111"/>
  <c r="E65" i="111"/>
  <c r="D65" i="111"/>
  <c r="C65" i="111"/>
  <c r="V65" i="111" s="1"/>
  <c r="S64" i="111"/>
  <c r="R64" i="111"/>
  <c r="Q64" i="111"/>
  <c r="P64" i="111"/>
  <c r="O64" i="111"/>
  <c r="N64" i="111"/>
  <c r="M64" i="111"/>
  <c r="L64" i="111"/>
  <c r="K64" i="111"/>
  <c r="AD64" i="111" s="1"/>
  <c r="J64" i="111"/>
  <c r="I64" i="111"/>
  <c r="H64" i="111"/>
  <c r="G64" i="111"/>
  <c r="F64" i="111"/>
  <c r="E64" i="111"/>
  <c r="D64" i="111"/>
  <c r="C64" i="111"/>
  <c r="V64" i="111" s="1"/>
  <c r="S63" i="111"/>
  <c r="R63" i="111"/>
  <c r="Q63" i="111"/>
  <c r="P63" i="111"/>
  <c r="O63" i="111"/>
  <c r="N63" i="111"/>
  <c r="M63" i="111"/>
  <c r="L63" i="111"/>
  <c r="K63" i="111"/>
  <c r="AD63" i="111" s="1"/>
  <c r="J63" i="111"/>
  <c r="I63" i="111"/>
  <c r="H63" i="111"/>
  <c r="G63" i="111"/>
  <c r="F63" i="111"/>
  <c r="E63" i="111"/>
  <c r="D63" i="111"/>
  <c r="C63" i="111"/>
  <c r="V63" i="111" s="1"/>
  <c r="S62" i="111"/>
  <c r="R62" i="111"/>
  <c r="Q62" i="111"/>
  <c r="P62" i="111"/>
  <c r="O62" i="111"/>
  <c r="N62" i="111"/>
  <c r="M62" i="111"/>
  <c r="L62" i="111"/>
  <c r="K62" i="111"/>
  <c r="AD62" i="111" s="1"/>
  <c r="J62" i="111"/>
  <c r="I62" i="111"/>
  <c r="H62" i="111"/>
  <c r="G62" i="111"/>
  <c r="F62" i="111"/>
  <c r="E62" i="111"/>
  <c r="D62" i="111"/>
  <c r="C62" i="111"/>
  <c r="V62" i="111" s="1"/>
  <c r="S61" i="111"/>
  <c r="R61" i="111"/>
  <c r="Q61" i="111"/>
  <c r="P61" i="111"/>
  <c r="O61" i="111"/>
  <c r="N61" i="111"/>
  <c r="M61" i="111"/>
  <c r="L61" i="111"/>
  <c r="K61" i="111"/>
  <c r="AD61" i="111" s="1"/>
  <c r="J61" i="111"/>
  <c r="I61" i="111"/>
  <c r="H61" i="111"/>
  <c r="G61" i="111"/>
  <c r="F61" i="111"/>
  <c r="E61" i="111"/>
  <c r="D61" i="111"/>
  <c r="C61" i="111"/>
  <c r="V61" i="111" s="1"/>
  <c r="S60" i="111"/>
  <c r="R60" i="111"/>
  <c r="Q60" i="111"/>
  <c r="P60" i="111"/>
  <c r="O60" i="111"/>
  <c r="N60" i="111"/>
  <c r="M60" i="111"/>
  <c r="L60" i="111"/>
  <c r="K60" i="111"/>
  <c r="AD60" i="111" s="1"/>
  <c r="J60" i="111"/>
  <c r="I60" i="111"/>
  <c r="H60" i="111"/>
  <c r="G60" i="111"/>
  <c r="F60" i="111"/>
  <c r="E60" i="111"/>
  <c r="D60" i="111"/>
  <c r="C60" i="111"/>
  <c r="V60" i="111" s="1"/>
  <c r="S59" i="111"/>
  <c r="R59" i="111"/>
  <c r="Q59" i="111"/>
  <c r="P59" i="111"/>
  <c r="O59" i="111"/>
  <c r="N59" i="111"/>
  <c r="M59" i="111"/>
  <c r="L59" i="111"/>
  <c r="K59" i="111"/>
  <c r="AD59" i="111" s="1"/>
  <c r="J59" i="111"/>
  <c r="I59" i="111"/>
  <c r="H59" i="111"/>
  <c r="G59" i="111"/>
  <c r="F59" i="111"/>
  <c r="E59" i="111"/>
  <c r="D59" i="111"/>
  <c r="C59" i="111"/>
  <c r="V59" i="111" s="1"/>
  <c r="S58" i="111"/>
  <c r="R58" i="111"/>
  <c r="Q58" i="111"/>
  <c r="P58" i="111"/>
  <c r="O58" i="111"/>
  <c r="N58" i="111"/>
  <c r="M58" i="111"/>
  <c r="L58" i="111"/>
  <c r="K58" i="111"/>
  <c r="AD58" i="111" s="1"/>
  <c r="J58" i="111"/>
  <c r="I58" i="111"/>
  <c r="H58" i="111"/>
  <c r="G58" i="111"/>
  <c r="F58" i="111"/>
  <c r="E58" i="111"/>
  <c r="D58" i="111"/>
  <c r="C58" i="111"/>
  <c r="V58" i="111" s="1"/>
  <c r="S57" i="111"/>
  <c r="R57" i="111"/>
  <c r="Q57" i="111"/>
  <c r="P57" i="111"/>
  <c r="O57" i="111"/>
  <c r="N57" i="111"/>
  <c r="M57" i="111"/>
  <c r="L57" i="111"/>
  <c r="K57" i="111"/>
  <c r="AD57" i="111" s="1"/>
  <c r="J57" i="111"/>
  <c r="I57" i="111"/>
  <c r="H57" i="111"/>
  <c r="G57" i="111"/>
  <c r="F57" i="111"/>
  <c r="E57" i="111"/>
  <c r="D57" i="111"/>
  <c r="C57" i="111"/>
  <c r="V57" i="111" s="1"/>
  <c r="S56" i="111"/>
  <c r="R56" i="111"/>
  <c r="Q56" i="111"/>
  <c r="P56" i="111"/>
  <c r="O56" i="111"/>
  <c r="N56" i="111"/>
  <c r="M56" i="111"/>
  <c r="L56" i="111"/>
  <c r="K56" i="111"/>
  <c r="AD56" i="111" s="1"/>
  <c r="J56" i="111"/>
  <c r="I56" i="111"/>
  <c r="H56" i="111"/>
  <c r="G56" i="111"/>
  <c r="F56" i="111"/>
  <c r="E56" i="111"/>
  <c r="D56" i="111"/>
  <c r="C56" i="111"/>
  <c r="V56" i="111" s="1"/>
  <c r="S52" i="111"/>
  <c r="R52" i="111"/>
  <c r="Q52" i="111"/>
  <c r="P52" i="111"/>
  <c r="O52" i="111"/>
  <c r="N52" i="111"/>
  <c r="M52" i="111"/>
  <c r="L52" i="111"/>
  <c r="K52" i="111"/>
  <c r="AD52" i="111" s="1"/>
  <c r="J52" i="111"/>
  <c r="I52" i="111"/>
  <c r="H52" i="111"/>
  <c r="G52" i="111"/>
  <c r="F52" i="111"/>
  <c r="E52" i="111"/>
  <c r="D52" i="111"/>
  <c r="C52" i="111"/>
  <c r="V52" i="111" s="1"/>
  <c r="S51" i="111"/>
  <c r="R51" i="111"/>
  <c r="Q51" i="111"/>
  <c r="P51" i="111"/>
  <c r="O51" i="111"/>
  <c r="N51" i="111"/>
  <c r="M51" i="111"/>
  <c r="L51" i="111"/>
  <c r="K51" i="111"/>
  <c r="AD51" i="111" s="1"/>
  <c r="J51" i="111"/>
  <c r="I51" i="111"/>
  <c r="H51" i="111"/>
  <c r="G51" i="111"/>
  <c r="F51" i="111"/>
  <c r="E51" i="111"/>
  <c r="D51" i="111"/>
  <c r="C51" i="111"/>
  <c r="V51" i="111" s="1"/>
  <c r="S50" i="111"/>
  <c r="R50" i="111"/>
  <c r="Q50" i="111"/>
  <c r="P50" i="111"/>
  <c r="O50" i="111"/>
  <c r="N50" i="111"/>
  <c r="M50" i="111"/>
  <c r="L50" i="111"/>
  <c r="K50" i="111"/>
  <c r="AD50" i="111" s="1"/>
  <c r="J50" i="111"/>
  <c r="I50" i="111"/>
  <c r="H50" i="111"/>
  <c r="G50" i="111"/>
  <c r="F50" i="111"/>
  <c r="E50" i="111"/>
  <c r="D50" i="111"/>
  <c r="C50" i="111"/>
  <c r="V50" i="111" s="1"/>
  <c r="S49" i="111"/>
  <c r="R49" i="111"/>
  <c r="Q49" i="111"/>
  <c r="P49" i="111"/>
  <c r="O49" i="111"/>
  <c r="N49" i="111"/>
  <c r="M49" i="111"/>
  <c r="L49" i="111"/>
  <c r="K49" i="111"/>
  <c r="AD49" i="111" s="1"/>
  <c r="J49" i="111"/>
  <c r="I49" i="111"/>
  <c r="H49" i="111"/>
  <c r="G49" i="111"/>
  <c r="F49" i="111"/>
  <c r="E49" i="111"/>
  <c r="D49" i="111"/>
  <c r="C49" i="111"/>
  <c r="V49" i="111" s="1"/>
  <c r="S48" i="111"/>
  <c r="R48" i="111"/>
  <c r="Q48" i="111"/>
  <c r="P48" i="111"/>
  <c r="O48" i="111"/>
  <c r="N48" i="111"/>
  <c r="M48" i="111"/>
  <c r="L48" i="111"/>
  <c r="K48" i="111"/>
  <c r="AD48" i="111" s="1"/>
  <c r="J48" i="111"/>
  <c r="I48" i="111"/>
  <c r="H48" i="111"/>
  <c r="G48" i="111"/>
  <c r="F48" i="111"/>
  <c r="E48" i="111"/>
  <c r="D48" i="111"/>
  <c r="C48" i="111"/>
  <c r="V48" i="111" s="1"/>
  <c r="S47" i="111"/>
  <c r="R47" i="111"/>
  <c r="Q47" i="111"/>
  <c r="P47" i="111"/>
  <c r="O47" i="111"/>
  <c r="N47" i="111"/>
  <c r="M47" i="111"/>
  <c r="L47" i="111"/>
  <c r="K47" i="111"/>
  <c r="AD47" i="111" s="1"/>
  <c r="J47" i="111"/>
  <c r="I47" i="111"/>
  <c r="H47" i="111"/>
  <c r="G47" i="111"/>
  <c r="F47" i="111"/>
  <c r="E47" i="111"/>
  <c r="D47" i="111"/>
  <c r="C47" i="111"/>
  <c r="V47" i="111" s="1"/>
  <c r="S46" i="111"/>
  <c r="R46" i="111"/>
  <c r="Q46" i="111"/>
  <c r="P46" i="111"/>
  <c r="O46" i="111"/>
  <c r="N46" i="111"/>
  <c r="M46" i="111"/>
  <c r="L46" i="111"/>
  <c r="K46" i="111"/>
  <c r="AD46" i="111" s="1"/>
  <c r="J46" i="111"/>
  <c r="I46" i="111"/>
  <c r="H46" i="111"/>
  <c r="G46" i="111"/>
  <c r="F46" i="111"/>
  <c r="E46" i="111"/>
  <c r="D46" i="111"/>
  <c r="C46" i="111"/>
  <c r="V46" i="111" s="1"/>
  <c r="S45" i="111"/>
  <c r="R45" i="111"/>
  <c r="Q45" i="111"/>
  <c r="P45" i="111"/>
  <c r="O45" i="111"/>
  <c r="N45" i="111"/>
  <c r="AG45" i="111" s="1"/>
  <c r="M45" i="111"/>
  <c r="L45" i="111"/>
  <c r="K45" i="111"/>
  <c r="AD45" i="111" s="1"/>
  <c r="J45" i="111"/>
  <c r="I45" i="111"/>
  <c r="H45" i="111"/>
  <c r="G45" i="111"/>
  <c r="F45" i="111"/>
  <c r="Y45" i="111" s="1"/>
  <c r="E45" i="111"/>
  <c r="D45" i="111"/>
  <c r="C45" i="111"/>
  <c r="V45" i="111" s="1"/>
  <c r="S44" i="111"/>
  <c r="R44" i="111"/>
  <c r="Q44" i="111"/>
  <c r="P44" i="111"/>
  <c r="O44" i="111"/>
  <c r="N44" i="111"/>
  <c r="M44" i="111"/>
  <c r="L44" i="111"/>
  <c r="K44" i="111"/>
  <c r="AD44" i="111" s="1"/>
  <c r="J44" i="111"/>
  <c r="I44" i="111"/>
  <c r="H44" i="111"/>
  <c r="G44" i="111"/>
  <c r="F44" i="111"/>
  <c r="E44" i="111"/>
  <c r="D44" i="111"/>
  <c r="C44" i="111"/>
  <c r="V44" i="111" s="1"/>
  <c r="S43" i="111"/>
  <c r="R43" i="111"/>
  <c r="Q43" i="111"/>
  <c r="P43" i="111"/>
  <c r="O43" i="111"/>
  <c r="N43" i="111"/>
  <c r="M43" i="111"/>
  <c r="L43" i="111"/>
  <c r="K43" i="111"/>
  <c r="AD43" i="111" s="1"/>
  <c r="J43" i="111"/>
  <c r="I43" i="111"/>
  <c r="H43" i="111"/>
  <c r="G43" i="111"/>
  <c r="F43" i="111"/>
  <c r="E43" i="111"/>
  <c r="D43" i="111"/>
  <c r="C43" i="111"/>
  <c r="V43" i="111" s="1"/>
  <c r="S42" i="111"/>
  <c r="R42" i="111"/>
  <c r="Q42" i="111"/>
  <c r="P42" i="111"/>
  <c r="O42" i="111"/>
  <c r="N42" i="111"/>
  <c r="M42" i="111"/>
  <c r="L42" i="111"/>
  <c r="K42" i="111"/>
  <c r="AD42" i="111" s="1"/>
  <c r="J42" i="111"/>
  <c r="I42" i="111"/>
  <c r="H42" i="111"/>
  <c r="G42" i="111"/>
  <c r="F42" i="111"/>
  <c r="E42" i="111"/>
  <c r="D42" i="111"/>
  <c r="C42" i="111"/>
  <c r="V42" i="111" s="1"/>
  <c r="S41" i="111"/>
  <c r="R41" i="111"/>
  <c r="Q41" i="111"/>
  <c r="P41" i="111"/>
  <c r="O41" i="111"/>
  <c r="N41" i="111"/>
  <c r="M41" i="111"/>
  <c r="L41" i="111"/>
  <c r="K41" i="111"/>
  <c r="AD41" i="111" s="1"/>
  <c r="J41" i="111"/>
  <c r="I41" i="111"/>
  <c r="H41" i="111"/>
  <c r="G41" i="111"/>
  <c r="F41" i="111"/>
  <c r="E41" i="111"/>
  <c r="D41" i="111"/>
  <c r="C41" i="111"/>
  <c r="V41" i="111" s="1"/>
  <c r="S40" i="111"/>
  <c r="R40" i="111"/>
  <c r="Q40" i="111"/>
  <c r="P40" i="111"/>
  <c r="O40" i="111"/>
  <c r="N40" i="111"/>
  <c r="M40" i="111"/>
  <c r="L40" i="111"/>
  <c r="K40" i="111"/>
  <c r="AD40" i="111" s="1"/>
  <c r="J40" i="111"/>
  <c r="I40" i="111"/>
  <c r="H40" i="111"/>
  <c r="G40" i="111"/>
  <c r="F40" i="111"/>
  <c r="E40" i="111"/>
  <c r="D40" i="111"/>
  <c r="C40" i="111"/>
  <c r="V40" i="111" s="1"/>
  <c r="S35" i="111"/>
  <c r="R35" i="111"/>
  <c r="Q35" i="111"/>
  <c r="P35" i="111"/>
  <c r="O35" i="111"/>
  <c r="N35" i="111"/>
  <c r="M35" i="111"/>
  <c r="L35" i="111"/>
  <c r="K35" i="111"/>
  <c r="AD35" i="111" s="1"/>
  <c r="J35" i="111"/>
  <c r="I35" i="111"/>
  <c r="H35" i="111"/>
  <c r="G35" i="111"/>
  <c r="F35" i="111"/>
  <c r="E35" i="111"/>
  <c r="D35" i="111"/>
  <c r="C35" i="111"/>
  <c r="V35" i="111" s="1"/>
  <c r="S34" i="111"/>
  <c r="R34" i="111"/>
  <c r="Q34" i="111"/>
  <c r="P34" i="111"/>
  <c r="O34" i="111"/>
  <c r="N34" i="111"/>
  <c r="M34" i="111"/>
  <c r="L34" i="111"/>
  <c r="K34" i="111"/>
  <c r="AD34" i="111" s="1"/>
  <c r="J34" i="111"/>
  <c r="I34" i="111"/>
  <c r="H34" i="111"/>
  <c r="G34" i="111"/>
  <c r="F34" i="111"/>
  <c r="E34" i="111"/>
  <c r="D34" i="111"/>
  <c r="C34" i="111"/>
  <c r="V34" i="111" s="1"/>
  <c r="S33" i="111"/>
  <c r="R33" i="111"/>
  <c r="Q33" i="111"/>
  <c r="P33" i="111"/>
  <c r="O33" i="111"/>
  <c r="N33" i="111"/>
  <c r="M33" i="111"/>
  <c r="L33" i="111"/>
  <c r="K33" i="111"/>
  <c r="AD33" i="111" s="1"/>
  <c r="J33" i="111"/>
  <c r="I33" i="111"/>
  <c r="H33" i="111"/>
  <c r="G33" i="111"/>
  <c r="F33" i="111"/>
  <c r="E33" i="111"/>
  <c r="D33" i="111"/>
  <c r="C33" i="111"/>
  <c r="V33" i="111" s="1"/>
  <c r="S32" i="111"/>
  <c r="R32" i="111"/>
  <c r="Q32" i="111"/>
  <c r="P32" i="111"/>
  <c r="O32" i="111"/>
  <c r="N32" i="111"/>
  <c r="M32" i="111"/>
  <c r="L32" i="111"/>
  <c r="K32" i="111"/>
  <c r="AD32" i="111" s="1"/>
  <c r="J32" i="111"/>
  <c r="I32" i="111"/>
  <c r="H32" i="111"/>
  <c r="G32" i="111"/>
  <c r="F32" i="111"/>
  <c r="E32" i="111"/>
  <c r="D32" i="111"/>
  <c r="C32" i="111"/>
  <c r="V32" i="111" s="1"/>
  <c r="S31" i="111"/>
  <c r="R31" i="111"/>
  <c r="Q31" i="111"/>
  <c r="P31" i="111"/>
  <c r="O31" i="111"/>
  <c r="N31" i="111"/>
  <c r="M31" i="111"/>
  <c r="L31" i="111"/>
  <c r="K31" i="111"/>
  <c r="AD31" i="111" s="1"/>
  <c r="J31" i="111"/>
  <c r="I31" i="111"/>
  <c r="H31" i="111"/>
  <c r="G31" i="111"/>
  <c r="F31" i="111"/>
  <c r="E31" i="111"/>
  <c r="D31" i="111"/>
  <c r="C31" i="111"/>
  <c r="V31" i="111" s="1"/>
  <c r="S30" i="111"/>
  <c r="R30" i="111"/>
  <c r="Q30" i="111"/>
  <c r="P30" i="111"/>
  <c r="O30" i="111"/>
  <c r="N30" i="111"/>
  <c r="M30" i="111"/>
  <c r="L30" i="111"/>
  <c r="K30" i="111"/>
  <c r="AD30" i="111" s="1"/>
  <c r="J30" i="111"/>
  <c r="I30" i="111"/>
  <c r="H30" i="111"/>
  <c r="G30" i="111"/>
  <c r="F30" i="111"/>
  <c r="E30" i="111"/>
  <c r="D30" i="111"/>
  <c r="C30" i="111"/>
  <c r="V30" i="111" s="1"/>
  <c r="S29" i="111"/>
  <c r="R29" i="111"/>
  <c r="Q29" i="111"/>
  <c r="P29" i="111"/>
  <c r="O29" i="111"/>
  <c r="N29" i="111"/>
  <c r="M29" i="111"/>
  <c r="L29" i="111"/>
  <c r="K29" i="111"/>
  <c r="AD29" i="111" s="1"/>
  <c r="J29" i="111"/>
  <c r="I29" i="111"/>
  <c r="H29" i="111"/>
  <c r="G29" i="111"/>
  <c r="F29" i="111"/>
  <c r="E29" i="111"/>
  <c r="D29" i="111"/>
  <c r="C29" i="111"/>
  <c r="V29" i="111" s="1"/>
  <c r="S28" i="111"/>
  <c r="R28" i="111"/>
  <c r="Q28" i="111"/>
  <c r="P28" i="111"/>
  <c r="O28" i="111"/>
  <c r="N28" i="111"/>
  <c r="M28" i="111"/>
  <c r="L28" i="111"/>
  <c r="K28" i="111"/>
  <c r="AD28" i="111" s="1"/>
  <c r="J28" i="111"/>
  <c r="I28" i="111"/>
  <c r="H28" i="111"/>
  <c r="G28" i="111"/>
  <c r="F28" i="111"/>
  <c r="E28" i="111"/>
  <c r="D28" i="111"/>
  <c r="C28" i="111"/>
  <c r="V28" i="111" s="1"/>
  <c r="S27" i="111"/>
  <c r="R27" i="111"/>
  <c r="Q27" i="111"/>
  <c r="P27" i="111"/>
  <c r="O27" i="111"/>
  <c r="N27" i="111"/>
  <c r="M27" i="111"/>
  <c r="L27" i="111"/>
  <c r="K27" i="111"/>
  <c r="AD27" i="111" s="1"/>
  <c r="J27" i="111"/>
  <c r="I27" i="111"/>
  <c r="H27" i="111"/>
  <c r="G27" i="111"/>
  <c r="F27" i="111"/>
  <c r="E27" i="111"/>
  <c r="D27" i="111"/>
  <c r="C27" i="111"/>
  <c r="V27" i="111" s="1"/>
  <c r="S26" i="111"/>
  <c r="R26" i="111"/>
  <c r="Q26" i="111"/>
  <c r="P26" i="111"/>
  <c r="O26" i="111"/>
  <c r="N26" i="111"/>
  <c r="M26" i="111"/>
  <c r="L26" i="111"/>
  <c r="K26" i="111"/>
  <c r="AD26" i="111" s="1"/>
  <c r="J26" i="111"/>
  <c r="I26" i="111"/>
  <c r="H26" i="111"/>
  <c r="G26" i="111"/>
  <c r="F26" i="111"/>
  <c r="E26" i="111"/>
  <c r="D26" i="111"/>
  <c r="C26" i="111"/>
  <c r="V26" i="111" s="1"/>
  <c r="S25" i="111"/>
  <c r="R25" i="111"/>
  <c r="Q25" i="111"/>
  <c r="P25" i="111"/>
  <c r="O25" i="111"/>
  <c r="N25" i="111"/>
  <c r="M25" i="111"/>
  <c r="L25" i="111"/>
  <c r="K25" i="111"/>
  <c r="AD25" i="111" s="1"/>
  <c r="J25" i="111"/>
  <c r="I25" i="111"/>
  <c r="H25" i="111"/>
  <c r="G25" i="111"/>
  <c r="F25" i="111"/>
  <c r="E25" i="111"/>
  <c r="D25" i="111"/>
  <c r="C25" i="111"/>
  <c r="V25" i="111" s="1"/>
  <c r="S24" i="111"/>
  <c r="R24" i="111"/>
  <c r="Q24" i="111"/>
  <c r="P24" i="111"/>
  <c r="O24" i="111"/>
  <c r="N24" i="111"/>
  <c r="M24" i="111"/>
  <c r="L24" i="111"/>
  <c r="K24" i="111"/>
  <c r="AD24" i="111" s="1"/>
  <c r="J24" i="111"/>
  <c r="I24" i="111"/>
  <c r="H24" i="111"/>
  <c r="G24" i="111"/>
  <c r="F24" i="111"/>
  <c r="E24" i="111"/>
  <c r="D24" i="111"/>
  <c r="C24" i="111"/>
  <c r="V24" i="111" s="1"/>
  <c r="S23" i="111"/>
  <c r="R23" i="111"/>
  <c r="Q23" i="111"/>
  <c r="P23" i="111"/>
  <c r="O23" i="111"/>
  <c r="N23" i="111"/>
  <c r="M23" i="111"/>
  <c r="L23" i="111"/>
  <c r="K23" i="111"/>
  <c r="AD23" i="111" s="1"/>
  <c r="J23" i="111"/>
  <c r="I23" i="111"/>
  <c r="H23" i="111"/>
  <c r="G23" i="111"/>
  <c r="F23" i="111"/>
  <c r="E23" i="111"/>
  <c r="D23" i="111"/>
  <c r="C23" i="111"/>
  <c r="V23" i="111" s="1"/>
  <c r="S18" i="111"/>
  <c r="R18" i="111"/>
  <c r="Q18" i="111"/>
  <c r="P18" i="111"/>
  <c r="O18" i="111"/>
  <c r="N18" i="111"/>
  <c r="M18" i="111"/>
  <c r="L18" i="111"/>
  <c r="K18" i="111"/>
  <c r="AD18" i="111" s="1"/>
  <c r="J18" i="111"/>
  <c r="I18" i="111"/>
  <c r="H18" i="111"/>
  <c r="G18" i="111"/>
  <c r="F18" i="111"/>
  <c r="E18" i="111"/>
  <c r="D18" i="111"/>
  <c r="C18" i="111"/>
  <c r="V18" i="111" s="1"/>
  <c r="S17" i="111"/>
  <c r="R17" i="111"/>
  <c r="Q17" i="111"/>
  <c r="P17" i="111"/>
  <c r="O17" i="111"/>
  <c r="N17" i="111"/>
  <c r="M17" i="111"/>
  <c r="L17" i="111"/>
  <c r="K17" i="111"/>
  <c r="AD17" i="111" s="1"/>
  <c r="J17" i="111"/>
  <c r="I17" i="111"/>
  <c r="H17" i="111"/>
  <c r="G17" i="111"/>
  <c r="F17" i="111"/>
  <c r="E17" i="111"/>
  <c r="D17" i="111"/>
  <c r="C17" i="111"/>
  <c r="V17" i="111" s="1"/>
  <c r="S16" i="111"/>
  <c r="R16" i="111"/>
  <c r="Q16" i="111"/>
  <c r="P16" i="111"/>
  <c r="O16" i="111"/>
  <c r="N16" i="111"/>
  <c r="M16" i="111"/>
  <c r="L16" i="111"/>
  <c r="K16" i="111"/>
  <c r="AD16" i="111" s="1"/>
  <c r="J16" i="111"/>
  <c r="I16" i="111"/>
  <c r="H16" i="111"/>
  <c r="G16" i="111"/>
  <c r="F16" i="111"/>
  <c r="E16" i="111"/>
  <c r="D16" i="111"/>
  <c r="C16" i="111"/>
  <c r="V16" i="111" s="1"/>
  <c r="S15" i="111"/>
  <c r="R15" i="111"/>
  <c r="Q15" i="111"/>
  <c r="P15" i="111"/>
  <c r="O15" i="111"/>
  <c r="N15" i="111"/>
  <c r="M15" i="111"/>
  <c r="L15" i="111"/>
  <c r="K15" i="111"/>
  <c r="AD15" i="111" s="1"/>
  <c r="J15" i="111"/>
  <c r="I15" i="111"/>
  <c r="H15" i="111"/>
  <c r="G15" i="111"/>
  <c r="F15" i="111"/>
  <c r="E15" i="111"/>
  <c r="D15" i="111"/>
  <c r="C15" i="111"/>
  <c r="V15" i="111" s="1"/>
  <c r="S14" i="111"/>
  <c r="R14" i="111"/>
  <c r="Q14" i="111"/>
  <c r="P14" i="111"/>
  <c r="O14" i="111"/>
  <c r="N14" i="111"/>
  <c r="M14" i="111"/>
  <c r="L14" i="111"/>
  <c r="K14" i="111"/>
  <c r="AD14" i="111" s="1"/>
  <c r="J14" i="111"/>
  <c r="I14" i="111"/>
  <c r="H14" i="111"/>
  <c r="G14" i="111"/>
  <c r="F14" i="111"/>
  <c r="E14" i="111"/>
  <c r="D14" i="111"/>
  <c r="C14" i="111"/>
  <c r="V14" i="111" s="1"/>
  <c r="S13" i="111"/>
  <c r="R13" i="111"/>
  <c r="Q13" i="111"/>
  <c r="P13" i="111"/>
  <c r="O13" i="111"/>
  <c r="N13" i="111"/>
  <c r="M13" i="111"/>
  <c r="L13" i="111"/>
  <c r="K13" i="111"/>
  <c r="AD13" i="111" s="1"/>
  <c r="J13" i="111"/>
  <c r="I13" i="111"/>
  <c r="H13" i="111"/>
  <c r="G13" i="111"/>
  <c r="F13" i="111"/>
  <c r="E13" i="111"/>
  <c r="D13" i="111"/>
  <c r="C13" i="111"/>
  <c r="V13" i="111" s="1"/>
  <c r="S12" i="111"/>
  <c r="R12" i="111"/>
  <c r="Q12" i="111"/>
  <c r="P12" i="111"/>
  <c r="O12" i="111"/>
  <c r="N12" i="111"/>
  <c r="M12" i="111"/>
  <c r="L12" i="111"/>
  <c r="K12" i="111"/>
  <c r="AD12" i="111" s="1"/>
  <c r="J12" i="111"/>
  <c r="I12" i="111"/>
  <c r="H12" i="111"/>
  <c r="G12" i="111"/>
  <c r="F12" i="111"/>
  <c r="E12" i="111"/>
  <c r="D12" i="111"/>
  <c r="C12" i="111"/>
  <c r="V12" i="111" s="1"/>
  <c r="S11" i="111"/>
  <c r="R11" i="111"/>
  <c r="Q11" i="111"/>
  <c r="P11" i="111"/>
  <c r="O11" i="111"/>
  <c r="N11" i="111"/>
  <c r="M11" i="111"/>
  <c r="L11" i="111"/>
  <c r="K11" i="111"/>
  <c r="AD11" i="111" s="1"/>
  <c r="J11" i="111"/>
  <c r="I11" i="111"/>
  <c r="H11" i="111"/>
  <c r="G11" i="111"/>
  <c r="F11" i="111"/>
  <c r="E11" i="111"/>
  <c r="D11" i="111"/>
  <c r="C11" i="111"/>
  <c r="V11" i="111" s="1"/>
  <c r="S10" i="111"/>
  <c r="R10" i="111"/>
  <c r="Q10" i="111"/>
  <c r="P10" i="111"/>
  <c r="O10" i="111"/>
  <c r="N10" i="111"/>
  <c r="M10" i="111"/>
  <c r="L10" i="111"/>
  <c r="K10" i="111"/>
  <c r="AD10" i="111" s="1"/>
  <c r="J10" i="111"/>
  <c r="I10" i="111"/>
  <c r="H10" i="111"/>
  <c r="G10" i="111"/>
  <c r="F10" i="111"/>
  <c r="E10" i="111"/>
  <c r="D10" i="111"/>
  <c r="C10" i="111"/>
  <c r="V10" i="111" s="1"/>
  <c r="S9" i="111"/>
  <c r="R9" i="111"/>
  <c r="Q9" i="111"/>
  <c r="P9" i="111"/>
  <c r="O9" i="111"/>
  <c r="N9" i="111"/>
  <c r="M9" i="111"/>
  <c r="L9" i="111"/>
  <c r="K9" i="111"/>
  <c r="AD9" i="111" s="1"/>
  <c r="J9" i="111"/>
  <c r="I9" i="111"/>
  <c r="H9" i="111"/>
  <c r="G9" i="111"/>
  <c r="F9" i="111"/>
  <c r="E9" i="111"/>
  <c r="D9" i="111"/>
  <c r="C9" i="111"/>
  <c r="V9" i="111" s="1"/>
  <c r="S8" i="111"/>
  <c r="R8" i="111"/>
  <c r="Q8" i="111"/>
  <c r="P8" i="111"/>
  <c r="O8" i="111"/>
  <c r="N8" i="111"/>
  <c r="M8" i="111"/>
  <c r="L8" i="111"/>
  <c r="K8" i="111"/>
  <c r="AD8" i="111" s="1"/>
  <c r="J8" i="111"/>
  <c r="I8" i="111"/>
  <c r="H8" i="111"/>
  <c r="G8" i="111"/>
  <c r="F8" i="111"/>
  <c r="E8" i="111"/>
  <c r="D8" i="111"/>
  <c r="C8" i="111"/>
  <c r="V8" i="111" s="1"/>
  <c r="S7" i="111"/>
  <c r="R7" i="111"/>
  <c r="Q7" i="111"/>
  <c r="P7" i="111"/>
  <c r="O7" i="111"/>
  <c r="N7" i="111"/>
  <c r="M7" i="111"/>
  <c r="L7" i="111"/>
  <c r="K7" i="111"/>
  <c r="AD7" i="111" s="1"/>
  <c r="J7" i="111"/>
  <c r="I7" i="111"/>
  <c r="H7" i="111"/>
  <c r="G7" i="111"/>
  <c r="F7" i="111"/>
  <c r="E7" i="111"/>
  <c r="D7" i="111"/>
  <c r="C7" i="111"/>
  <c r="V7" i="111" s="1"/>
  <c r="S6" i="111"/>
  <c r="R6" i="111"/>
  <c r="Q6" i="111"/>
  <c r="P6" i="111"/>
  <c r="O6" i="111"/>
  <c r="N6" i="111"/>
  <c r="M6" i="111"/>
  <c r="L6" i="111"/>
  <c r="K6" i="111"/>
  <c r="AD6" i="111" s="1"/>
  <c r="J6" i="111"/>
  <c r="I6" i="111"/>
  <c r="H6" i="111"/>
  <c r="G6" i="111"/>
  <c r="F6" i="111"/>
  <c r="E6" i="111"/>
  <c r="D6" i="111"/>
  <c r="C6" i="111"/>
  <c r="V6" i="111" s="1"/>
  <c r="T212" i="100"/>
  <c r="S212" i="100"/>
  <c r="R212" i="100"/>
  <c r="Q212" i="100"/>
  <c r="P212" i="100"/>
  <c r="O212" i="100"/>
  <c r="N212" i="100"/>
  <c r="M212" i="100"/>
  <c r="L212" i="100"/>
  <c r="K212" i="100"/>
  <c r="J212" i="100"/>
  <c r="I212" i="100"/>
  <c r="H212" i="100"/>
  <c r="G212" i="100"/>
  <c r="F212" i="100"/>
  <c r="E212" i="100"/>
  <c r="D212" i="100"/>
  <c r="T210" i="100"/>
  <c r="S210" i="100"/>
  <c r="R210" i="100"/>
  <c r="Q210" i="100"/>
  <c r="P210" i="100"/>
  <c r="O210" i="100"/>
  <c r="AJ210" i="100" s="1"/>
  <c r="N210" i="100"/>
  <c r="M210" i="100"/>
  <c r="L210" i="100"/>
  <c r="K210" i="100"/>
  <c r="J210" i="100"/>
  <c r="I210" i="100"/>
  <c r="H210" i="100"/>
  <c r="G210" i="100"/>
  <c r="AB210" i="100" s="1"/>
  <c r="F210" i="100"/>
  <c r="E210" i="100"/>
  <c r="D210" i="100"/>
  <c r="T209" i="100"/>
  <c r="S209" i="100"/>
  <c r="R209" i="100"/>
  <c r="Q209" i="100"/>
  <c r="P209" i="100"/>
  <c r="O209" i="100"/>
  <c r="N209" i="100"/>
  <c r="M209" i="100"/>
  <c r="L209" i="100"/>
  <c r="K209" i="100"/>
  <c r="J209" i="100"/>
  <c r="I209" i="100"/>
  <c r="H209" i="100"/>
  <c r="G209" i="100"/>
  <c r="F209" i="100"/>
  <c r="E209" i="100"/>
  <c r="D209" i="100"/>
  <c r="T208" i="100"/>
  <c r="S208" i="100"/>
  <c r="R208" i="100"/>
  <c r="Q208" i="100"/>
  <c r="P208" i="100"/>
  <c r="O208" i="100"/>
  <c r="N208" i="100"/>
  <c r="M208" i="100"/>
  <c r="L208" i="100"/>
  <c r="K208" i="100"/>
  <c r="J208" i="100"/>
  <c r="I208" i="100"/>
  <c r="H208" i="100"/>
  <c r="G208" i="100"/>
  <c r="F208" i="100"/>
  <c r="E208" i="100"/>
  <c r="D208" i="100"/>
  <c r="T207" i="100"/>
  <c r="S207" i="100"/>
  <c r="R207" i="100"/>
  <c r="Q207" i="100"/>
  <c r="P207" i="100"/>
  <c r="O207" i="100"/>
  <c r="N207" i="100"/>
  <c r="M207" i="100"/>
  <c r="L207" i="100"/>
  <c r="K207" i="100"/>
  <c r="J207" i="100"/>
  <c r="I207" i="100"/>
  <c r="H207" i="100"/>
  <c r="G207" i="100"/>
  <c r="F207" i="100"/>
  <c r="E207" i="100"/>
  <c r="D207" i="100"/>
  <c r="T205" i="100"/>
  <c r="S205" i="100"/>
  <c r="R205" i="100"/>
  <c r="Q205" i="100"/>
  <c r="P205" i="100"/>
  <c r="O205" i="100"/>
  <c r="N205" i="100"/>
  <c r="M205" i="100"/>
  <c r="L205" i="100"/>
  <c r="K205" i="100"/>
  <c r="J205" i="100"/>
  <c r="I205" i="100"/>
  <c r="H205" i="100"/>
  <c r="G205" i="100"/>
  <c r="F205" i="100"/>
  <c r="E205" i="100"/>
  <c r="D205" i="100"/>
  <c r="T204" i="100"/>
  <c r="E204" i="100"/>
  <c r="D204" i="100"/>
  <c r="T203" i="100"/>
  <c r="E203" i="100"/>
  <c r="D203" i="100"/>
  <c r="T202" i="100"/>
  <c r="S202" i="100"/>
  <c r="R202" i="100"/>
  <c r="Q202" i="100"/>
  <c r="P202" i="100"/>
  <c r="O202" i="100"/>
  <c r="N202" i="100"/>
  <c r="M202" i="100"/>
  <c r="L202" i="100"/>
  <c r="K202" i="100"/>
  <c r="J202" i="100"/>
  <c r="I202" i="100"/>
  <c r="H202" i="100"/>
  <c r="G202" i="100"/>
  <c r="F202" i="100"/>
  <c r="E202" i="100"/>
  <c r="D202" i="100"/>
  <c r="T200" i="100"/>
  <c r="S200" i="100"/>
  <c r="R200" i="100"/>
  <c r="Q200" i="100"/>
  <c r="P200" i="100"/>
  <c r="O200" i="100"/>
  <c r="N200" i="100"/>
  <c r="M200" i="100"/>
  <c r="L200" i="100"/>
  <c r="K200" i="100"/>
  <c r="J200" i="100"/>
  <c r="I200" i="100"/>
  <c r="H200" i="100"/>
  <c r="G200" i="100"/>
  <c r="F200" i="100"/>
  <c r="E200" i="100"/>
  <c r="D200" i="100"/>
  <c r="T199" i="100"/>
  <c r="E199" i="100"/>
  <c r="D199" i="100"/>
  <c r="T198" i="100"/>
  <c r="E198" i="100"/>
  <c r="D198" i="100"/>
  <c r="T197" i="100"/>
  <c r="S197" i="100"/>
  <c r="R197" i="100"/>
  <c r="Q197" i="100"/>
  <c r="P197" i="100"/>
  <c r="O197" i="100"/>
  <c r="N197" i="100"/>
  <c r="M197" i="100"/>
  <c r="L197" i="100"/>
  <c r="K197" i="100"/>
  <c r="J197" i="100"/>
  <c r="I197" i="100"/>
  <c r="H197" i="100"/>
  <c r="G197" i="100"/>
  <c r="F197" i="100"/>
  <c r="E197" i="100"/>
  <c r="D197" i="100"/>
  <c r="T195" i="100"/>
  <c r="S195" i="100"/>
  <c r="AN195" i="100" s="1"/>
  <c r="R195" i="100"/>
  <c r="Q195" i="100"/>
  <c r="P195" i="100"/>
  <c r="O195" i="100"/>
  <c r="N195" i="100"/>
  <c r="M195" i="100"/>
  <c r="L195" i="100"/>
  <c r="K195" i="100"/>
  <c r="AF195" i="100" s="1"/>
  <c r="J195" i="100"/>
  <c r="I195" i="100"/>
  <c r="H195" i="100"/>
  <c r="G195" i="100"/>
  <c r="F195" i="100"/>
  <c r="E195" i="100"/>
  <c r="D195" i="100"/>
  <c r="T194" i="100"/>
  <c r="S194" i="100"/>
  <c r="R194" i="100"/>
  <c r="Q194" i="100"/>
  <c r="P194" i="100"/>
  <c r="O194" i="100"/>
  <c r="N194" i="100"/>
  <c r="M194" i="100"/>
  <c r="L194" i="100"/>
  <c r="K194" i="100"/>
  <c r="J194" i="100"/>
  <c r="I194" i="100"/>
  <c r="H194" i="100"/>
  <c r="G194" i="100"/>
  <c r="F194" i="100"/>
  <c r="E194" i="100"/>
  <c r="D194" i="100"/>
  <c r="T193" i="100"/>
  <c r="S193" i="100"/>
  <c r="R193" i="100"/>
  <c r="Q193" i="100"/>
  <c r="P193" i="100"/>
  <c r="O193" i="100"/>
  <c r="N193" i="100"/>
  <c r="M193" i="100"/>
  <c r="L193" i="100"/>
  <c r="K193" i="100"/>
  <c r="J193" i="100"/>
  <c r="I193" i="100"/>
  <c r="H193" i="100"/>
  <c r="G193" i="100"/>
  <c r="F193" i="100"/>
  <c r="E193" i="100"/>
  <c r="D193" i="100"/>
  <c r="T192" i="100"/>
  <c r="S192" i="100"/>
  <c r="R192" i="100"/>
  <c r="Q192" i="100"/>
  <c r="P192" i="100"/>
  <c r="O192" i="100"/>
  <c r="N192" i="100"/>
  <c r="M192" i="100"/>
  <c r="L192" i="100"/>
  <c r="K192" i="100"/>
  <c r="J192" i="100"/>
  <c r="I192" i="100"/>
  <c r="H192" i="100"/>
  <c r="G192" i="100"/>
  <c r="F192" i="100"/>
  <c r="E192" i="100"/>
  <c r="D192" i="100"/>
  <c r="T190" i="100"/>
  <c r="S190" i="100"/>
  <c r="R190" i="100"/>
  <c r="Q190" i="100"/>
  <c r="P190" i="100"/>
  <c r="O190" i="100"/>
  <c r="AJ190" i="100" s="1"/>
  <c r="N190" i="100"/>
  <c r="M190" i="100"/>
  <c r="L190" i="100"/>
  <c r="K190" i="100"/>
  <c r="J190" i="100"/>
  <c r="I190" i="100"/>
  <c r="H190" i="100"/>
  <c r="G190" i="100"/>
  <c r="AB190" i="100" s="1"/>
  <c r="F190" i="100"/>
  <c r="E190" i="100"/>
  <c r="D190" i="100"/>
  <c r="T189" i="100"/>
  <c r="S189" i="100"/>
  <c r="R189" i="100"/>
  <c r="Q189" i="100"/>
  <c r="P189" i="100"/>
  <c r="O189" i="100"/>
  <c r="N189" i="100"/>
  <c r="M189" i="100"/>
  <c r="L189" i="100"/>
  <c r="K189" i="100"/>
  <c r="J189" i="100"/>
  <c r="I189" i="100"/>
  <c r="H189" i="100"/>
  <c r="G189" i="100"/>
  <c r="F189" i="100"/>
  <c r="E189" i="100"/>
  <c r="D189" i="100"/>
  <c r="T188" i="100"/>
  <c r="S188" i="100"/>
  <c r="R188" i="100"/>
  <c r="Q188" i="100"/>
  <c r="P188" i="100"/>
  <c r="O188" i="100"/>
  <c r="N188" i="100"/>
  <c r="M188" i="100"/>
  <c r="L188" i="100"/>
  <c r="K188" i="100"/>
  <c r="J188" i="100"/>
  <c r="I188" i="100"/>
  <c r="H188" i="100"/>
  <c r="G188" i="100"/>
  <c r="F188" i="100"/>
  <c r="E188" i="100"/>
  <c r="D188" i="100"/>
  <c r="T187" i="100"/>
  <c r="S187" i="100"/>
  <c r="R187" i="100"/>
  <c r="Q187" i="100"/>
  <c r="P187" i="100"/>
  <c r="O187" i="100"/>
  <c r="N187" i="100"/>
  <c r="M187" i="100"/>
  <c r="L187" i="100"/>
  <c r="K187" i="100"/>
  <c r="J187" i="100"/>
  <c r="I187" i="100"/>
  <c r="H187" i="100"/>
  <c r="G187" i="100"/>
  <c r="F187" i="100"/>
  <c r="E187" i="100"/>
  <c r="D187" i="100"/>
  <c r="T185" i="100"/>
  <c r="S185" i="100"/>
  <c r="AN185" i="100" s="1"/>
  <c r="R185" i="100"/>
  <c r="Q185" i="100"/>
  <c r="P185" i="100"/>
  <c r="O185" i="100"/>
  <c r="N185" i="100"/>
  <c r="M185" i="100"/>
  <c r="L185" i="100"/>
  <c r="K185" i="100"/>
  <c r="AF185" i="100" s="1"/>
  <c r="J185" i="100"/>
  <c r="I185" i="100"/>
  <c r="H185" i="100"/>
  <c r="G185" i="100"/>
  <c r="F185" i="100"/>
  <c r="E185" i="100"/>
  <c r="D185" i="100"/>
  <c r="T184" i="100"/>
  <c r="S184" i="100"/>
  <c r="R184" i="100"/>
  <c r="Q184" i="100"/>
  <c r="P184" i="100"/>
  <c r="O184" i="100"/>
  <c r="N184" i="100"/>
  <c r="M184" i="100"/>
  <c r="L184" i="100"/>
  <c r="K184" i="100"/>
  <c r="J184" i="100"/>
  <c r="I184" i="100"/>
  <c r="H184" i="100"/>
  <c r="G184" i="100"/>
  <c r="F184" i="100"/>
  <c r="E184" i="100"/>
  <c r="D184" i="100"/>
  <c r="T183" i="100"/>
  <c r="S183" i="100"/>
  <c r="R183" i="100"/>
  <c r="Q183" i="100"/>
  <c r="P183" i="100"/>
  <c r="O183" i="100"/>
  <c r="N183" i="100"/>
  <c r="M183" i="100"/>
  <c r="L183" i="100"/>
  <c r="K183" i="100"/>
  <c r="J183" i="100"/>
  <c r="I183" i="100"/>
  <c r="H183" i="100"/>
  <c r="G183" i="100"/>
  <c r="F183" i="100"/>
  <c r="E183" i="100"/>
  <c r="D183" i="100"/>
  <c r="T182" i="100"/>
  <c r="S182" i="100"/>
  <c r="R182" i="100"/>
  <c r="Q182" i="100"/>
  <c r="P182" i="100"/>
  <c r="O182" i="100"/>
  <c r="N182" i="100"/>
  <c r="M182" i="100"/>
  <c r="L182" i="100"/>
  <c r="K182" i="100"/>
  <c r="J182" i="100"/>
  <c r="I182" i="100"/>
  <c r="H182" i="100"/>
  <c r="G182" i="100"/>
  <c r="F182" i="100"/>
  <c r="E182" i="100"/>
  <c r="D182" i="100"/>
  <c r="T180" i="100"/>
  <c r="S180" i="100"/>
  <c r="R180" i="100"/>
  <c r="Q180" i="100"/>
  <c r="P180" i="100"/>
  <c r="O180" i="100"/>
  <c r="AJ180" i="100" s="1"/>
  <c r="N180" i="100"/>
  <c r="M180" i="100"/>
  <c r="L180" i="100"/>
  <c r="K180" i="100"/>
  <c r="J180" i="100"/>
  <c r="I180" i="100"/>
  <c r="H180" i="100"/>
  <c r="G180" i="100"/>
  <c r="AB180" i="100" s="1"/>
  <c r="F180" i="100"/>
  <c r="E180" i="100"/>
  <c r="D180" i="100"/>
  <c r="T179" i="100"/>
  <c r="S179" i="100"/>
  <c r="R179" i="100"/>
  <c r="Q179" i="100"/>
  <c r="P179" i="100"/>
  <c r="O179" i="100"/>
  <c r="N179" i="100"/>
  <c r="M179" i="100"/>
  <c r="L179" i="100"/>
  <c r="K179" i="100"/>
  <c r="J179" i="100"/>
  <c r="I179" i="100"/>
  <c r="H179" i="100"/>
  <c r="G179" i="100"/>
  <c r="F179" i="100"/>
  <c r="E179" i="100"/>
  <c r="D179" i="100"/>
  <c r="T178" i="100"/>
  <c r="S178" i="100"/>
  <c r="R178" i="100"/>
  <c r="Q178" i="100"/>
  <c r="P178" i="100"/>
  <c r="O178" i="100"/>
  <c r="N178" i="100"/>
  <c r="M178" i="100"/>
  <c r="L178" i="100"/>
  <c r="K178" i="100"/>
  <c r="J178" i="100"/>
  <c r="I178" i="100"/>
  <c r="H178" i="100"/>
  <c r="G178" i="100"/>
  <c r="F178" i="100"/>
  <c r="E178" i="100"/>
  <c r="D178" i="100"/>
  <c r="T177" i="100"/>
  <c r="S177" i="100"/>
  <c r="R177" i="100"/>
  <c r="Q177" i="100"/>
  <c r="P177" i="100"/>
  <c r="O177" i="100"/>
  <c r="N177" i="100"/>
  <c r="M177" i="100"/>
  <c r="L177" i="100"/>
  <c r="K177" i="100"/>
  <c r="J177" i="100"/>
  <c r="I177" i="100"/>
  <c r="H177" i="100"/>
  <c r="G177" i="100"/>
  <c r="F177" i="100"/>
  <c r="E177" i="100"/>
  <c r="D177" i="100"/>
  <c r="T175" i="100"/>
  <c r="S175" i="100"/>
  <c r="AN175" i="100" s="1"/>
  <c r="R175" i="100"/>
  <c r="Q175" i="100"/>
  <c r="P175" i="100"/>
  <c r="O175" i="100"/>
  <c r="N175" i="100"/>
  <c r="M175" i="100"/>
  <c r="L175" i="100"/>
  <c r="K175" i="100"/>
  <c r="AF175" i="100" s="1"/>
  <c r="J175" i="100"/>
  <c r="I175" i="100"/>
  <c r="H175" i="100"/>
  <c r="G175" i="100"/>
  <c r="F175" i="100"/>
  <c r="E175" i="100"/>
  <c r="D175" i="100"/>
  <c r="T174" i="100"/>
  <c r="S174" i="100"/>
  <c r="R174" i="100"/>
  <c r="Q174" i="100"/>
  <c r="P174" i="100"/>
  <c r="O174" i="100"/>
  <c r="N174" i="100"/>
  <c r="M174" i="100"/>
  <c r="L174" i="100"/>
  <c r="K174" i="100"/>
  <c r="J174" i="100"/>
  <c r="I174" i="100"/>
  <c r="H174" i="100"/>
  <c r="G174" i="100"/>
  <c r="F174" i="100"/>
  <c r="E174" i="100"/>
  <c r="D174" i="100"/>
  <c r="T173" i="100"/>
  <c r="S173" i="100"/>
  <c r="R173" i="100"/>
  <c r="Q173" i="100"/>
  <c r="P173" i="100"/>
  <c r="O173" i="100"/>
  <c r="N173" i="100"/>
  <c r="M173" i="100"/>
  <c r="L173" i="100"/>
  <c r="K173" i="100"/>
  <c r="J173" i="100"/>
  <c r="I173" i="100"/>
  <c r="H173" i="100"/>
  <c r="G173" i="100"/>
  <c r="F173" i="100"/>
  <c r="E173" i="100"/>
  <c r="D173" i="100"/>
  <c r="T172" i="100"/>
  <c r="S172" i="100"/>
  <c r="R172" i="100"/>
  <c r="Q172" i="100"/>
  <c r="P172" i="100"/>
  <c r="O172" i="100"/>
  <c r="N172" i="100"/>
  <c r="M172" i="100"/>
  <c r="L172" i="100"/>
  <c r="K172" i="100"/>
  <c r="J172" i="100"/>
  <c r="I172" i="100"/>
  <c r="H172" i="100"/>
  <c r="G172" i="100"/>
  <c r="F172" i="100"/>
  <c r="E172" i="100"/>
  <c r="D172" i="100"/>
  <c r="T170" i="100"/>
  <c r="S170" i="100"/>
  <c r="R170" i="100"/>
  <c r="Q170" i="100"/>
  <c r="P170" i="100"/>
  <c r="O170" i="100"/>
  <c r="AJ170" i="100" s="1"/>
  <c r="N170" i="100"/>
  <c r="M170" i="100"/>
  <c r="L170" i="100"/>
  <c r="K170" i="100"/>
  <c r="J170" i="100"/>
  <c r="I170" i="100"/>
  <c r="H170" i="100"/>
  <c r="G170" i="100"/>
  <c r="AB170" i="100" s="1"/>
  <c r="F170" i="100"/>
  <c r="E170" i="100"/>
  <c r="D170" i="100"/>
  <c r="T169" i="100"/>
  <c r="S169" i="100"/>
  <c r="R169" i="100"/>
  <c r="Q169" i="100"/>
  <c r="P169" i="100"/>
  <c r="O169" i="100"/>
  <c r="N169" i="100"/>
  <c r="M169" i="100"/>
  <c r="L169" i="100"/>
  <c r="K169" i="100"/>
  <c r="J169" i="100"/>
  <c r="I169" i="100"/>
  <c r="H169" i="100"/>
  <c r="G169" i="100"/>
  <c r="F169" i="100"/>
  <c r="E169" i="100"/>
  <c r="D169" i="100"/>
  <c r="T168" i="100"/>
  <c r="S168" i="100"/>
  <c r="R168" i="100"/>
  <c r="Q168" i="100"/>
  <c r="P168" i="100"/>
  <c r="O168" i="100"/>
  <c r="N168" i="100"/>
  <c r="M168" i="100"/>
  <c r="L168" i="100"/>
  <c r="K168" i="100"/>
  <c r="J168" i="100"/>
  <c r="I168" i="100"/>
  <c r="H168" i="100"/>
  <c r="G168" i="100"/>
  <c r="F168" i="100"/>
  <c r="E168" i="100"/>
  <c r="D168" i="100"/>
  <c r="T167" i="100"/>
  <c r="S167" i="100"/>
  <c r="R167" i="100"/>
  <c r="Q167" i="100"/>
  <c r="P167" i="100"/>
  <c r="O167" i="100"/>
  <c r="N167" i="100"/>
  <c r="M167" i="100"/>
  <c r="L167" i="100"/>
  <c r="K167" i="100"/>
  <c r="J167" i="100"/>
  <c r="I167" i="100"/>
  <c r="H167" i="100"/>
  <c r="G167" i="100"/>
  <c r="F167" i="100"/>
  <c r="E167" i="100"/>
  <c r="D167" i="100"/>
  <c r="T165" i="100"/>
  <c r="S165" i="100"/>
  <c r="AN165" i="100" s="1"/>
  <c r="R165" i="100"/>
  <c r="Q165" i="100"/>
  <c r="P165" i="100"/>
  <c r="O165" i="100"/>
  <c r="N165" i="100"/>
  <c r="M165" i="100"/>
  <c r="L165" i="100"/>
  <c r="K165" i="100"/>
  <c r="AF165" i="100" s="1"/>
  <c r="J165" i="100"/>
  <c r="I165" i="100"/>
  <c r="H165" i="100"/>
  <c r="G165" i="100"/>
  <c r="F165" i="100"/>
  <c r="E165" i="100"/>
  <c r="D165" i="100"/>
  <c r="T164" i="100"/>
  <c r="S164" i="100"/>
  <c r="R164" i="100"/>
  <c r="Q164" i="100"/>
  <c r="P164" i="100"/>
  <c r="O164" i="100"/>
  <c r="N164" i="100"/>
  <c r="M164" i="100"/>
  <c r="L164" i="100"/>
  <c r="K164" i="100"/>
  <c r="J164" i="100"/>
  <c r="I164" i="100"/>
  <c r="H164" i="100"/>
  <c r="G164" i="100"/>
  <c r="F164" i="100"/>
  <c r="E164" i="100"/>
  <c r="D164" i="100"/>
  <c r="T163" i="100"/>
  <c r="S163" i="100"/>
  <c r="R163" i="100"/>
  <c r="Q163" i="100"/>
  <c r="P163" i="100"/>
  <c r="O163" i="100"/>
  <c r="N163" i="100"/>
  <c r="M163" i="100"/>
  <c r="L163" i="100"/>
  <c r="K163" i="100"/>
  <c r="J163" i="100"/>
  <c r="I163" i="100"/>
  <c r="H163" i="100"/>
  <c r="G163" i="100"/>
  <c r="F163" i="100"/>
  <c r="E163" i="100"/>
  <c r="D163" i="100"/>
  <c r="T162" i="100"/>
  <c r="S162" i="100"/>
  <c r="R162" i="100"/>
  <c r="Q162" i="100"/>
  <c r="P162" i="100"/>
  <c r="O162" i="100"/>
  <c r="N162" i="100"/>
  <c r="M162" i="100"/>
  <c r="L162" i="100"/>
  <c r="K162" i="100"/>
  <c r="J162" i="100"/>
  <c r="I162" i="100"/>
  <c r="H162" i="100"/>
  <c r="G162" i="100"/>
  <c r="F162" i="100"/>
  <c r="E162" i="100"/>
  <c r="D162" i="100"/>
  <c r="T160" i="100"/>
  <c r="S160" i="100"/>
  <c r="R160" i="100"/>
  <c r="Q160" i="100"/>
  <c r="P160" i="100"/>
  <c r="O160" i="100"/>
  <c r="AJ160" i="100" s="1"/>
  <c r="N160" i="100"/>
  <c r="M160" i="100"/>
  <c r="L160" i="100"/>
  <c r="K160" i="100"/>
  <c r="J160" i="100"/>
  <c r="I160" i="100"/>
  <c r="H160" i="100"/>
  <c r="G160" i="100"/>
  <c r="AB160" i="100" s="1"/>
  <c r="F160" i="100"/>
  <c r="E160" i="100"/>
  <c r="D160" i="100"/>
  <c r="T159" i="100"/>
  <c r="S159" i="100"/>
  <c r="R159" i="100"/>
  <c r="Q159" i="100"/>
  <c r="P159" i="100"/>
  <c r="O159" i="100"/>
  <c r="N159" i="100"/>
  <c r="M159" i="100"/>
  <c r="L159" i="100"/>
  <c r="K159" i="100"/>
  <c r="J159" i="100"/>
  <c r="I159" i="100"/>
  <c r="H159" i="100"/>
  <c r="G159" i="100"/>
  <c r="F159" i="100"/>
  <c r="E159" i="100"/>
  <c r="D159" i="100"/>
  <c r="T158" i="100"/>
  <c r="S158" i="100"/>
  <c r="R158" i="100"/>
  <c r="Q158" i="100"/>
  <c r="P158" i="100"/>
  <c r="O158" i="100"/>
  <c r="N158" i="100"/>
  <c r="M158" i="100"/>
  <c r="L158" i="100"/>
  <c r="K158" i="100"/>
  <c r="J158" i="100"/>
  <c r="I158" i="100"/>
  <c r="H158" i="100"/>
  <c r="G158" i="100"/>
  <c r="F158" i="100"/>
  <c r="E158" i="100"/>
  <c r="D158" i="100"/>
  <c r="T157" i="100"/>
  <c r="S157" i="100"/>
  <c r="R157" i="100"/>
  <c r="Q157" i="100"/>
  <c r="P157" i="100"/>
  <c r="O157" i="100"/>
  <c r="N157" i="100"/>
  <c r="M157" i="100"/>
  <c r="L157" i="100"/>
  <c r="K157" i="100"/>
  <c r="J157" i="100"/>
  <c r="I157" i="100"/>
  <c r="H157" i="100"/>
  <c r="G157" i="100"/>
  <c r="F157" i="100"/>
  <c r="E157" i="100"/>
  <c r="D157" i="100"/>
  <c r="T155" i="100"/>
  <c r="S155" i="100"/>
  <c r="AN155" i="100" s="1"/>
  <c r="R155" i="100"/>
  <c r="Q155" i="100"/>
  <c r="P155" i="100"/>
  <c r="O155" i="100"/>
  <c r="N155" i="100"/>
  <c r="M155" i="100"/>
  <c r="L155" i="100"/>
  <c r="K155" i="100"/>
  <c r="AF155" i="100" s="1"/>
  <c r="J155" i="100"/>
  <c r="I155" i="100"/>
  <c r="H155" i="100"/>
  <c r="G155" i="100"/>
  <c r="F155" i="100"/>
  <c r="E155" i="100"/>
  <c r="D155" i="100"/>
  <c r="T154" i="100"/>
  <c r="S154" i="100"/>
  <c r="R154" i="100"/>
  <c r="Q154" i="100"/>
  <c r="P154" i="100"/>
  <c r="O154" i="100"/>
  <c r="N154" i="100"/>
  <c r="M154" i="100"/>
  <c r="L154" i="100"/>
  <c r="K154" i="100"/>
  <c r="J154" i="100"/>
  <c r="I154" i="100"/>
  <c r="H154" i="100"/>
  <c r="G154" i="100"/>
  <c r="F154" i="100"/>
  <c r="E154" i="100"/>
  <c r="D154" i="100"/>
  <c r="T153" i="100"/>
  <c r="S153" i="100"/>
  <c r="R153" i="100"/>
  <c r="Q153" i="100"/>
  <c r="P153" i="100"/>
  <c r="O153" i="100"/>
  <c r="N153" i="100"/>
  <c r="M153" i="100"/>
  <c r="L153" i="100"/>
  <c r="K153" i="100"/>
  <c r="J153" i="100"/>
  <c r="I153" i="100"/>
  <c r="H153" i="100"/>
  <c r="G153" i="100"/>
  <c r="F153" i="100"/>
  <c r="E153" i="100"/>
  <c r="D153" i="100"/>
  <c r="T152" i="100"/>
  <c r="S152" i="100"/>
  <c r="R152" i="100"/>
  <c r="Q152" i="100"/>
  <c r="P152" i="100"/>
  <c r="O152" i="100"/>
  <c r="N152" i="100"/>
  <c r="M152" i="100"/>
  <c r="L152" i="100"/>
  <c r="K152" i="100"/>
  <c r="J152" i="100"/>
  <c r="I152" i="100"/>
  <c r="H152" i="100"/>
  <c r="G152" i="100"/>
  <c r="F152" i="100"/>
  <c r="E152" i="100"/>
  <c r="D152" i="100"/>
  <c r="T150" i="100"/>
  <c r="S150" i="100"/>
  <c r="R150" i="100"/>
  <c r="Q150" i="100"/>
  <c r="P150" i="100"/>
  <c r="O150" i="100"/>
  <c r="AJ150" i="100" s="1"/>
  <c r="N150" i="100"/>
  <c r="M150" i="100"/>
  <c r="L150" i="100"/>
  <c r="K150" i="100"/>
  <c r="J150" i="100"/>
  <c r="I150" i="100"/>
  <c r="H150" i="100"/>
  <c r="G150" i="100"/>
  <c r="AB150" i="100" s="1"/>
  <c r="F150" i="100"/>
  <c r="E150" i="100"/>
  <c r="D150" i="100"/>
  <c r="T149" i="100"/>
  <c r="S149" i="100"/>
  <c r="R149" i="100"/>
  <c r="Q149" i="100"/>
  <c r="P149" i="100"/>
  <c r="O149" i="100"/>
  <c r="N149" i="100"/>
  <c r="M149" i="100"/>
  <c r="L149" i="100"/>
  <c r="K149" i="100"/>
  <c r="J149" i="100"/>
  <c r="I149" i="100"/>
  <c r="H149" i="100"/>
  <c r="G149" i="100"/>
  <c r="F149" i="100"/>
  <c r="E149" i="100"/>
  <c r="D149" i="100"/>
  <c r="T148" i="100"/>
  <c r="S148" i="100"/>
  <c r="R148" i="100"/>
  <c r="Q148" i="100"/>
  <c r="P148" i="100"/>
  <c r="O148" i="100"/>
  <c r="N148" i="100"/>
  <c r="M148" i="100"/>
  <c r="L148" i="100"/>
  <c r="K148" i="100"/>
  <c r="J148" i="100"/>
  <c r="I148" i="100"/>
  <c r="H148" i="100"/>
  <c r="G148" i="100"/>
  <c r="F148" i="100"/>
  <c r="E148" i="100"/>
  <c r="D148" i="100"/>
  <c r="T147" i="100"/>
  <c r="S147" i="100"/>
  <c r="R147" i="100"/>
  <c r="Q147" i="100"/>
  <c r="P147" i="100"/>
  <c r="O147" i="100"/>
  <c r="N147" i="100"/>
  <c r="M147" i="100"/>
  <c r="L147" i="100"/>
  <c r="K147" i="100"/>
  <c r="J147" i="100"/>
  <c r="I147" i="100"/>
  <c r="H147" i="100"/>
  <c r="G147" i="100"/>
  <c r="F147" i="100"/>
  <c r="E147" i="100"/>
  <c r="D147" i="100"/>
  <c r="T142" i="100"/>
  <c r="S142" i="100" a="1"/>
  <c r="S142" i="100" s="1"/>
  <c r="R142" i="100" a="1"/>
  <c r="R142" i="100" s="1"/>
  <c r="Q142" i="100" a="1"/>
  <c r="Q142" i="100" s="1"/>
  <c r="P142" i="100" a="1"/>
  <c r="P142" i="100" s="1"/>
  <c r="O142" i="100" a="1"/>
  <c r="O142" i="100" s="1"/>
  <c r="N142" i="100" a="1"/>
  <c r="N142" i="100" s="1"/>
  <c r="M142" i="100" a="1"/>
  <c r="M142" i="100" s="1"/>
  <c r="L142" i="100" a="1"/>
  <c r="L142" i="100" s="1"/>
  <c r="K142" i="100" a="1"/>
  <c r="K142" i="100" s="1"/>
  <c r="J142" i="100" a="1"/>
  <c r="J142" i="100" s="1"/>
  <c r="I142" i="100" a="1"/>
  <c r="I142" i="100" s="1"/>
  <c r="H142" i="100" a="1"/>
  <c r="H142" i="100" s="1"/>
  <c r="G142" i="100" a="1"/>
  <c r="G142" i="100" s="1"/>
  <c r="F142" i="100" a="1"/>
  <c r="F142" i="100" s="1"/>
  <c r="E142" i="100" a="1"/>
  <c r="E142" i="100" s="1"/>
  <c r="D142" i="100" a="1"/>
  <c r="D142" i="100" s="1"/>
  <c r="T140" i="100"/>
  <c r="S140" i="100"/>
  <c r="R140" i="100"/>
  <c r="Q140" i="100"/>
  <c r="P140" i="100"/>
  <c r="O140" i="100"/>
  <c r="N140" i="100"/>
  <c r="M140" i="100"/>
  <c r="L140" i="100"/>
  <c r="K140" i="100"/>
  <c r="J140" i="100"/>
  <c r="I140" i="100"/>
  <c r="H140" i="100"/>
  <c r="G140" i="100"/>
  <c r="F140" i="100"/>
  <c r="E140" i="100"/>
  <c r="D140" i="100"/>
  <c r="T139" i="100"/>
  <c r="S139" i="100" a="1"/>
  <c r="S139" i="100" s="1"/>
  <c r="R139" i="100" a="1"/>
  <c r="R139" i="100" s="1"/>
  <c r="Q139" i="100" a="1"/>
  <c r="Q139" i="100" s="1"/>
  <c r="P139" i="100" a="1"/>
  <c r="P139" i="100" s="1"/>
  <c r="O139" i="100" a="1"/>
  <c r="O139" i="100" s="1"/>
  <c r="N139" i="100" a="1"/>
  <c r="N139" i="100" s="1"/>
  <c r="M139" i="100" a="1"/>
  <c r="M139" i="100" s="1"/>
  <c r="L139" i="100" a="1"/>
  <c r="L139" i="100" s="1"/>
  <c r="K139" i="100" a="1"/>
  <c r="K139" i="100" s="1"/>
  <c r="J139" i="100" a="1"/>
  <c r="J139" i="100" s="1"/>
  <c r="I139" i="100" a="1"/>
  <c r="I139" i="100" s="1"/>
  <c r="H139" i="100" a="1"/>
  <c r="H139" i="100" s="1"/>
  <c r="G139" i="100" a="1"/>
  <c r="G139" i="100" s="1"/>
  <c r="F139" i="100" a="1"/>
  <c r="F139" i="100" s="1"/>
  <c r="E139" i="100" a="1"/>
  <c r="E139" i="100" s="1"/>
  <c r="D139" i="100" a="1"/>
  <c r="D139" i="100" s="1"/>
  <c r="T138" i="100"/>
  <c r="S138" i="100" a="1"/>
  <c r="S138" i="100" s="1"/>
  <c r="R138" i="100" a="1"/>
  <c r="R138" i="100" s="1"/>
  <c r="Q138" i="100" a="1"/>
  <c r="Q138" i="100" s="1"/>
  <c r="P138" i="100" a="1"/>
  <c r="P138" i="100" s="1"/>
  <c r="O138" i="100" a="1"/>
  <c r="O138" i="100" s="1"/>
  <c r="N138" i="100" a="1"/>
  <c r="N138" i="100" s="1"/>
  <c r="M138" i="100" a="1"/>
  <c r="M138" i="100" s="1"/>
  <c r="L138" i="100" a="1"/>
  <c r="L138" i="100" s="1"/>
  <c r="K138" i="100" a="1"/>
  <c r="K138" i="100" s="1"/>
  <c r="J138" i="100" a="1"/>
  <c r="J138" i="100" s="1"/>
  <c r="I138" i="100" a="1"/>
  <c r="I138" i="100" s="1"/>
  <c r="H138" i="100" a="1"/>
  <c r="H138" i="100" s="1"/>
  <c r="G138" i="100" a="1"/>
  <c r="G138" i="100" s="1"/>
  <c r="F138" i="100" a="1"/>
  <c r="F138" i="100" s="1"/>
  <c r="E138" i="100" a="1"/>
  <c r="E138" i="100" s="1"/>
  <c r="D138" i="100" a="1"/>
  <c r="D138" i="100" s="1"/>
  <c r="T137" i="100"/>
  <c r="S137" i="100" a="1"/>
  <c r="S137" i="100" s="1"/>
  <c r="R137" i="100" a="1"/>
  <c r="R137" i="100" s="1"/>
  <c r="Q137" i="100" a="1"/>
  <c r="Q137" i="100" s="1"/>
  <c r="P137" i="100" a="1"/>
  <c r="P137" i="100" s="1"/>
  <c r="O137" i="100" a="1"/>
  <c r="O137" i="100" s="1"/>
  <c r="N137" i="100" a="1"/>
  <c r="N137" i="100" s="1"/>
  <c r="M137" i="100" a="1"/>
  <c r="M137" i="100" s="1"/>
  <c r="L137" i="100" a="1"/>
  <c r="L137" i="100" s="1"/>
  <c r="K137" i="100" a="1"/>
  <c r="K137" i="100" s="1"/>
  <c r="J137" i="100" a="1"/>
  <c r="J137" i="100" s="1"/>
  <c r="I137" i="100" a="1"/>
  <c r="I137" i="100" s="1"/>
  <c r="H137" i="100" a="1"/>
  <c r="H137" i="100" s="1"/>
  <c r="G137" i="100" a="1"/>
  <c r="G137" i="100" s="1"/>
  <c r="F137" i="100" a="1"/>
  <c r="F137" i="100" s="1"/>
  <c r="E137" i="100" a="1"/>
  <c r="E137" i="100" s="1"/>
  <c r="D137" i="100" a="1"/>
  <c r="D137" i="100" s="1"/>
  <c r="T135" i="100" a="1"/>
  <c r="T135" i="100" s="1"/>
  <c r="S135" i="100" a="1"/>
  <c r="S135" i="100" s="1"/>
  <c r="R135" i="100" a="1"/>
  <c r="R135" i="100" s="1"/>
  <c r="Q135" i="100" a="1"/>
  <c r="Q135" i="100" s="1"/>
  <c r="P135" i="100" a="1"/>
  <c r="P135" i="100" s="1"/>
  <c r="O135" i="100" a="1"/>
  <c r="O135" i="100" s="1"/>
  <c r="N135" i="100" a="1"/>
  <c r="N135" i="100" s="1"/>
  <c r="M135" i="100" a="1"/>
  <c r="M135" i="100" s="1"/>
  <c r="L135" i="100" a="1"/>
  <c r="L135" i="100" s="1"/>
  <c r="K135" i="100" a="1"/>
  <c r="K135" i="100" s="1"/>
  <c r="J135" i="100" a="1"/>
  <c r="J135" i="100" s="1"/>
  <c r="I135" i="100" a="1"/>
  <c r="I135" i="100" s="1"/>
  <c r="H135" i="100" a="1"/>
  <c r="H135" i="100" s="1"/>
  <c r="G135" i="100" a="1"/>
  <c r="G135" i="100" s="1"/>
  <c r="F135" i="100" a="1"/>
  <c r="F135" i="100" s="1"/>
  <c r="E135" i="100" a="1"/>
  <c r="E135" i="100" s="1"/>
  <c r="D135" i="100" a="1"/>
  <c r="D135" i="100" s="1"/>
  <c r="T134" i="100" a="1"/>
  <c r="T134" i="100" s="1"/>
  <c r="S134" i="100" a="1"/>
  <c r="S134" i="100" s="1"/>
  <c r="R134" i="100" a="1"/>
  <c r="R134" i="100" s="1"/>
  <c r="Q134" i="100" a="1"/>
  <c r="Q134" i="100" s="1"/>
  <c r="P134" i="100" a="1"/>
  <c r="P134" i="100" s="1"/>
  <c r="O134" i="100" a="1"/>
  <c r="O134" i="100" s="1"/>
  <c r="N134" i="100" a="1"/>
  <c r="N134" i="100" s="1"/>
  <c r="M134" i="100" a="1"/>
  <c r="M134" i="100" s="1"/>
  <c r="L134" i="100" a="1"/>
  <c r="L134" i="100" s="1"/>
  <c r="K134" i="100" a="1"/>
  <c r="K134" i="100" s="1"/>
  <c r="J134" i="100" a="1"/>
  <c r="J134" i="100" s="1"/>
  <c r="I134" i="100" a="1"/>
  <c r="I134" i="100" s="1"/>
  <c r="H134" i="100" a="1"/>
  <c r="H134" i="100" s="1"/>
  <c r="G134" i="100" a="1"/>
  <c r="G134" i="100" s="1"/>
  <c r="F134" i="100" a="1"/>
  <c r="F134" i="100" s="1"/>
  <c r="E134" i="100" a="1"/>
  <c r="E134" i="100" s="1"/>
  <c r="D134" i="100" a="1"/>
  <c r="D134" i="100" s="1"/>
  <c r="T133" i="100" a="1"/>
  <c r="T133" i="100" s="1"/>
  <c r="S133" i="100" a="1"/>
  <c r="S133" i="100" s="1"/>
  <c r="R133" i="100" a="1"/>
  <c r="R133" i="100" s="1"/>
  <c r="Q133" i="100" a="1"/>
  <c r="Q133" i="100" s="1"/>
  <c r="P133" i="100" a="1"/>
  <c r="P133" i="100" s="1"/>
  <c r="O133" i="100" a="1"/>
  <c r="O133" i="100" s="1"/>
  <c r="N133" i="100" a="1"/>
  <c r="N133" i="100" s="1"/>
  <c r="M133" i="100" a="1"/>
  <c r="M133" i="100" s="1"/>
  <c r="L133" i="100" a="1"/>
  <c r="L133" i="100" s="1"/>
  <c r="K133" i="100" a="1"/>
  <c r="K133" i="100" s="1"/>
  <c r="J133" i="100" a="1"/>
  <c r="J133" i="100" s="1"/>
  <c r="I133" i="100" a="1"/>
  <c r="I133" i="100" s="1"/>
  <c r="H133" i="100" a="1"/>
  <c r="H133" i="100" s="1"/>
  <c r="G133" i="100" a="1"/>
  <c r="G133" i="100" s="1"/>
  <c r="F133" i="100" a="1"/>
  <c r="F133" i="100" s="1"/>
  <c r="E133" i="100" a="1"/>
  <c r="E133" i="100" s="1"/>
  <c r="D133" i="100" a="1"/>
  <c r="D133" i="100" s="1"/>
  <c r="T132" i="100"/>
  <c r="S132" i="100" a="1"/>
  <c r="S132" i="100" s="1"/>
  <c r="R132" i="100" a="1"/>
  <c r="R132" i="100" s="1"/>
  <c r="Q132" i="100" a="1"/>
  <c r="Q132" i="100" s="1"/>
  <c r="P132" i="100" a="1"/>
  <c r="P132" i="100" s="1"/>
  <c r="O132" i="100" a="1"/>
  <c r="O132" i="100" s="1"/>
  <c r="N132" i="100" a="1"/>
  <c r="N132" i="100" s="1"/>
  <c r="M132" i="100" a="1"/>
  <c r="M132" i="100" s="1"/>
  <c r="L132" i="100" a="1"/>
  <c r="L132" i="100" s="1"/>
  <c r="K132" i="100" a="1"/>
  <c r="K132" i="100" s="1"/>
  <c r="J132" i="100" a="1"/>
  <c r="J132" i="100" s="1"/>
  <c r="I132" i="100" a="1"/>
  <c r="I132" i="100" s="1"/>
  <c r="H132" i="100" a="1"/>
  <c r="H132" i="100" s="1"/>
  <c r="G132" i="100" a="1"/>
  <c r="G132" i="100" s="1"/>
  <c r="F132" i="100" a="1"/>
  <c r="F132" i="100" s="1"/>
  <c r="E132" i="100" a="1"/>
  <c r="E132" i="100" s="1"/>
  <c r="D132" i="100" a="1"/>
  <c r="D132" i="100" s="1"/>
  <c r="T130" i="100" a="1"/>
  <c r="T130" i="100" s="1"/>
  <c r="S130" i="100" a="1"/>
  <c r="S130" i="100" s="1"/>
  <c r="R130" i="100" a="1"/>
  <c r="R130" i="100" s="1"/>
  <c r="Q130" i="100" a="1"/>
  <c r="Q130" i="100" s="1"/>
  <c r="P130" i="100" a="1"/>
  <c r="P130" i="100" s="1"/>
  <c r="O130" i="100" a="1"/>
  <c r="O130" i="100" s="1"/>
  <c r="N130" i="100" a="1"/>
  <c r="N130" i="100" s="1"/>
  <c r="M130" i="100" a="1"/>
  <c r="M130" i="100" s="1"/>
  <c r="L130" i="100" a="1"/>
  <c r="L130" i="100" s="1"/>
  <c r="K130" i="100" a="1"/>
  <c r="K130" i="100" s="1"/>
  <c r="J130" i="100" a="1"/>
  <c r="J130" i="100" s="1"/>
  <c r="I130" i="100" a="1"/>
  <c r="I130" i="100" s="1"/>
  <c r="H130" i="100" a="1"/>
  <c r="H130" i="100" s="1"/>
  <c r="G130" i="100" a="1"/>
  <c r="G130" i="100" s="1"/>
  <c r="F130" i="100" a="1"/>
  <c r="F130" i="100" s="1"/>
  <c r="E130" i="100" a="1"/>
  <c r="E130" i="100" s="1"/>
  <c r="D130" i="100" a="1"/>
  <c r="D130" i="100" s="1"/>
  <c r="T129" i="100" a="1"/>
  <c r="T129" i="100" s="1"/>
  <c r="S129" i="100" a="1"/>
  <c r="S129" i="100" s="1"/>
  <c r="R129" i="100" a="1"/>
  <c r="R129" i="100" s="1"/>
  <c r="Q129" i="100" a="1"/>
  <c r="Q129" i="100" s="1"/>
  <c r="P129" i="100" a="1"/>
  <c r="P129" i="100" s="1"/>
  <c r="O129" i="100" a="1"/>
  <c r="O129" i="100" s="1"/>
  <c r="N129" i="100" a="1"/>
  <c r="N129" i="100" s="1"/>
  <c r="M129" i="100" a="1"/>
  <c r="M129" i="100" s="1"/>
  <c r="L129" i="100" a="1"/>
  <c r="L129" i="100" s="1"/>
  <c r="K129" i="100" a="1"/>
  <c r="K129" i="100" s="1"/>
  <c r="J129" i="100" a="1"/>
  <c r="J129" i="100" s="1"/>
  <c r="I129" i="100" a="1"/>
  <c r="I129" i="100" s="1"/>
  <c r="H129" i="100" a="1"/>
  <c r="H129" i="100" s="1"/>
  <c r="G129" i="100" a="1"/>
  <c r="G129" i="100" s="1"/>
  <c r="F129" i="100" a="1"/>
  <c r="F129" i="100" s="1"/>
  <c r="E129" i="100" a="1"/>
  <c r="E129" i="100" s="1"/>
  <c r="D129" i="100" a="1"/>
  <c r="D129" i="100" s="1"/>
  <c r="T128" i="100" a="1"/>
  <c r="T128" i="100" s="1"/>
  <c r="S128" i="100" a="1"/>
  <c r="S128" i="100" s="1"/>
  <c r="R128" i="100" a="1"/>
  <c r="R128" i="100" s="1"/>
  <c r="Q128" i="100" a="1"/>
  <c r="Q128" i="100" s="1"/>
  <c r="P128" i="100" a="1"/>
  <c r="P128" i="100" s="1"/>
  <c r="O128" i="100" a="1"/>
  <c r="O128" i="100" s="1"/>
  <c r="N128" i="100" a="1"/>
  <c r="N128" i="100" s="1"/>
  <c r="M128" i="100" a="1"/>
  <c r="M128" i="100" s="1"/>
  <c r="L128" i="100" a="1"/>
  <c r="L128" i="100" s="1"/>
  <c r="K128" i="100" a="1"/>
  <c r="K128" i="100" s="1"/>
  <c r="J128" i="100" a="1"/>
  <c r="J128" i="100" s="1"/>
  <c r="I128" i="100" a="1"/>
  <c r="I128" i="100" s="1"/>
  <c r="H128" i="100" a="1"/>
  <c r="H128" i="100" s="1"/>
  <c r="G128" i="100" a="1"/>
  <c r="G128" i="100" s="1"/>
  <c r="F128" i="100" a="1"/>
  <c r="F128" i="100" s="1"/>
  <c r="E128" i="100" a="1"/>
  <c r="E128" i="100" s="1"/>
  <c r="D128" i="100" a="1"/>
  <c r="D128" i="100" s="1"/>
  <c r="T127" i="100"/>
  <c r="S127" i="100" a="1"/>
  <c r="S127" i="100" s="1"/>
  <c r="R127" i="100" a="1"/>
  <c r="R127" i="100" s="1"/>
  <c r="Q127" i="100" a="1"/>
  <c r="Q127" i="100" s="1"/>
  <c r="P127" i="100" a="1"/>
  <c r="P127" i="100" s="1"/>
  <c r="O127" i="100" a="1"/>
  <c r="O127" i="100" s="1"/>
  <c r="N127" i="100" a="1"/>
  <c r="N127" i="100" s="1"/>
  <c r="M127" i="100" a="1"/>
  <c r="M127" i="100" s="1"/>
  <c r="L127" i="100" a="1"/>
  <c r="L127" i="100" s="1"/>
  <c r="K127" i="100" a="1"/>
  <c r="K127" i="100" s="1"/>
  <c r="J127" i="100" a="1"/>
  <c r="J127" i="100" s="1"/>
  <c r="I127" i="100" a="1"/>
  <c r="I127" i="100" s="1"/>
  <c r="H127" i="100" a="1"/>
  <c r="H127" i="100" s="1"/>
  <c r="G127" i="100" a="1"/>
  <c r="G127" i="100" s="1"/>
  <c r="F127" i="100" a="1"/>
  <c r="F127" i="100" s="1"/>
  <c r="E127" i="100" a="1"/>
  <c r="E127" i="100" s="1"/>
  <c r="D127" i="100" a="1"/>
  <c r="D127" i="100" s="1"/>
  <c r="T125" i="100" a="1"/>
  <c r="T125" i="100" s="1"/>
  <c r="S125" i="100" a="1"/>
  <c r="S125" i="100" s="1"/>
  <c r="R125" i="100" a="1"/>
  <c r="R125" i="100" s="1"/>
  <c r="Q125" i="100" a="1"/>
  <c r="Q125" i="100" s="1"/>
  <c r="P125" i="100" a="1"/>
  <c r="P125" i="100" s="1"/>
  <c r="O125" i="100" a="1"/>
  <c r="O125" i="100" s="1"/>
  <c r="N125" i="100" a="1"/>
  <c r="N125" i="100" s="1"/>
  <c r="M125" i="100" a="1"/>
  <c r="M125" i="100" s="1"/>
  <c r="L125" i="100" a="1"/>
  <c r="L125" i="100" s="1"/>
  <c r="K125" i="100" a="1"/>
  <c r="K125" i="100" s="1"/>
  <c r="J125" i="100" a="1"/>
  <c r="J125" i="100" s="1"/>
  <c r="I125" i="100" a="1"/>
  <c r="I125" i="100" s="1"/>
  <c r="H125" i="100" a="1"/>
  <c r="H125" i="100" s="1"/>
  <c r="G125" i="100" a="1"/>
  <c r="G125" i="100" s="1"/>
  <c r="F125" i="100" a="1"/>
  <c r="F125" i="100" s="1"/>
  <c r="E125" i="100" a="1"/>
  <c r="E125" i="100" s="1"/>
  <c r="D125" i="100" a="1"/>
  <c r="D125" i="100" s="1"/>
  <c r="T124" i="100" a="1"/>
  <c r="T124" i="100" s="1"/>
  <c r="S124" i="100" a="1"/>
  <c r="S124" i="100" s="1"/>
  <c r="R124" i="100" a="1"/>
  <c r="R124" i="100" s="1"/>
  <c r="Q124" i="100" a="1"/>
  <c r="Q124" i="100" s="1"/>
  <c r="P124" i="100" a="1"/>
  <c r="P124" i="100" s="1"/>
  <c r="O124" i="100" a="1"/>
  <c r="O124" i="100" s="1"/>
  <c r="N124" i="100" a="1"/>
  <c r="N124" i="100" s="1"/>
  <c r="M124" i="100" a="1"/>
  <c r="M124" i="100" s="1"/>
  <c r="L124" i="100" a="1"/>
  <c r="L124" i="100" s="1"/>
  <c r="K124" i="100" a="1"/>
  <c r="K124" i="100" s="1"/>
  <c r="J124" i="100" a="1"/>
  <c r="J124" i="100" s="1"/>
  <c r="I124" i="100" a="1"/>
  <c r="I124" i="100" s="1"/>
  <c r="H124" i="100" a="1"/>
  <c r="H124" i="100" s="1"/>
  <c r="G124" i="100" a="1"/>
  <c r="G124" i="100" s="1"/>
  <c r="F124" i="100" a="1"/>
  <c r="F124" i="100" s="1"/>
  <c r="E124" i="100" a="1"/>
  <c r="E124" i="100" s="1"/>
  <c r="D124" i="100" a="1"/>
  <c r="D124" i="100" s="1"/>
  <c r="T123" i="100" a="1"/>
  <c r="T123" i="100" s="1"/>
  <c r="S123" i="100" a="1"/>
  <c r="S123" i="100" s="1"/>
  <c r="R123" i="100" a="1"/>
  <c r="R123" i="100" s="1"/>
  <c r="Q123" i="100" a="1"/>
  <c r="Q123" i="100" s="1"/>
  <c r="P123" i="100" a="1"/>
  <c r="P123" i="100" s="1"/>
  <c r="O123" i="100" a="1"/>
  <c r="O123" i="100" s="1"/>
  <c r="N123" i="100" a="1"/>
  <c r="N123" i="100" s="1"/>
  <c r="M123" i="100" a="1"/>
  <c r="M123" i="100" s="1"/>
  <c r="L123" i="100" a="1"/>
  <c r="L123" i="100" s="1"/>
  <c r="K123" i="100" a="1"/>
  <c r="K123" i="100" s="1"/>
  <c r="J123" i="100" a="1"/>
  <c r="J123" i="100" s="1"/>
  <c r="I123" i="100" a="1"/>
  <c r="I123" i="100" s="1"/>
  <c r="H123" i="100" a="1"/>
  <c r="H123" i="100" s="1"/>
  <c r="G123" i="100" a="1"/>
  <c r="G123" i="100" s="1"/>
  <c r="F123" i="100" a="1"/>
  <c r="F123" i="100" s="1"/>
  <c r="E123" i="100" a="1"/>
  <c r="E123" i="100" s="1"/>
  <c r="D123" i="100" a="1"/>
  <c r="D123" i="100" s="1"/>
  <c r="T122" i="100" a="1"/>
  <c r="T122" i="100" s="1"/>
  <c r="S122" i="100" a="1"/>
  <c r="S122" i="100" s="1"/>
  <c r="R122" i="100" a="1"/>
  <c r="R122" i="100" s="1"/>
  <c r="Q122" i="100" a="1"/>
  <c r="Q122" i="100" s="1"/>
  <c r="P122" i="100" a="1"/>
  <c r="P122" i="100" s="1"/>
  <c r="O122" i="100" a="1"/>
  <c r="O122" i="100" s="1"/>
  <c r="N122" i="100" a="1"/>
  <c r="N122" i="100" s="1"/>
  <c r="M122" i="100" a="1"/>
  <c r="M122" i="100" s="1"/>
  <c r="L122" i="100" a="1"/>
  <c r="L122" i="100" s="1"/>
  <c r="K122" i="100" a="1"/>
  <c r="K122" i="100" s="1"/>
  <c r="J122" i="100" a="1"/>
  <c r="J122" i="100" s="1"/>
  <c r="I122" i="100" a="1"/>
  <c r="I122" i="100" s="1"/>
  <c r="H122" i="100" a="1"/>
  <c r="H122" i="100" s="1"/>
  <c r="G122" i="100" a="1"/>
  <c r="G122" i="100" s="1"/>
  <c r="F122" i="100" a="1"/>
  <c r="F122" i="100" s="1"/>
  <c r="E122" i="100" a="1"/>
  <c r="E122" i="100" s="1"/>
  <c r="D122" i="100" a="1"/>
  <c r="D122" i="100" s="1"/>
  <c r="T120" i="100" a="1"/>
  <c r="T120" i="100" s="1"/>
  <c r="S120" i="100" a="1"/>
  <c r="S120" i="100" s="1"/>
  <c r="R120" i="100" a="1"/>
  <c r="R120" i="100" s="1"/>
  <c r="Q120" i="100" a="1"/>
  <c r="Q120" i="100" s="1"/>
  <c r="P120" i="100" a="1"/>
  <c r="P120" i="100" s="1"/>
  <c r="O120" i="100" a="1"/>
  <c r="O120" i="100" s="1"/>
  <c r="N120" i="100" a="1"/>
  <c r="N120" i="100" s="1"/>
  <c r="M120" i="100" a="1"/>
  <c r="M120" i="100" s="1"/>
  <c r="L120" i="100" a="1"/>
  <c r="L120" i="100" s="1"/>
  <c r="K120" i="100" a="1"/>
  <c r="K120" i="100" s="1"/>
  <c r="J120" i="100" a="1"/>
  <c r="J120" i="100" s="1"/>
  <c r="I120" i="100" a="1"/>
  <c r="I120" i="100" s="1"/>
  <c r="H120" i="100" a="1"/>
  <c r="H120" i="100" s="1"/>
  <c r="G120" i="100" a="1"/>
  <c r="G120" i="100" s="1"/>
  <c r="F120" i="100" a="1"/>
  <c r="F120" i="100" s="1"/>
  <c r="E120" i="100" a="1"/>
  <c r="E120" i="100" s="1"/>
  <c r="D120" i="100" a="1"/>
  <c r="D120" i="100" s="1"/>
  <c r="T119" i="100" a="1"/>
  <c r="T119" i="100" s="1"/>
  <c r="S119" i="100" a="1"/>
  <c r="S119" i="100" s="1"/>
  <c r="R119" i="100" a="1"/>
  <c r="R119" i="100" s="1"/>
  <c r="Q119" i="100" a="1"/>
  <c r="Q119" i="100" s="1"/>
  <c r="P119" i="100" a="1"/>
  <c r="P119" i="100" s="1"/>
  <c r="O119" i="100" a="1"/>
  <c r="O119" i="100" s="1"/>
  <c r="N119" i="100" a="1"/>
  <c r="N119" i="100" s="1"/>
  <c r="M119" i="100" a="1"/>
  <c r="M119" i="100" s="1"/>
  <c r="L119" i="100" a="1"/>
  <c r="L119" i="100" s="1"/>
  <c r="K119" i="100" a="1"/>
  <c r="K119" i="100" s="1"/>
  <c r="J119" i="100" a="1"/>
  <c r="J119" i="100" s="1"/>
  <c r="I119" i="100" a="1"/>
  <c r="I119" i="100" s="1"/>
  <c r="H119" i="100" a="1"/>
  <c r="H119" i="100" s="1"/>
  <c r="G119" i="100" a="1"/>
  <c r="G119" i="100" s="1"/>
  <c r="F119" i="100" a="1"/>
  <c r="F119" i="100" s="1"/>
  <c r="E119" i="100" a="1"/>
  <c r="E119" i="100" s="1"/>
  <c r="D119" i="100" a="1"/>
  <c r="D119" i="100" s="1"/>
  <c r="T118" i="100" a="1"/>
  <c r="T118" i="100" s="1"/>
  <c r="S118" i="100" a="1"/>
  <c r="S118" i="100" s="1"/>
  <c r="R118" i="100" a="1"/>
  <c r="R118" i="100" s="1"/>
  <c r="Q118" i="100" a="1"/>
  <c r="Q118" i="100" s="1"/>
  <c r="P118" i="100" a="1"/>
  <c r="P118" i="100" s="1"/>
  <c r="O118" i="100" a="1"/>
  <c r="O118" i="100" s="1"/>
  <c r="N118" i="100" a="1"/>
  <c r="N118" i="100" s="1"/>
  <c r="M118" i="100" a="1"/>
  <c r="M118" i="100" s="1"/>
  <c r="L118" i="100" a="1"/>
  <c r="L118" i="100" s="1"/>
  <c r="K118" i="100" a="1"/>
  <c r="K118" i="100" s="1"/>
  <c r="J118" i="100" a="1"/>
  <c r="J118" i="100" s="1"/>
  <c r="I118" i="100" a="1"/>
  <c r="I118" i="100" s="1"/>
  <c r="H118" i="100" a="1"/>
  <c r="H118" i="100" s="1"/>
  <c r="G118" i="100" a="1"/>
  <c r="G118" i="100" s="1"/>
  <c r="F118" i="100" a="1"/>
  <c r="F118" i="100" s="1"/>
  <c r="E118" i="100" a="1"/>
  <c r="E118" i="100" s="1"/>
  <c r="D118" i="100" a="1"/>
  <c r="D118" i="100" s="1"/>
  <c r="T117" i="100"/>
  <c r="S117" i="100" a="1"/>
  <c r="S117" i="100" s="1"/>
  <c r="R117" i="100" a="1"/>
  <c r="R117" i="100" s="1"/>
  <c r="Q117" i="100" a="1"/>
  <c r="Q117" i="100" s="1"/>
  <c r="P117" i="100" a="1"/>
  <c r="P117" i="100" s="1"/>
  <c r="O117" i="100" a="1"/>
  <c r="O117" i="100" s="1"/>
  <c r="N117" i="100" a="1"/>
  <c r="N117" i="100" s="1"/>
  <c r="M117" i="100" a="1"/>
  <c r="M117" i="100" s="1"/>
  <c r="L117" i="100" a="1"/>
  <c r="L117" i="100" s="1"/>
  <c r="K117" i="100" a="1"/>
  <c r="K117" i="100" s="1"/>
  <c r="J117" i="100" a="1"/>
  <c r="J117" i="100" s="1"/>
  <c r="I117" i="100" a="1"/>
  <c r="I117" i="100" s="1"/>
  <c r="H117" i="100" a="1"/>
  <c r="H117" i="100" s="1"/>
  <c r="G117" i="100" a="1"/>
  <c r="G117" i="100" s="1"/>
  <c r="F117" i="100" a="1"/>
  <c r="F117" i="100" s="1"/>
  <c r="E117" i="100" a="1"/>
  <c r="E117" i="100" s="1"/>
  <c r="D117" i="100" a="1"/>
  <c r="D117" i="100" s="1"/>
  <c r="T115" i="100" a="1"/>
  <c r="T115" i="100" s="1"/>
  <c r="S115" i="100" a="1"/>
  <c r="S115" i="100" s="1"/>
  <c r="R115" i="100" a="1"/>
  <c r="R115" i="100" s="1"/>
  <c r="Q115" i="100" a="1"/>
  <c r="Q115" i="100" s="1"/>
  <c r="P115" i="100" a="1"/>
  <c r="P115" i="100" s="1"/>
  <c r="O115" i="100" a="1"/>
  <c r="O115" i="100" s="1"/>
  <c r="N115" i="100" a="1"/>
  <c r="N115" i="100" s="1"/>
  <c r="M115" i="100" a="1"/>
  <c r="M115" i="100" s="1"/>
  <c r="L115" i="100" a="1"/>
  <c r="L115" i="100" s="1"/>
  <c r="K115" i="100" a="1"/>
  <c r="K115" i="100" s="1"/>
  <c r="J115" i="100" a="1"/>
  <c r="J115" i="100" s="1"/>
  <c r="I115" i="100" a="1"/>
  <c r="I115" i="100" s="1"/>
  <c r="H115" i="100" a="1"/>
  <c r="H115" i="100" s="1"/>
  <c r="G115" i="100" a="1"/>
  <c r="G115" i="100" s="1"/>
  <c r="F115" i="100" a="1"/>
  <c r="F115" i="100" s="1"/>
  <c r="E115" i="100" a="1"/>
  <c r="E115" i="100" s="1"/>
  <c r="D115" i="100" a="1"/>
  <c r="D115" i="100" s="1"/>
  <c r="T114" i="100" a="1"/>
  <c r="T114" i="100" s="1"/>
  <c r="S114" i="100" a="1"/>
  <c r="S114" i="100" s="1"/>
  <c r="R114" i="100" a="1"/>
  <c r="R114" i="100" s="1"/>
  <c r="Q114" i="100" a="1"/>
  <c r="Q114" i="100" s="1"/>
  <c r="P114" i="100" a="1"/>
  <c r="P114" i="100" s="1"/>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S113" i="100" a="1"/>
  <c r="S113" i="100" s="1"/>
  <c r="R113" i="100" a="1"/>
  <c r="R113" i="100" s="1"/>
  <c r="Q113" i="100" a="1"/>
  <c r="Q113" i="100" s="1"/>
  <c r="P113" i="100" a="1"/>
  <c r="P113" i="100" s="1"/>
  <c r="O113" i="100" a="1"/>
  <c r="O113" i="100" s="1"/>
  <c r="N113" i="100" a="1"/>
  <c r="N113" i="100" s="1"/>
  <c r="M113" i="100" a="1"/>
  <c r="M113" i="100" s="1"/>
  <c r="L113" i="100" a="1"/>
  <c r="L113" i="100" s="1"/>
  <c r="K113" i="100" a="1"/>
  <c r="K113" i="100" s="1"/>
  <c r="J113" i="100" a="1"/>
  <c r="J113" i="100" s="1"/>
  <c r="I113" i="100" a="1"/>
  <c r="I113" i="100" s="1"/>
  <c r="H113" i="100" a="1"/>
  <c r="H113" i="100" s="1"/>
  <c r="G113" i="100" a="1"/>
  <c r="G113" i="100" s="1"/>
  <c r="F113" i="100" a="1"/>
  <c r="F113" i="100" s="1"/>
  <c r="E113" i="100" a="1"/>
  <c r="E113" i="100" s="1"/>
  <c r="D113" i="100" a="1"/>
  <c r="D113" i="100" s="1"/>
  <c r="T112" i="100"/>
  <c r="S112" i="100" a="1"/>
  <c r="S112" i="100" s="1"/>
  <c r="R112" i="100" a="1"/>
  <c r="R112" i="100" s="1"/>
  <c r="Q112" i="100" a="1"/>
  <c r="Q112" i="100" s="1"/>
  <c r="P112" i="100" a="1"/>
  <c r="P112" i="100" s="1"/>
  <c r="O112" i="100" a="1"/>
  <c r="O112" i="100" s="1"/>
  <c r="N112" i="100" a="1"/>
  <c r="N112" i="100" s="1"/>
  <c r="M112" i="100" a="1"/>
  <c r="M112" i="100" s="1"/>
  <c r="L112" i="100" a="1"/>
  <c r="L112" i="100" s="1"/>
  <c r="K112" i="100" a="1"/>
  <c r="K112" i="100" s="1"/>
  <c r="J112" i="100" a="1"/>
  <c r="J112" i="100" s="1"/>
  <c r="I112" i="100" a="1"/>
  <c r="I112" i="100" s="1"/>
  <c r="H112" i="100" a="1"/>
  <c r="H112" i="100" s="1"/>
  <c r="G112" i="100" a="1"/>
  <c r="G112" i="100" s="1"/>
  <c r="F112" i="100" a="1"/>
  <c r="F112" i="100" s="1"/>
  <c r="E112" i="100" a="1"/>
  <c r="E112" i="100" s="1"/>
  <c r="T110" i="100" a="1"/>
  <c r="T110" i="100" s="1"/>
  <c r="S110" i="100"/>
  <c r="R110" i="100"/>
  <c r="Q110" i="100"/>
  <c r="P110" i="100"/>
  <c r="O110" i="100"/>
  <c r="N110" i="100"/>
  <c r="M110" i="100"/>
  <c r="L110" i="100"/>
  <c r="K110" i="100"/>
  <c r="J110" i="100"/>
  <c r="I110" i="100"/>
  <c r="G110" i="100"/>
  <c r="F110" i="100"/>
  <c r="E110" i="100"/>
  <c r="D110" i="100"/>
  <c r="S109" i="100" a="1"/>
  <c r="S109" i="100" s="1"/>
  <c r="R109" i="100" a="1"/>
  <c r="R109" i="100" s="1"/>
  <c r="Q109" i="100" a="1"/>
  <c r="Q109" i="100" s="1"/>
  <c r="P109" i="100" a="1"/>
  <c r="P109" i="100" s="1"/>
  <c r="O109" i="100" a="1"/>
  <c r="O109" i="100" s="1"/>
  <c r="N109" i="100" a="1"/>
  <c r="N109" i="100" s="1"/>
  <c r="M109" i="100" a="1"/>
  <c r="M109" i="100" s="1"/>
  <c r="L109" i="100" a="1"/>
  <c r="L109" i="100" s="1"/>
  <c r="K109" i="100" a="1"/>
  <c r="K109" i="100" s="1"/>
  <c r="J109" i="100" a="1"/>
  <c r="J109" i="100" s="1"/>
  <c r="I109" i="100" a="1"/>
  <c r="I109" i="100" s="1"/>
  <c r="G109" i="100" a="1"/>
  <c r="G109" i="100" s="1"/>
  <c r="F109" i="100" a="1"/>
  <c r="F109" i="100" s="1"/>
  <c r="E109" i="100" a="1"/>
  <c r="E109" i="100" s="1"/>
  <c r="D109" i="100" a="1"/>
  <c r="D109" i="100" s="1"/>
  <c r="S108" i="100" a="1"/>
  <c r="S108" i="100" s="1"/>
  <c r="R108" i="100" a="1"/>
  <c r="R108" i="100" s="1"/>
  <c r="Q108" i="100" a="1"/>
  <c r="Q108" i="100" s="1"/>
  <c r="P108" i="100" a="1"/>
  <c r="P108" i="100" s="1"/>
  <c r="O108" i="100" a="1"/>
  <c r="O108" i="100" s="1"/>
  <c r="N108" i="100" a="1"/>
  <c r="N108" i="100" s="1"/>
  <c r="M108" i="100" a="1"/>
  <c r="M108" i="100" s="1"/>
  <c r="L108" i="100" a="1"/>
  <c r="L108" i="100" s="1"/>
  <c r="K108" i="100" a="1"/>
  <c r="K108" i="100" s="1"/>
  <c r="J108" i="100" a="1"/>
  <c r="J108" i="100" s="1"/>
  <c r="I108" i="100" a="1"/>
  <c r="I108" i="100" s="1"/>
  <c r="H108" i="100" a="1"/>
  <c r="H108" i="100" s="1"/>
  <c r="G108" i="100" a="1"/>
  <c r="G108" i="100" s="1"/>
  <c r="F108" i="100" a="1"/>
  <c r="F108" i="100" s="1"/>
  <c r="E108" i="100" a="1"/>
  <c r="E108" i="100" s="1"/>
  <c r="D108" i="100" a="1"/>
  <c r="D108" i="100" s="1"/>
  <c r="T107" i="100"/>
  <c r="T105" i="100" a="1"/>
  <c r="T105" i="100" s="1"/>
  <c r="S105" i="100" a="1"/>
  <c r="S105" i="100" s="1"/>
  <c r="R105" i="100" a="1"/>
  <c r="R105" i="100" s="1"/>
  <c r="Q105" i="100" a="1"/>
  <c r="Q105" i="100" s="1"/>
  <c r="P105" i="100" a="1"/>
  <c r="P105" i="100" s="1"/>
  <c r="O105" i="100" a="1"/>
  <c r="O105" i="100" s="1"/>
  <c r="N105" i="100" a="1"/>
  <c r="N105" i="100" s="1"/>
  <c r="M105" i="100" a="1"/>
  <c r="M105" i="100" s="1"/>
  <c r="L105" i="100" a="1"/>
  <c r="L105" i="100" s="1"/>
  <c r="K105" i="100" a="1"/>
  <c r="K105" i="100" s="1"/>
  <c r="J105" i="100" a="1"/>
  <c r="J105" i="100" s="1"/>
  <c r="I105" i="100" a="1"/>
  <c r="I105" i="100" s="1"/>
  <c r="H105" i="100" a="1"/>
  <c r="H105" i="100" s="1"/>
  <c r="G105" i="100" a="1"/>
  <c r="G105" i="100" s="1"/>
  <c r="F105" i="100" a="1"/>
  <c r="F105" i="100" s="1"/>
  <c r="E105" i="100" a="1"/>
  <c r="E105" i="100" s="1"/>
  <c r="D105" i="100" a="1"/>
  <c r="D105" i="100" s="1"/>
  <c r="T104" i="100" a="1"/>
  <c r="T104" i="100" s="1"/>
  <c r="S104" i="100" a="1"/>
  <c r="S104" i="100" s="1"/>
  <c r="R104" i="100" a="1"/>
  <c r="R104" i="100" s="1"/>
  <c r="Q104" i="100" a="1"/>
  <c r="Q104" i="100" s="1"/>
  <c r="P104" i="100" a="1"/>
  <c r="P104" i="100" s="1"/>
  <c r="O104" i="100" a="1"/>
  <c r="O104" i="100" s="1"/>
  <c r="N104" i="100" a="1"/>
  <c r="N104" i="100" s="1"/>
  <c r="M104" i="100" a="1"/>
  <c r="M104" i="100" s="1"/>
  <c r="L104" i="100" a="1"/>
  <c r="L104" i="100" s="1"/>
  <c r="K104" i="100" a="1"/>
  <c r="K104" i="100" s="1"/>
  <c r="J104" i="100" a="1"/>
  <c r="J104" i="100" s="1"/>
  <c r="I104" i="100" a="1"/>
  <c r="I104" i="100" s="1"/>
  <c r="H104" i="100" a="1"/>
  <c r="H104" i="100" s="1"/>
  <c r="G104" i="100" a="1"/>
  <c r="G104" i="100" s="1"/>
  <c r="F104" i="100" a="1"/>
  <c r="F104" i="100" s="1"/>
  <c r="E104" i="100" a="1"/>
  <c r="E104" i="100" s="1"/>
  <c r="D104" i="100" a="1"/>
  <c r="D104" i="100" s="1"/>
  <c r="T103" i="100" a="1"/>
  <c r="T103" i="100" s="1"/>
  <c r="S103" i="100" a="1"/>
  <c r="S103" i="100" s="1"/>
  <c r="R103" i="100" a="1"/>
  <c r="R103" i="100" s="1"/>
  <c r="Q103" i="100" a="1"/>
  <c r="Q103" i="100" s="1"/>
  <c r="P103" i="100" a="1"/>
  <c r="P103" i="100" s="1"/>
  <c r="O103" i="100" a="1"/>
  <c r="O103" i="100" s="1"/>
  <c r="N103" i="100" a="1"/>
  <c r="N103" i="100" s="1"/>
  <c r="M103" i="100" a="1"/>
  <c r="M103" i="100" s="1"/>
  <c r="L103" i="100" a="1"/>
  <c r="L103" i="100" s="1"/>
  <c r="K103" i="100" a="1"/>
  <c r="K103" i="100" s="1"/>
  <c r="J103" i="100" a="1"/>
  <c r="J103" i="100" s="1"/>
  <c r="I103" i="100" a="1"/>
  <c r="I103" i="100" s="1"/>
  <c r="H103" i="100" a="1"/>
  <c r="H103" i="100" s="1"/>
  <c r="G103" i="100" a="1"/>
  <c r="G103" i="100" s="1"/>
  <c r="F103" i="100" a="1"/>
  <c r="F103" i="100" s="1"/>
  <c r="E103" i="100" a="1"/>
  <c r="E103" i="100" s="1"/>
  <c r="D103" i="100" a="1"/>
  <c r="D103" i="100" s="1"/>
  <c r="T102" i="100"/>
  <c r="S102" i="100" a="1"/>
  <c r="S102" i="100" s="1"/>
  <c r="R102" i="100" a="1"/>
  <c r="R102" i="100" s="1"/>
  <c r="Q102" i="100" a="1"/>
  <c r="Q102" i="100" s="1"/>
  <c r="P102" i="100" a="1"/>
  <c r="P102" i="100" s="1"/>
  <c r="O102" i="100" a="1"/>
  <c r="O102" i="100" s="1"/>
  <c r="N102" i="100" a="1"/>
  <c r="N102" i="100" s="1"/>
  <c r="M102" i="100" a="1"/>
  <c r="M102" i="100" s="1"/>
  <c r="L102" i="100" a="1"/>
  <c r="L102" i="100" s="1"/>
  <c r="K102" i="100" a="1"/>
  <c r="K102" i="100" s="1"/>
  <c r="J102" i="100" a="1"/>
  <c r="J102" i="100" s="1"/>
  <c r="I102" i="100" a="1"/>
  <c r="I102" i="100" s="1"/>
  <c r="H102" i="100" a="1"/>
  <c r="H102" i="100" s="1"/>
  <c r="G102" i="100" a="1"/>
  <c r="G102" i="100" s="1"/>
  <c r="F102" i="100" a="1"/>
  <c r="F102" i="100" s="1"/>
  <c r="E102" i="100" a="1"/>
  <c r="E102" i="100" s="1"/>
  <c r="D102" i="100" a="1"/>
  <c r="D102" i="100" s="1"/>
  <c r="T100" i="100" a="1"/>
  <c r="T100" i="100" s="1"/>
  <c r="S100" i="100" a="1"/>
  <c r="S100" i="100" s="1"/>
  <c r="R100" i="100" a="1"/>
  <c r="R100" i="100" s="1"/>
  <c r="Q100" i="100" a="1"/>
  <c r="Q100" i="100" s="1"/>
  <c r="P100" i="100" a="1"/>
  <c r="P100" i="100" s="1"/>
  <c r="O100" i="100" a="1"/>
  <c r="O100" i="100" s="1"/>
  <c r="N100" i="100" a="1"/>
  <c r="N100" i="100" s="1"/>
  <c r="M100" i="100" a="1"/>
  <c r="M100" i="100" s="1"/>
  <c r="L100" i="100" a="1"/>
  <c r="L100" i="100" s="1"/>
  <c r="K100" i="100" a="1"/>
  <c r="K100" i="100" s="1"/>
  <c r="J100" i="100" a="1"/>
  <c r="J100" i="100" s="1"/>
  <c r="I100" i="100" a="1"/>
  <c r="I100" i="100" s="1"/>
  <c r="H100" i="100" a="1"/>
  <c r="H100" i="100" s="1"/>
  <c r="G100" i="100" a="1"/>
  <c r="G100" i="100" s="1"/>
  <c r="F100" i="100" a="1"/>
  <c r="F100" i="100" s="1"/>
  <c r="E100" i="100" a="1"/>
  <c r="E100" i="100" s="1"/>
  <c r="D100" i="100" a="1"/>
  <c r="D100" i="100" s="1"/>
  <c r="T99" i="100" a="1"/>
  <c r="T99" i="100" s="1"/>
  <c r="S99" i="100" a="1"/>
  <c r="S99" i="100" s="1"/>
  <c r="R99" i="100" a="1"/>
  <c r="R99" i="100" s="1"/>
  <c r="Q99" i="100" a="1"/>
  <c r="Q99" i="100" s="1"/>
  <c r="P99" i="100" a="1"/>
  <c r="P99" i="100" s="1"/>
  <c r="O99" i="100" a="1"/>
  <c r="O99" i="100" s="1"/>
  <c r="N99" i="100" a="1"/>
  <c r="N99" i="100" s="1"/>
  <c r="M99" i="100" a="1"/>
  <c r="M99" i="100" s="1"/>
  <c r="L99" i="100" a="1"/>
  <c r="L99" i="100" s="1"/>
  <c r="K99" i="100" a="1"/>
  <c r="K99" i="100" s="1"/>
  <c r="J99" i="100" a="1"/>
  <c r="J99" i="100" s="1"/>
  <c r="I99" i="100" a="1"/>
  <c r="I99" i="100" s="1"/>
  <c r="H99" i="100" a="1"/>
  <c r="H99" i="100" s="1"/>
  <c r="G99" i="100" a="1"/>
  <c r="G99" i="100" s="1"/>
  <c r="F99" i="100" a="1"/>
  <c r="F99" i="100" s="1"/>
  <c r="E99" i="100" a="1"/>
  <c r="E99" i="100" s="1"/>
  <c r="D99" i="100" a="1"/>
  <c r="D99" i="100" s="1"/>
  <c r="T98" i="100" a="1"/>
  <c r="T98" i="100" s="1"/>
  <c r="S98" i="100" a="1"/>
  <c r="S98" i="100" s="1"/>
  <c r="R98" i="100" a="1"/>
  <c r="R98" i="100" s="1"/>
  <c r="Q98" i="100" a="1"/>
  <c r="Q98" i="100" s="1"/>
  <c r="P98" i="100" a="1"/>
  <c r="P98" i="100" s="1"/>
  <c r="O98" i="100" a="1"/>
  <c r="O98" i="100" s="1"/>
  <c r="N98" i="100" a="1"/>
  <c r="N98" i="100" s="1"/>
  <c r="M98" i="100" a="1"/>
  <c r="M98" i="100" s="1"/>
  <c r="L98" i="100" a="1"/>
  <c r="L98" i="100" s="1"/>
  <c r="K98" i="100" a="1"/>
  <c r="K98" i="100" s="1"/>
  <c r="J98" i="100" a="1"/>
  <c r="J98" i="100" s="1"/>
  <c r="I98" i="100" a="1"/>
  <c r="I98" i="100" s="1"/>
  <c r="H98" i="100" a="1"/>
  <c r="H98" i="100" s="1"/>
  <c r="G98" i="100" a="1"/>
  <c r="G98" i="100" s="1"/>
  <c r="F98" i="100" a="1"/>
  <c r="F98" i="100" s="1"/>
  <c r="E98" i="100" a="1"/>
  <c r="E98" i="100" s="1"/>
  <c r="D98" i="100" a="1"/>
  <c r="D98" i="100" s="1"/>
  <c r="T97" i="100"/>
  <c r="S97" i="100" a="1"/>
  <c r="S97" i="100" s="1"/>
  <c r="R97" i="100" a="1"/>
  <c r="R97" i="100" s="1"/>
  <c r="Q97" i="100" a="1"/>
  <c r="Q97" i="100" s="1"/>
  <c r="P97" i="100" a="1"/>
  <c r="P97" i="100" s="1"/>
  <c r="O97" i="100" a="1"/>
  <c r="O97" i="100" s="1"/>
  <c r="N97" i="100" a="1"/>
  <c r="N97" i="100" s="1"/>
  <c r="M97" i="100" a="1"/>
  <c r="M97" i="100" s="1"/>
  <c r="L97" i="100" a="1"/>
  <c r="L97" i="100" s="1"/>
  <c r="K97" i="100" a="1"/>
  <c r="K97" i="100" s="1"/>
  <c r="J97" i="100" a="1"/>
  <c r="J97" i="100" s="1"/>
  <c r="I97" i="100" a="1"/>
  <c r="I97" i="100" s="1"/>
  <c r="H97" i="100" a="1"/>
  <c r="H97" i="100" s="1"/>
  <c r="G97" i="100" a="1"/>
  <c r="G97" i="100" s="1"/>
  <c r="F97" i="100" a="1"/>
  <c r="F97" i="100" s="1"/>
  <c r="E97" i="100" a="1"/>
  <c r="E97" i="100" s="1"/>
  <c r="D97" i="100" a="1"/>
  <c r="D97" i="100" s="1"/>
  <c r="T95" i="100" a="1"/>
  <c r="T95" i="100" s="1"/>
  <c r="S95" i="100" a="1"/>
  <c r="S95" i="100" s="1"/>
  <c r="R95" i="100" a="1"/>
  <c r="R95" i="100" s="1"/>
  <c r="Q95" i="100" a="1"/>
  <c r="Q95" i="100" s="1"/>
  <c r="P95" i="100" a="1"/>
  <c r="P95" i="100" s="1"/>
  <c r="O95" i="100" a="1"/>
  <c r="O95" i="100" s="1"/>
  <c r="N95" i="100" a="1"/>
  <c r="N95" i="100" s="1"/>
  <c r="M95" i="100" a="1"/>
  <c r="M95" i="100" s="1"/>
  <c r="L95" i="100" a="1"/>
  <c r="L95" i="100" s="1"/>
  <c r="K95" i="100" a="1"/>
  <c r="K95" i="100" s="1"/>
  <c r="J95" i="100" a="1"/>
  <c r="J95" i="100" s="1"/>
  <c r="I95" i="100" a="1"/>
  <c r="I95" i="100" s="1"/>
  <c r="H95" i="100" a="1"/>
  <c r="H95" i="100" s="1"/>
  <c r="G95" i="100" a="1"/>
  <c r="G95" i="100" s="1"/>
  <c r="F95" i="100" a="1"/>
  <c r="F95" i="100" s="1"/>
  <c r="E95" i="100" a="1"/>
  <c r="E95" i="100" s="1"/>
  <c r="D95" i="100" a="1"/>
  <c r="D95" i="100" s="1"/>
  <c r="T94" i="100" a="1"/>
  <c r="T94" i="100" s="1"/>
  <c r="S94" i="100" a="1"/>
  <c r="S94" i="100" s="1"/>
  <c r="R94" i="100" a="1"/>
  <c r="R94" i="100" s="1"/>
  <c r="Q94" i="100" a="1"/>
  <c r="Q94" i="100" s="1"/>
  <c r="P94" i="100" a="1"/>
  <c r="P94" i="100" s="1"/>
  <c r="O94" i="100" a="1"/>
  <c r="O94" i="100" s="1"/>
  <c r="N94" i="100" a="1"/>
  <c r="N94" i="100" s="1"/>
  <c r="M94" i="100" a="1"/>
  <c r="M94" i="100" s="1"/>
  <c r="L94" i="100" a="1"/>
  <c r="L94" i="100" s="1"/>
  <c r="K94" i="100" a="1"/>
  <c r="K94" i="100" s="1"/>
  <c r="J94" i="100" a="1"/>
  <c r="J94" i="100" s="1"/>
  <c r="I94" i="100" a="1"/>
  <c r="I94" i="100" s="1"/>
  <c r="H94" i="100" a="1"/>
  <c r="H94" i="100" s="1"/>
  <c r="G94" i="100" a="1"/>
  <c r="G94" i="100" s="1"/>
  <c r="F94" i="100" a="1"/>
  <c r="F94" i="100" s="1"/>
  <c r="E94" i="100" a="1"/>
  <c r="E94" i="100" s="1"/>
  <c r="D94" i="100" a="1"/>
  <c r="D94" i="100" s="1"/>
  <c r="T93" i="100" a="1"/>
  <c r="T93" i="100" s="1"/>
  <c r="S93" i="100" a="1"/>
  <c r="S93" i="100" s="1"/>
  <c r="R93" i="100" a="1"/>
  <c r="R93" i="100" s="1"/>
  <c r="Q93" i="100" a="1"/>
  <c r="Q93" i="100" s="1"/>
  <c r="P93" i="100" a="1"/>
  <c r="P93" i="100" s="1"/>
  <c r="O93" i="100" a="1"/>
  <c r="O93" i="100" s="1"/>
  <c r="N93" i="100" a="1"/>
  <c r="N93" i="100" s="1"/>
  <c r="M93" i="100" a="1"/>
  <c r="M93" i="100" s="1"/>
  <c r="L93" i="100" a="1"/>
  <c r="L93" i="100" s="1"/>
  <c r="K93" i="100" a="1"/>
  <c r="K93" i="100" s="1"/>
  <c r="J93" i="100" a="1"/>
  <c r="J93" i="100" s="1"/>
  <c r="I93" i="100" a="1"/>
  <c r="I93" i="100" s="1"/>
  <c r="H93" i="100" a="1"/>
  <c r="H93" i="100" s="1"/>
  <c r="G93" i="100" a="1"/>
  <c r="G93" i="100" s="1"/>
  <c r="F93" i="100" a="1"/>
  <c r="F93" i="100" s="1"/>
  <c r="E93" i="100" a="1"/>
  <c r="E93" i="100" s="1"/>
  <c r="D93" i="100" a="1"/>
  <c r="D93" i="100" s="1"/>
  <c r="T92" i="100"/>
  <c r="S92" i="100" a="1"/>
  <c r="S92" i="100" s="1"/>
  <c r="R92" i="100" a="1"/>
  <c r="R92" i="100" s="1"/>
  <c r="Q92" i="100" a="1"/>
  <c r="Q92" i="100" s="1"/>
  <c r="P92" i="100" a="1"/>
  <c r="P92" i="100" s="1"/>
  <c r="O92" i="100" a="1"/>
  <c r="O92" i="100" s="1"/>
  <c r="N92" i="100" a="1"/>
  <c r="N92" i="100" s="1"/>
  <c r="M92" i="100" a="1"/>
  <c r="M92" i="100" s="1"/>
  <c r="L92" i="100" a="1"/>
  <c r="L92" i="100" s="1"/>
  <c r="K92" i="100" a="1"/>
  <c r="K92" i="100" s="1"/>
  <c r="J92" i="100" a="1"/>
  <c r="J92" i="100" s="1"/>
  <c r="I92" i="100" a="1"/>
  <c r="I92" i="100" s="1"/>
  <c r="H92" i="100" a="1"/>
  <c r="H92" i="100" s="1"/>
  <c r="G92" i="100" a="1"/>
  <c r="G92" i="100" s="1"/>
  <c r="F92" i="100" a="1"/>
  <c r="F92" i="100" s="1"/>
  <c r="E92" i="100" a="1"/>
  <c r="E92" i="100" s="1"/>
  <c r="D92" i="100" a="1"/>
  <c r="D92" i="100" s="1"/>
  <c r="T90" i="100" a="1"/>
  <c r="T90" i="100" s="1"/>
  <c r="S90" i="100" a="1"/>
  <c r="S90" i="100" s="1"/>
  <c r="R90" i="100" a="1"/>
  <c r="R90" i="100" s="1"/>
  <c r="Q90" i="100" a="1"/>
  <c r="Q90" i="100" s="1"/>
  <c r="P90" i="100" a="1"/>
  <c r="P90" i="100" s="1"/>
  <c r="O90" i="100" a="1"/>
  <c r="O90" i="100" s="1"/>
  <c r="N90" i="100" a="1"/>
  <c r="N90" i="100" s="1"/>
  <c r="M90" i="100" a="1"/>
  <c r="M90" i="100" s="1"/>
  <c r="L90" i="100" a="1"/>
  <c r="L90" i="100" s="1"/>
  <c r="K90" i="100" a="1"/>
  <c r="K90" i="100" s="1"/>
  <c r="J90" i="100" a="1"/>
  <c r="J90" i="100" s="1"/>
  <c r="I90" i="100" a="1"/>
  <c r="I90" i="100" s="1"/>
  <c r="H90" i="100" a="1"/>
  <c r="H90" i="100" s="1"/>
  <c r="G90" i="100" a="1"/>
  <c r="G90" i="100" s="1"/>
  <c r="F90" i="100" a="1"/>
  <c r="F90" i="100" s="1"/>
  <c r="E90" i="100" a="1"/>
  <c r="E90" i="100" s="1"/>
  <c r="D90" i="100" a="1"/>
  <c r="D90" i="100" s="1"/>
  <c r="T89" i="100" a="1"/>
  <c r="T89" i="100" s="1"/>
  <c r="S89" i="100" a="1"/>
  <c r="S89" i="100" s="1"/>
  <c r="R89" i="100" a="1"/>
  <c r="R89" i="100" s="1"/>
  <c r="Q89" i="100" a="1"/>
  <c r="Q89" i="100" s="1"/>
  <c r="P89" i="100" a="1"/>
  <c r="P89" i="100" s="1"/>
  <c r="O89" i="100" a="1"/>
  <c r="O89" i="100" s="1"/>
  <c r="N89" i="100" a="1"/>
  <c r="N89" i="100" s="1"/>
  <c r="M89" i="100" a="1"/>
  <c r="M89" i="100" s="1"/>
  <c r="L89" i="100" a="1"/>
  <c r="L89" i="100" s="1"/>
  <c r="K89" i="100" a="1"/>
  <c r="K89" i="100" s="1"/>
  <c r="J89" i="100" a="1"/>
  <c r="J89" i="100" s="1"/>
  <c r="I89" i="100" a="1"/>
  <c r="I89" i="100" s="1"/>
  <c r="H89" i="100" a="1"/>
  <c r="H89" i="100" s="1"/>
  <c r="G89" i="100" a="1"/>
  <c r="G89" i="100" s="1"/>
  <c r="F89" i="100" a="1"/>
  <c r="F89" i="100" s="1"/>
  <c r="E89" i="100" a="1"/>
  <c r="E89" i="100" s="1"/>
  <c r="D89" i="100" a="1"/>
  <c r="D89" i="100" s="1"/>
  <c r="T88" i="100" a="1"/>
  <c r="T88" i="100" s="1"/>
  <c r="S88" i="100" a="1"/>
  <c r="S88" i="100" s="1"/>
  <c r="R88" i="100" a="1"/>
  <c r="R88" i="100" s="1"/>
  <c r="Q88" i="100" a="1"/>
  <c r="Q88" i="100" s="1"/>
  <c r="P88" i="100" a="1"/>
  <c r="P88" i="100" s="1"/>
  <c r="O88" i="100" a="1"/>
  <c r="O88" i="100" s="1"/>
  <c r="N88" i="100" a="1"/>
  <c r="N88" i="100" s="1"/>
  <c r="M88" i="100" a="1"/>
  <c r="M88" i="100" s="1"/>
  <c r="L88" i="100" a="1"/>
  <c r="L88" i="100" s="1"/>
  <c r="K88" i="100" a="1"/>
  <c r="K88" i="100" s="1"/>
  <c r="J88" i="100" a="1"/>
  <c r="J88" i="100" s="1"/>
  <c r="I88" i="100" a="1"/>
  <c r="I88" i="100" s="1"/>
  <c r="H88" i="100" a="1"/>
  <c r="H88" i="100" s="1"/>
  <c r="G88" i="100" a="1"/>
  <c r="G88" i="100" s="1"/>
  <c r="F88" i="100" a="1"/>
  <c r="F88" i="100" s="1"/>
  <c r="E88" i="100" a="1"/>
  <c r="E88" i="100" s="1"/>
  <c r="D88" i="100" a="1"/>
  <c r="D88" i="100" s="1"/>
  <c r="T87" i="100"/>
  <c r="S87" i="100" a="1"/>
  <c r="S87" i="100" s="1"/>
  <c r="R87" i="100" a="1"/>
  <c r="R87" i="100" s="1"/>
  <c r="Q87" i="100" a="1"/>
  <c r="Q87" i="100" s="1"/>
  <c r="P87" i="100" a="1"/>
  <c r="P87" i="100" s="1"/>
  <c r="O87" i="100" a="1"/>
  <c r="O87" i="100" s="1"/>
  <c r="N87" i="100" a="1"/>
  <c r="N87" i="100" s="1"/>
  <c r="M87" i="100" a="1"/>
  <c r="M87" i="100" s="1"/>
  <c r="L87" i="100" a="1"/>
  <c r="L87" i="100" s="1"/>
  <c r="K87" i="100" a="1"/>
  <c r="K87" i="100" s="1"/>
  <c r="J87" i="100" a="1"/>
  <c r="J87" i="100" s="1"/>
  <c r="I87" i="100" a="1"/>
  <c r="I87" i="100" s="1"/>
  <c r="H87" i="100" a="1"/>
  <c r="H87" i="100" s="1"/>
  <c r="G87" i="100" a="1"/>
  <c r="G87" i="100" s="1"/>
  <c r="F87" i="100" a="1"/>
  <c r="F87" i="100" s="1"/>
  <c r="E87" i="100" a="1"/>
  <c r="E87" i="100" s="1"/>
  <c r="D87" i="100" a="1"/>
  <c r="D87" i="100" s="1"/>
  <c r="T85" i="100" a="1"/>
  <c r="T85" i="100" s="1"/>
  <c r="S85" i="100" a="1"/>
  <c r="S85" i="100" s="1"/>
  <c r="R85" i="100" a="1"/>
  <c r="R85" i="100" s="1"/>
  <c r="Q85" i="100" a="1"/>
  <c r="Q85" i="100" s="1"/>
  <c r="P85" i="100" a="1"/>
  <c r="P85" i="100" s="1"/>
  <c r="O85" i="100" a="1"/>
  <c r="O85" i="100" s="1"/>
  <c r="N85" i="100" a="1"/>
  <c r="N85" i="100" s="1"/>
  <c r="M85" i="100" a="1"/>
  <c r="M85" i="100" s="1"/>
  <c r="L85" i="100" a="1"/>
  <c r="L85" i="100" s="1"/>
  <c r="K85" i="100" a="1"/>
  <c r="K85" i="100" s="1"/>
  <c r="J85" i="100" a="1"/>
  <c r="J85" i="100" s="1"/>
  <c r="I85" i="100" a="1"/>
  <c r="I85" i="100" s="1"/>
  <c r="H85" i="100" a="1"/>
  <c r="H85" i="100" s="1"/>
  <c r="G85" i="100" a="1"/>
  <c r="G85" i="100" s="1"/>
  <c r="F85" i="100" a="1"/>
  <c r="F85" i="100" s="1"/>
  <c r="E85" i="100" a="1"/>
  <c r="E85" i="100" s="1"/>
  <c r="D85" i="100" a="1"/>
  <c r="D85" i="100" s="1"/>
  <c r="T84" i="100" a="1"/>
  <c r="T84" i="100" s="1"/>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R83" i="100" a="1"/>
  <c r="R83" i="100" s="1"/>
  <c r="Q83" i="100" a="1"/>
  <c r="Q83" i="100" s="1"/>
  <c r="P83" i="100" a="1"/>
  <c r="P83" i="100" s="1"/>
  <c r="O83" i="100" a="1"/>
  <c r="O83" i="100" s="1"/>
  <c r="N83" i="100" a="1"/>
  <c r="N83" i="100" s="1"/>
  <c r="M83" i="100" a="1"/>
  <c r="M83" i="100" s="1"/>
  <c r="L83" i="100" a="1"/>
  <c r="L83" i="100" s="1"/>
  <c r="K83" i="100" a="1"/>
  <c r="K83" i="100" s="1"/>
  <c r="J83" i="100" a="1"/>
  <c r="J83" i="100" s="1"/>
  <c r="I83" i="100" a="1"/>
  <c r="I83" i="100" s="1"/>
  <c r="H83" i="100" a="1"/>
  <c r="H83" i="100" s="1"/>
  <c r="G83" i="100" a="1"/>
  <c r="G83" i="100" s="1"/>
  <c r="F83" i="100" a="1"/>
  <c r="F83" i="100" s="1"/>
  <c r="E83" i="100" a="1"/>
  <c r="E83" i="100" s="1"/>
  <c r="D83" i="100" a="1"/>
  <c r="D83" i="100" s="1"/>
  <c r="T82" i="100"/>
  <c r="S82" i="100" a="1"/>
  <c r="S82" i="100" s="1"/>
  <c r="R82" i="100" a="1"/>
  <c r="R82" i="100" s="1"/>
  <c r="Q82" i="100" a="1"/>
  <c r="Q82" i="100" s="1"/>
  <c r="P82" i="100" a="1"/>
  <c r="P82" i="100" s="1"/>
  <c r="O82" i="100" a="1"/>
  <c r="O82" i="100" s="1"/>
  <c r="N82" i="100" a="1"/>
  <c r="N82" i="100" s="1"/>
  <c r="M82" i="100" a="1"/>
  <c r="M82" i="100" s="1"/>
  <c r="L82" i="100" a="1"/>
  <c r="L82" i="100" s="1"/>
  <c r="K82" i="100" a="1"/>
  <c r="K82" i="100" s="1"/>
  <c r="J82" i="100" a="1"/>
  <c r="J82" i="100" s="1"/>
  <c r="I82" i="100" a="1"/>
  <c r="I82" i="100" s="1"/>
  <c r="H82" i="100" a="1"/>
  <c r="H82" i="100" s="1"/>
  <c r="G82" i="100" a="1"/>
  <c r="G82" i="100" s="1"/>
  <c r="F82" i="100" a="1"/>
  <c r="F82" i="100" s="1"/>
  <c r="E82" i="100" a="1"/>
  <c r="E82" i="100" s="1"/>
  <c r="D82" i="100" a="1"/>
  <c r="D82" i="100" s="1"/>
  <c r="T80" i="100" a="1"/>
  <c r="T80" i="100" s="1"/>
  <c r="S80" i="100" a="1"/>
  <c r="S80" i="100" s="1"/>
  <c r="R80" i="100" a="1"/>
  <c r="R80" i="100" s="1"/>
  <c r="Q80" i="100" a="1"/>
  <c r="Q80" i="100" s="1"/>
  <c r="P80" i="100" a="1"/>
  <c r="P80" i="100" s="1"/>
  <c r="O80" i="100" a="1"/>
  <c r="O80" i="100" s="1"/>
  <c r="N80" i="100" a="1"/>
  <c r="N80" i="100" s="1"/>
  <c r="M80" i="100" a="1"/>
  <c r="M80" i="100" s="1"/>
  <c r="L80" i="100" a="1"/>
  <c r="L80" i="100" s="1"/>
  <c r="K80" i="100" a="1"/>
  <c r="K80" i="100" s="1"/>
  <c r="J80" i="100" a="1"/>
  <c r="J80" i="100" s="1"/>
  <c r="I80" i="100" a="1"/>
  <c r="I80" i="100" s="1"/>
  <c r="H80" i="100" a="1"/>
  <c r="H80" i="100" s="1"/>
  <c r="G80" i="100" a="1"/>
  <c r="G80" i="100" s="1"/>
  <c r="F80" i="100" a="1"/>
  <c r="F80" i="100" s="1"/>
  <c r="E80" i="100" a="1"/>
  <c r="E80" i="100" s="1"/>
  <c r="T79" i="100" a="1"/>
  <c r="T79" i="100" s="1"/>
  <c r="S79" i="100" a="1"/>
  <c r="S79" i="100" s="1"/>
  <c r="R79" i="100" a="1"/>
  <c r="R79" i="100" s="1"/>
  <c r="Q79" i="100" a="1"/>
  <c r="Q79" i="100" s="1"/>
  <c r="P79" i="100" a="1"/>
  <c r="P79" i="100" s="1"/>
  <c r="O79" i="100" a="1"/>
  <c r="O79" i="100" s="1"/>
  <c r="N79" i="100" a="1"/>
  <c r="N79" i="100" s="1"/>
  <c r="M79" i="100" a="1"/>
  <c r="M79" i="100" s="1"/>
  <c r="L79" i="100" a="1"/>
  <c r="L79" i="100" s="1"/>
  <c r="K79" i="100" a="1"/>
  <c r="K79" i="100" s="1"/>
  <c r="J79" i="100" a="1"/>
  <c r="J79" i="100" s="1"/>
  <c r="I79" i="100" a="1"/>
  <c r="I79" i="100" s="1"/>
  <c r="H79" i="100" a="1"/>
  <c r="H79" i="100" s="1"/>
  <c r="G79" i="100" a="1"/>
  <c r="G79" i="100" s="1"/>
  <c r="F79" i="100" a="1"/>
  <c r="F79" i="100" s="1"/>
  <c r="E79" i="100" a="1"/>
  <c r="E79" i="100" s="1"/>
  <c r="D79" i="100" a="1"/>
  <c r="D79" i="100" s="1"/>
  <c r="T78" i="100" a="1"/>
  <c r="T78" i="100" s="1"/>
  <c r="S78" i="100" a="1"/>
  <c r="S78" i="100" s="1"/>
  <c r="R78" i="100" a="1"/>
  <c r="R78" i="100" s="1"/>
  <c r="Q78" i="100" a="1"/>
  <c r="Q78" i="100" s="1"/>
  <c r="P78" i="100" a="1"/>
  <c r="P78" i="100" s="1"/>
  <c r="O78" i="100" a="1"/>
  <c r="O78" i="100" s="1"/>
  <c r="N78" i="100" a="1"/>
  <c r="N78" i="100" s="1"/>
  <c r="M78" i="100" a="1"/>
  <c r="M78" i="100" s="1"/>
  <c r="L78" i="100" a="1"/>
  <c r="L78" i="100" s="1"/>
  <c r="K78" i="100" a="1"/>
  <c r="K78" i="100" s="1"/>
  <c r="J78" i="100" a="1"/>
  <c r="J78" i="100" s="1"/>
  <c r="I78" i="100" a="1"/>
  <c r="I78" i="100" s="1"/>
  <c r="H78" i="100" a="1"/>
  <c r="H78" i="100" s="1"/>
  <c r="G78" i="100" a="1"/>
  <c r="G78" i="100" s="1"/>
  <c r="F78" i="100" a="1"/>
  <c r="F78" i="100" s="1"/>
  <c r="E78" i="100" a="1"/>
  <c r="E78" i="100" s="1"/>
  <c r="D78" i="100" a="1"/>
  <c r="D78" i="100" s="1"/>
  <c r="T77" i="100"/>
  <c r="S77" i="100" a="1"/>
  <c r="S77" i="100" s="1"/>
  <c r="R77" i="100" a="1"/>
  <c r="R77" i="100" s="1"/>
  <c r="Q77" i="100" a="1"/>
  <c r="Q77" i="100" s="1"/>
  <c r="P77" i="100" a="1"/>
  <c r="P77" i="100" s="1"/>
  <c r="O77" i="100" a="1"/>
  <c r="O77" i="100" s="1"/>
  <c r="N77" i="100" a="1"/>
  <c r="N77" i="100" s="1"/>
  <c r="M77" i="100" a="1"/>
  <c r="M77" i="100" s="1"/>
  <c r="L77" i="100" a="1"/>
  <c r="L77" i="100" s="1"/>
  <c r="K77" i="100" a="1"/>
  <c r="K77" i="100" s="1"/>
  <c r="J77" i="100" a="1"/>
  <c r="J77" i="100" s="1"/>
  <c r="I77" i="100" a="1"/>
  <c r="I77" i="100" s="1"/>
  <c r="H77" i="100" a="1"/>
  <c r="H77" i="100" s="1"/>
  <c r="G77" i="100" a="1"/>
  <c r="G77" i="100" s="1"/>
  <c r="F77" i="100" a="1"/>
  <c r="F77" i="100" s="1"/>
  <c r="E77" i="100" a="1"/>
  <c r="E77" i="100" s="1"/>
  <c r="D77" i="100" a="1"/>
  <c r="D77" i="100" s="1"/>
  <c r="T72" i="100"/>
  <c r="S72" i="100"/>
  <c r="R72" i="100"/>
  <c r="Q72" i="100"/>
  <c r="P72" i="100"/>
  <c r="O72" i="100"/>
  <c r="N72" i="100"/>
  <c r="M72" i="100"/>
  <c r="L72" i="100"/>
  <c r="K72" i="100"/>
  <c r="J72" i="100"/>
  <c r="I72" i="100"/>
  <c r="H72" i="100"/>
  <c r="G72" i="100"/>
  <c r="F72" i="100"/>
  <c r="E72" i="100"/>
  <c r="D72" i="100"/>
  <c r="T70" i="100"/>
  <c r="S70" i="100"/>
  <c r="R70" i="100"/>
  <c r="Q70" i="100"/>
  <c r="P70" i="100"/>
  <c r="O70" i="100"/>
  <c r="N70" i="100"/>
  <c r="M70" i="100"/>
  <c r="L70" i="100"/>
  <c r="K70" i="100"/>
  <c r="J70" i="100"/>
  <c r="I70" i="100"/>
  <c r="H70" i="100"/>
  <c r="G70" i="100"/>
  <c r="F70" i="100"/>
  <c r="E70" i="100"/>
  <c r="D70" i="100"/>
  <c r="T69" i="100"/>
  <c r="S69" i="100"/>
  <c r="R69" i="100"/>
  <c r="Q69" i="100"/>
  <c r="P69" i="100"/>
  <c r="O69" i="100"/>
  <c r="N69" i="100"/>
  <c r="M69" i="100"/>
  <c r="L69" i="100"/>
  <c r="K69" i="100"/>
  <c r="J69" i="100"/>
  <c r="I69" i="100"/>
  <c r="H69" i="100"/>
  <c r="G69" i="100"/>
  <c r="F69" i="100"/>
  <c r="E69" i="100"/>
  <c r="D69" i="100"/>
  <c r="T68" i="100"/>
  <c r="S68" i="100"/>
  <c r="R68" i="100"/>
  <c r="Q68" i="100"/>
  <c r="P68" i="100"/>
  <c r="O68" i="100"/>
  <c r="N68" i="100"/>
  <c r="M68" i="100"/>
  <c r="L68" i="100"/>
  <c r="K68" i="100"/>
  <c r="J68" i="100"/>
  <c r="I68" i="100"/>
  <c r="H68" i="100"/>
  <c r="G68" i="100"/>
  <c r="F68" i="100"/>
  <c r="E68" i="100"/>
  <c r="D68" i="100"/>
  <c r="T67" i="100"/>
  <c r="S67" i="100"/>
  <c r="R67" i="100"/>
  <c r="Q67" i="100"/>
  <c r="P67" i="100"/>
  <c r="O67" i="100"/>
  <c r="N67" i="100"/>
  <c r="M67" i="100"/>
  <c r="L67" i="100"/>
  <c r="K67" i="100"/>
  <c r="J67" i="100"/>
  <c r="I67" i="100"/>
  <c r="H67" i="100"/>
  <c r="G67" i="100"/>
  <c r="F67" i="100"/>
  <c r="E67" i="100"/>
  <c r="D67" i="100"/>
  <c r="T65" i="100"/>
  <c r="S65" i="100"/>
  <c r="R65" i="100"/>
  <c r="Q65" i="100"/>
  <c r="P65" i="100"/>
  <c r="O65" i="100"/>
  <c r="N65" i="100"/>
  <c r="M65" i="100"/>
  <c r="L65" i="100"/>
  <c r="K65" i="100"/>
  <c r="J65" i="100"/>
  <c r="I65" i="100"/>
  <c r="H65" i="100"/>
  <c r="G65" i="100"/>
  <c r="F65" i="100"/>
  <c r="E65" i="100"/>
  <c r="D65" i="100"/>
  <c r="T64" i="100"/>
  <c r="S64" i="100"/>
  <c r="R64" i="100"/>
  <c r="Q64" i="100"/>
  <c r="P64" i="100"/>
  <c r="O64" i="100"/>
  <c r="N64" i="100"/>
  <c r="M64" i="100"/>
  <c r="L64" i="100"/>
  <c r="K64" i="100"/>
  <c r="J64" i="100"/>
  <c r="I64" i="100"/>
  <c r="H64" i="100"/>
  <c r="G64" i="100"/>
  <c r="F64" i="100"/>
  <c r="E64" i="100"/>
  <c r="D64" i="100"/>
  <c r="T63" i="100"/>
  <c r="S63" i="100"/>
  <c r="R63" i="100"/>
  <c r="Q63" i="100"/>
  <c r="P63" i="100"/>
  <c r="O63" i="100"/>
  <c r="N63" i="100"/>
  <c r="M63" i="100"/>
  <c r="L63" i="100"/>
  <c r="K63" i="100"/>
  <c r="J63" i="100"/>
  <c r="I63" i="100"/>
  <c r="H63" i="100"/>
  <c r="G63" i="100"/>
  <c r="F63" i="100"/>
  <c r="E63" i="100"/>
  <c r="D63" i="100"/>
  <c r="T62" i="100"/>
  <c r="S62" i="100"/>
  <c r="R62" i="100"/>
  <c r="Q62" i="100"/>
  <c r="P62" i="100"/>
  <c r="O62" i="100"/>
  <c r="N62" i="100"/>
  <c r="M62" i="100"/>
  <c r="L62" i="100"/>
  <c r="K62" i="100"/>
  <c r="J62" i="100"/>
  <c r="I62" i="100"/>
  <c r="H62" i="100"/>
  <c r="G62" i="100"/>
  <c r="F62" i="100"/>
  <c r="E62" i="100"/>
  <c r="D62" i="100"/>
  <c r="T60" i="100"/>
  <c r="S60" i="100"/>
  <c r="R60" i="100"/>
  <c r="Q60" i="100"/>
  <c r="P60" i="100"/>
  <c r="O60" i="100"/>
  <c r="N60" i="100"/>
  <c r="M60" i="100"/>
  <c r="L60" i="100"/>
  <c r="K60" i="100"/>
  <c r="J60" i="100"/>
  <c r="I60" i="100"/>
  <c r="H60" i="100"/>
  <c r="G60" i="100"/>
  <c r="F60" i="100"/>
  <c r="E60" i="100"/>
  <c r="D60" i="100"/>
  <c r="T59" i="100"/>
  <c r="S59" i="100"/>
  <c r="R59" i="100"/>
  <c r="Q59" i="100"/>
  <c r="P59" i="100"/>
  <c r="O59" i="100"/>
  <c r="N59" i="100"/>
  <c r="M59" i="100"/>
  <c r="L59" i="100"/>
  <c r="K59" i="100"/>
  <c r="J59" i="100"/>
  <c r="I59" i="100"/>
  <c r="H59" i="100"/>
  <c r="G59" i="100"/>
  <c r="F59" i="100"/>
  <c r="E59" i="100"/>
  <c r="D59" i="100"/>
  <c r="T58" i="100"/>
  <c r="S58" i="100"/>
  <c r="R58" i="100"/>
  <c r="Q58" i="100"/>
  <c r="P58" i="100"/>
  <c r="O58" i="100"/>
  <c r="N58" i="100"/>
  <c r="M58" i="100"/>
  <c r="L58" i="100"/>
  <c r="K58" i="100"/>
  <c r="J58" i="100"/>
  <c r="I58" i="100"/>
  <c r="H58" i="100"/>
  <c r="G58" i="100"/>
  <c r="F58" i="100"/>
  <c r="E58" i="100"/>
  <c r="D58" i="100"/>
  <c r="T57" i="100"/>
  <c r="S57" i="100"/>
  <c r="R57" i="100"/>
  <c r="Q57" i="100"/>
  <c r="P57" i="100"/>
  <c r="O57" i="100"/>
  <c r="N57" i="100"/>
  <c r="M57" i="100"/>
  <c r="L57" i="100"/>
  <c r="K57" i="100"/>
  <c r="J57" i="100"/>
  <c r="I57" i="100"/>
  <c r="H57" i="100"/>
  <c r="G57" i="100"/>
  <c r="F57" i="100"/>
  <c r="E57" i="100"/>
  <c r="D57" i="100"/>
  <c r="T55" i="100"/>
  <c r="S55" i="100"/>
  <c r="R55" i="100"/>
  <c r="Q55" i="100"/>
  <c r="P55" i="100"/>
  <c r="O55" i="100"/>
  <c r="N55" i="100"/>
  <c r="M55" i="100"/>
  <c r="L55" i="100"/>
  <c r="K55" i="100"/>
  <c r="J55" i="100"/>
  <c r="I55" i="100"/>
  <c r="H55" i="100"/>
  <c r="G55" i="100"/>
  <c r="F55" i="100"/>
  <c r="E55" i="100"/>
  <c r="D55" i="100"/>
  <c r="T54" i="100"/>
  <c r="S54" i="100"/>
  <c r="R54" i="100"/>
  <c r="Q54" i="100"/>
  <c r="P54" i="100"/>
  <c r="O54" i="100"/>
  <c r="N54" i="100"/>
  <c r="M54" i="100"/>
  <c r="L54" i="100"/>
  <c r="K54" i="100"/>
  <c r="J54" i="100"/>
  <c r="I54" i="100"/>
  <c r="H54" i="100"/>
  <c r="G54" i="100"/>
  <c r="F54" i="100"/>
  <c r="E54" i="100"/>
  <c r="D54" i="100"/>
  <c r="T53" i="100"/>
  <c r="S53" i="100"/>
  <c r="R53" i="100"/>
  <c r="Q53" i="100"/>
  <c r="P53" i="100"/>
  <c r="O53" i="100"/>
  <c r="N53" i="100"/>
  <c r="M53" i="100"/>
  <c r="L53" i="100"/>
  <c r="K53" i="100"/>
  <c r="J53" i="100"/>
  <c r="I53" i="100"/>
  <c r="H53" i="100"/>
  <c r="G53" i="100"/>
  <c r="F53" i="100"/>
  <c r="E53" i="100"/>
  <c r="D53" i="100"/>
  <c r="T52" i="100"/>
  <c r="S52" i="100"/>
  <c r="R52" i="100"/>
  <c r="Q52" i="100"/>
  <c r="P52" i="100"/>
  <c r="O52" i="100"/>
  <c r="N52" i="100"/>
  <c r="M52" i="100"/>
  <c r="L52" i="100"/>
  <c r="K52" i="100"/>
  <c r="J52" i="100"/>
  <c r="I52" i="100"/>
  <c r="H52" i="100"/>
  <c r="G52" i="100"/>
  <c r="F52" i="100"/>
  <c r="E52" i="100"/>
  <c r="D52" i="100"/>
  <c r="T50" i="100"/>
  <c r="S50" i="100"/>
  <c r="R50" i="100"/>
  <c r="Q50" i="100"/>
  <c r="P50" i="100"/>
  <c r="O50" i="100"/>
  <c r="N50" i="100"/>
  <c r="M50" i="100"/>
  <c r="L50" i="100"/>
  <c r="K50" i="100"/>
  <c r="J50" i="100"/>
  <c r="I50" i="100"/>
  <c r="H50" i="100"/>
  <c r="G50" i="100"/>
  <c r="F50" i="100"/>
  <c r="E50" i="100"/>
  <c r="D50" i="100"/>
  <c r="T49" i="100"/>
  <c r="S49" i="100"/>
  <c r="R49" i="100"/>
  <c r="Q49" i="100"/>
  <c r="P49" i="100"/>
  <c r="O49" i="100"/>
  <c r="N49" i="100"/>
  <c r="M49" i="100"/>
  <c r="L49" i="100"/>
  <c r="K49" i="100"/>
  <c r="J49" i="100"/>
  <c r="I49" i="100"/>
  <c r="H49" i="100"/>
  <c r="G49" i="100"/>
  <c r="F49" i="100"/>
  <c r="E49" i="100"/>
  <c r="D49" i="100"/>
  <c r="T48" i="100"/>
  <c r="S48" i="100"/>
  <c r="R48" i="100"/>
  <c r="Q48" i="100"/>
  <c r="P48" i="100"/>
  <c r="O48" i="100"/>
  <c r="N48" i="100"/>
  <c r="M48" i="100"/>
  <c r="L48" i="100"/>
  <c r="K48" i="100"/>
  <c r="J48" i="100"/>
  <c r="I48" i="100"/>
  <c r="H48" i="100"/>
  <c r="G48" i="100"/>
  <c r="F48" i="100"/>
  <c r="E48" i="100"/>
  <c r="D48" i="100"/>
  <c r="T47" i="100"/>
  <c r="S47" i="100"/>
  <c r="R47" i="100"/>
  <c r="Q47" i="100"/>
  <c r="P47" i="100"/>
  <c r="O47" i="100"/>
  <c r="N47" i="100"/>
  <c r="M47" i="100"/>
  <c r="L47" i="100"/>
  <c r="K47" i="100"/>
  <c r="J47" i="100"/>
  <c r="I47" i="100"/>
  <c r="H47" i="100"/>
  <c r="G47" i="100"/>
  <c r="F47" i="100"/>
  <c r="E47" i="100"/>
  <c r="D47" i="100"/>
  <c r="T45" i="100"/>
  <c r="S45" i="100"/>
  <c r="R45" i="100"/>
  <c r="Q45" i="100"/>
  <c r="P45" i="100"/>
  <c r="O45" i="100"/>
  <c r="N45" i="100"/>
  <c r="M45" i="100"/>
  <c r="L45" i="100"/>
  <c r="K45" i="100"/>
  <c r="J45" i="100"/>
  <c r="I45" i="100"/>
  <c r="H45" i="100"/>
  <c r="G45" i="100"/>
  <c r="F45" i="100"/>
  <c r="E45" i="100"/>
  <c r="D45" i="100"/>
  <c r="T44" i="100"/>
  <c r="S44" i="100"/>
  <c r="R44" i="100"/>
  <c r="Q44" i="100"/>
  <c r="P44" i="100"/>
  <c r="O44" i="100"/>
  <c r="N44" i="100"/>
  <c r="M44" i="100"/>
  <c r="L44" i="100"/>
  <c r="K44" i="100"/>
  <c r="J44" i="100"/>
  <c r="I44" i="100"/>
  <c r="H44" i="100"/>
  <c r="G44" i="100"/>
  <c r="F44" i="100"/>
  <c r="E44" i="100"/>
  <c r="D44" i="100"/>
  <c r="T43" i="100"/>
  <c r="S43" i="100"/>
  <c r="R43" i="100"/>
  <c r="Q43" i="100"/>
  <c r="P43" i="100"/>
  <c r="O43" i="100"/>
  <c r="N43" i="100"/>
  <c r="M43" i="100"/>
  <c r="L43" i="100"/>
  <c r="K43" i="100"/>
  <c r="J43" i="100"/>
  <c r="I43" i="100"/>
  <c r="H43" i="100"/>
  <c r="G43" i="100"/>
  <c r="F43" i="100"/>
  <c r="E43" i="100"/>
  <c r="D43" i="100"/>
  <c r="T42" i="100"/>
  <c r="S42" i="100"/>
  <c r="R42" i="100"/>
  <c r="Q42" i="100"/>
  <c r="P42" i="100"/>
  <c r="O42" i="100"/>
  <c r="N42" i="100"/>
  <c r="M42" i="100"/>
  <c r="L42" i="100"/>
  <c r="K42" i="100"/>
  <c r="J42" i="100"/>
  <c r="I42" i="100"/>
  <c r="H42" i="100"/>
  <c r="G42" i="100"/>
  <c r="F42" i="100"/>
  <c r="E42" i="100"/>
  <c r="D42" i="100"/>
  <c r="T40" i="100"/>
  <c r="S40" i="100"/>
  <c r="R40" i="100"/>
  <c r="Q40" i="100"/>
  <c r="P40" i="100"/>
  <c r="O40" i="100"/>
  <c r="N40" i="100"/>
  <c r="M40" i="100"/>
  <c r="L40" i="100"/>
  <c r="K40" i="100"/>
  <c r="J40" i="100"/>
  <c r="I40" i="100"/>
  <c r="H40" i="100"/>
  <c r="G40" i="100"/>
  <c r="F40" i="100"/>
  <c r="E40" i="100"/>
  <c r="D40" i="100"/>
  <c r="T39" i="100"/>
  <c r="S39" i="100"/>
  <c r="R39" i="100"/>
  <c r="Q39" i="100"/>
  <c r="P39" i="100"/>
  <c r="O39" i="100"/>
  <c r="N39" i="100"/>
  <c r="M39" i="100"/>
  <c r="L39" i="100"/>
  <c r="K39" i="100"/>
  <c r="J39" i="100"/>
  <c r="I39" i="100"/>
  <c r="H39" i="100"/>
  <c r="G39" i="100"/>
  <c r="F39" i="100"/>
  <c r="E39" i="100"/>
  <c r="D39" i="100"/>
  <c r="T38" i="100"/>
  <c r="S38" i="100"/>
  <c r="R38" i="100"/>
  <c r="Q38" i="100"/>
  <c r="P38" i="100"/>
  <c r="O38" i="100"/>
  <c r="N38" i="100"/>
  <c r="M38" i="100"/>
  <c r="L38" i="100"/>
  <c r="K38" i="100"/>
  <c r="J38" i="100"/>
  <c r="I38" i="100"/>
  <c r="H38" i="100"/>
  <c r="G38" i="100"/>
  <c r="F38" i="100"/>
  <c r="E38" i="100"/>
  <c r="D38" i="100"/>
  <c r="T37" i="100"/>
  <c r="S37" i="100"/>
  <c r="R37" i="100"/>
  <c r="Q37" i="100"/>
  <c r="P37" i="100"/>
  <c r="O37" i="100"/>
  <c r="N37" i="100"/>
  <c r="M37" i="100"/>
  <c r="L37" i="100"/>
  <c r="K37" i="100"/>
  <c r="J37" i="100"/>
  <c r="I37" i="100"/>
  <c r="H37" i="100"/>
  <c r="G37" i="100"/>
  <c r="F37" i="100"/>
  <c r="E37" i="100"/>
  <c r="D37" i="100"/>
  <c r="T35" i="100"/>
  <c r="S35" i="100"/>
  <c r="R35" i="100"/>
  <c r="Q35" i="100"/>
  <c r="P35" i="100"/>
  <c r="O35" i="100"/>
  <c r="N35" i="100"/>
  <c r="M35" i="100"/>
  <c r="L35" i="100"/>
  <c r="K35" i="100"/>
  <c r="J35" i="100"/>
  <c r="I35" i="100"/>
  <c r="H35" i="100"/>
  <c r="G35" i="100"/>
  <c r="F35" i="100"/>
  <c r="E35" i="100"/>
  <c r="D35" i="100"/>
  <c r="T34" i="100"/>
  <c r="S34" i="100"/>
  <c r="R34" i="100"/>
  <c r="Q34" i="100"/>
  <c r="P34" i="100"/>
  <c r="O34" i="100"/>
  <c r="N34" i="100"/>
  <c r="M34" i="100"/>
  <c r="L34" i="100"/>
  <c r="K34" i="100"/>
  <c r="J34" i="100"/>
  <c r="I34" i="100"/>
  <c r="H34" i="100"/>
  <c r="G34" i="100"/>
  <c r="F34" i="100"/>
  <c r="E34" i="100"/>
  <c r="D34" i="100"/>
  <c r="T33" i="100"/>
  <c r="S33" i="100"/>
  <c r="R33" i="100"/>
  <c r="Q33" i="100"/>
  <c r="P33" i="100"/>
  <c r="O33" i="100"/>
  <c r="N33" i="100"/>
  <c r="M33" i="100"/>
  <c r="L33" i="100"/>
  <c r="K33" i="100"/>
  <c r="J33" i="100"/>
  <c r="I33" i="100"/>
  <c r="H33" i="100"/>
  <c r="G33" i="100"/>
  <c r="F33" i="100"/>
  <c r="E33" i="100"/>
  <c r="D33" i="100"/>
  <c r="T32" i="100"/>
  <c r="S32" i="100"/>
  <c r="R32" i="100"/>
  <c r="Q32" i="100"/>
  <c r="P32" i="100"/>
  <c r="O32" i="100"/>
  <c r="N32" i="100"/>
  <c r="M32" i="100"/>
  <c r="L32" i="100"/>
  <c r="K32" i="100"/>
  <c r="J32" i="100"/>
  <c r="I32" i="100"/>
  <c r="H32" i="100"/>
  <c r="G32" i="100"/>
  <c r="F32" i="100"/>
  <c r="E32" i="100"/>
  <c r="D32" i="100"/>
  <c r="T30" i="100"/>
  <c r="S30" i="100"/>
  <c r="R30" i="100"/>
  <c r="Q30" i="100"/>
  <c r="P30" i="100"/>
  <c r="O30" i="100"/>
  <c r="N30" i="100"/>
  <c r="M30" i="100"/>
  <c r="L30" i="100"/>
  <c r="K30" i="100"/>
  <c r="J30" i="100"/>
  <c r="I30" i="100"/>
  <c r="H30" i="100"/>
  <c r="G30" i="100"/>
  <c r="F30" i="100"/>
  <c r="E30" i="100"/>
  <c r="D30" i="100"/>
  <c r="T29" i="100"/>
  <c r="S29" i="100"/>
  <c r="R29" i="100"/>
  <c r="Q29" i="100"/>
  <c r="P29" i="100"/>
  <c r="O29" i="100"/>
  <c r="N29" i="100"/>
  <c r="M29" i="100"/>
  <c r="L29" i="100"/>
  <c r="K29" i="100"/>
  <c r="J29" i="100"/>
  <c r="I29" i="100"/>
  <c r="H29" i="100"/>
  <c r="G29" i="100"/>
  <c r="F29" i="100"/>
  <c r="E29" i="100"/>
  <c r="D29" i="100"/>
  <c r="T28" i="100"/>
  <c r="S28" i="100"/>
  <c r="R28" i="100"/>
  <c r="Q28" i="100"/>
  <c r="P28" i="100"/>
  <c r="O28" i="100"/>
  <c r="N28" i="100"/>
  <c r="M28" i="100"/>
  <c r="L28" i="100"/>
  <c r="K28" i="100"/>
  <c r="J28" i="100"/>
  <c r="I28" i="100"/>
  <c r="H28" i="100"/>
  <c r="G28" i="100"/>
  <c r="F28" i="100"/>
  <c r="E28" i="100"/>
  <c r="D28" i="100"/>
  <c r="T27" i="100"/>
  <c r="S27" i="100"/>
  <c r="R27" i="100"/>
  <c r="Q27" i="100"/>
  <c r="P27" i="100"/>
  <c r="O27" i="100"/>
  <c r="N27" i="100"/>
  <c r="M27" i="100"/>
  <c r="L27" i="100"/>
  <c r="K27" i="100"/>
  <c r="J27" i="100"/>
  <c r="I27" i="100"/>
  <c r="H27" i="100"/>
  <c r="G27" i="100"/>
  <c r="F27" i="100"/>
  <c r="E27" i="100"/>
  <c r="D27" i="100"/>
  <c r="T25" i="100"/>
  <c r="S25" i="100"/>
  <c r="R25" i="100"/>
  <c r="Q25" i="100"/>
  <c r="P25" i="100"/>
  <c r="O25" i="100"/>
  <c r="N25" i="100"/>
  <c r="M25" i="100"/>
  <c r="L25" i="100"/>
  <c r="K25" i="100"/>
  <c r="J25" i="100"/>
  <c r="I25" i="100"/>
  <c r="H25" i="100"/>
  <c r="G25" i="100"/>
  <c r="F25" i="100"/>
  <c r="E25" i="100"/>
  <c r="D25" i="100"/>
  <c r="T24" i="100"/>
  <c r="S24" i="100"/>
  <c r="R24" i="100"/>
  <c r="Q24" i="100"/>
  <c r="P24" i="100"/>
  <c r="O24" i="100"/>
  <c r="N24" i="100"/>
  <c r="M24" i="100"/>
  <c r="L24" i="100"/>
  <c r="K24" i="100"/>
  <c r="J24" i="100"/>
  <c r="I24" i="100"/>
  <c r="H24" i="100"/>
  <c r="G24" i="100"/>
  <c r="F24" i="100"/>
  <c r="E24" i="100"/>
  <c r="D24" i="100"/>
  <c r="T23" i="100"/>
  <c r="S23" i="100"/>
  <c r="R23" i="100"/>
  <c r="Q23" i="100"/>
  <c r="P23" i="100"/>
  <c r="O23" i="100"/>
  <c r="N23" i="100"/>
  <c r="M23" i="100"/>
  <c r="L23" i="100"/>
  <c r="K23" i="100"/>
  <c r="J23" i="100"/>
  <c r="I23" i="100"/>
  <c r="H23" i="100"/>
  <c r="G23" i="100"/>
  <c r="F23" i="100"/>
  <c r="E23" i="100"/>
  <c r="D23" i="100"/>
  <c r="T22" i="100"/>
  <c r="S22" i="100"/>
  <c r="R22" i="100"/>
  <c r="Q22" i="100"/>
  <c r="P22" i="100"/>
  <c r="O22" i="100"/>
  <c r="N22" i="100"/>
  <c r="M22" i="100"/>
  <c r="L22" i="100"/>
  <c r="K22" i="100"/>
  <c r="J22" i="100"/>
  <c r="I22" i="100"/>
  <c r="H22" i="100"/>
  <c r="G22" i="100"/>
  <c r="F22" i="100"/>
  <c r="E22" i="100"/>
  <c r="D22" i="100"/>
  <c r="T20" i="100"/>
  <c r="S20" i="100"/>
  <c r="R20" i="100"/>
  <c r="Q20" i="100"/>
  <c r="P20" i="100"/>
  <c r="O20" i="100"/>
  <c r="N20" i="100"/>
  <c r="M20" i="100"/>
  <c r="L20" i="100"/>
  <c r="K20" i="100"/>
  <c r="J20" i="100"/>
  <c r="I20" i="100"/>
  <c r="H20" i="100"/>
  <c r="G20" i="100"/>
  <c r="F20" i="100"/>
  <c r="E20" i="100"/>
  <c r="D20" i="100"/>
  <c r="T19" i="100"/>
  <c r="S19" i="100"/>
  <c r="R19" i="100"/>
  <c r="Q19" i="100"/>
  <c r="P19" i="100"/>
  <c r="O19" i="100"/>
  <c r="N19" i="100"/>
  <c r="M19" i="100"/>
  <c r="L19" i="100"/>
  <c r="K19" i="100"/>
  <c r="J19" i="100"/>
  <c r="I19" i="100"/>
  <c r="H19" i="100"/>
  <c r="G19" i="100"/>
  <c r="F19" i="100"/>
  <c r="E19" i="100"/>
  <c r="D19" i="100"/>
  <c r="T18" i="100"/>
  <c r="S18" i="100"/>
  <c r="R18" i="100"/>
  <c r="Q18" i="100"/>
  <c r="P18" i="100"/>
  <c r="O18" i="100"/>
  <c r="N18" i="100"/>
  <c r="M18" i="100"/>
  <c r="L18" i="100"/>
  <c r="K18" i="100"/>
  <c r="J18" i="100"/>
  <c r="I18" i="100"/>
  <c r="H18" i="100"/>
  <c r="G18" i="100"/>
  <c r="F18" i="100"/>
  <c r="E18" i="100"/>
  <c r="D18" i="100"/>
  <c r="T17" i="100"/>
  <c r="S17" i="100"/>
  <c r="R17" i="100"/>
  <c r="Q17" i="100"/>
  <c r="P17" i="100"/>
  <c r="O17" i="100"/>
  <c r="N17" i="100"/>
  <c r="M17" i="100"/>
  <c r="L17" i="100"/>
  <c r="K17" i="100"/>
  <c r="J17" i="100"/>
  <c r="I17" i="100"/>
  <c r="H17" i="100"/>
  <c r="G17" i="100"/>
  <c r="F17" i="100"/>
  <c r="E17" i="100"/>
  <c r="D17" i="100"/>
  <c r="T15" i="100"/>
  <c r="S15" i="100"/>
  <c r="R15" i="100"/>
  <c r="Q15" i="100"/>
  <c r="P15" i="100"/>
  <c r="O15" i="100"/>
  <c r="N15" i="100"/>
  <c r="M15" i="100"/>
  <c r="L15" i="100"/>
  <c r="K15" i="100"/>
  <c r="J15" i="100"/>
  <c r="I15" i="100"/>
  <c r="H15" i="100"/>
  <c r="G15" i="100"/>
  <c r="E15" i="100"/>
  <c r="D15" i="100"/>
  <c r="T14" i="100"/>
  <c r="S14" i="100"/>
  <c r="R14" i="100"/>
  <c r="Q14" i="100"/>
  <c r="P14" i="100"/>
  <c r="O14" i="100"/>
  <c r="N14" i="100"/>
  <c r="M14" i="100"/>
  <c r="L14" i="100"/>
  <c r="K14" i="100"/>
  <c r="J14" i="100"/>
  <c r="I14" i="100"/>
  <c r="H14" i="100"/>
  <c r="G14" i="100"/>
  <c r="F14" i="100"/>
  <c r="E14" i="100"/>
  <c r="D14" i="100"/>
  <c r="T13" i="100"/>
  <c r="S13" i="100"/>
  <c r="R13" i="100"/>
  <c r="Q13" i="100"/>
  <c r="P13" i="100"/>
  <c r="O13" i="100"/>
  <c r="N13" i="100"/>
  <c r="M13" i="100"/>
  <c r="L13" i="100"/>
  <c r="K13" i="100"/>
  <c r="J13" i="100"/>
  <c r="I13" i="100"/>
  <c r="H13" i="100"/>
  <c r="G13" i="100"/>
  <c r="E13" i="100"/>
  <c r="D13" i="100"/>
  <c r="T12" i="100"/>
  <c r="S12" i="100"/>
  <c r="R12" i="100"/>
  <c r="Q12" i="100"/>
  <c r="P12" i="100"/>
  <c r="O12" i="100"/>
  <c r="N12" i="100"/>
  <c r="M12" i="100"/>
  <c r="L12" i="100"/>
  <c r="K12" i="100"/>
  <c r="J12" i="100"/>
  <c r="I12" i="100"/>
  <c r="H12" i="100"/>
  <c r="G12" i="100"/>
  <c r="F12" i="100"/>
  <c r="E12" i="100"/>
  <c r="D12" i="100"/>
  <c r="T10" i="100"/>
  <c r="S10" i="100"/>
  <c r="R10" i="100"/>
  <c r="Q10" i="100"/>
  <c r="P10" i="100"/>
  <c r="O10" i="100"/>
  <c r="N10" i="100"/>
  <c r="M10" i="100"/>
  <c r="L10" i="100"/>
  <c r="K10" i="100"/>
  <c r="J10" i="100"/>
  <c r="I10" i="100"/>
  <c r="H10" i="100"/>
  <c r="G10" i="100"/>
  <c r="F10" i="100"/>
  <c r="E10" i="100"/>
  <c r="D10" i="100"/>
  <c r="T9" i="100"/>
  <c r="S9" i="100"/>
  <c r="R9" i="100"/>
  <c r="Q9" i="100"/>
  <c r="P9" i="100"/>
  <c r="O9" i="100"/>
  <c r="N9" i="100"/>
  <c r="M9" i="100"/>
  <c r="L9" i="100"/>
  <c r="K9" i="100"/>
  <c r="J9" i="100"/>
  <c r="I9" i="100"/>
  <c r="H9" i="100"/>
  <c r="G9" i="100"/>
  <c r="F9" i="100"/>
  <c r="E9" i="100"/>
  <c r="D9" i="100"/>
  <c r="T8" i="100"/>
  <c r="S8" i="100"/>
  <c r="R8" i="100"/>
  <c r="Q8" i="100"/>
  <c r="P8" i="100"/>
  <c r="O8" i="100"/>
  <c r="N8" i="100"/>
  <c r="M8" i="100"/>
  <c r="L8" i="100"/>
  <c r="K8" i="100"/>
  <c r="J8" i="100"/>
  <c r="I8" i="100"/>
  <c r="H8" i="100"/>
  <c r="G8" i="100"/>
  <c r="F8" i="100"/>
  <c r="E8" i="100"/>
  <c r="D8" i="100"/>
  <c r="T7" i="100"/>
  <c r="S7" i="100"/>
  <c r="R7" i="100"/>
  <c r="Q7" i="100"/>
  <c r="P7" i="100"/>
  <c r="O7" i="100"/>
  <c r="N7" i="100"/>
  <c r="M7" i="100"/>
  <c r="L7" i="100"/>
  <c r="K7" i="100"/>
  <c r="J7" i="100"/>
  <c r="I7" i="100"/>
  <c r="H7" i="100"/>
  <c r="G7" i="100"/>
  <c r="F7" i="100"/>
  <c r="E7" i="100"/>
  <c r="D7" i="100"/>
  <c r="G37" i="114"/>
  <c r="G34" i="114"/>
  <c r="D34" i="114"/>
  <c r="C34" i="114"/>
  <c r="G33" i="114"/>
  <c r="J29" i="114"/>
  <c r="I29" i="114"/>
  <c r="G29" i="114"/>
  <c r="F29" i="114"/>
  <c r="D29" i="114"/>
  <c r="C29" i="114"/>
  <c r="J28" i="114"/>
  <c r="I28" i="114"/>
  <c r="G28" i="114"/>
  <c r="F28" i="114"/>
  <c r="D28" i="114"/>
  <c r="C28" i="114"/>
  <c r="B28" i="114"/>
  <c r="H22" i="114"/>
  <c r="F22" i="114"/>
  <c r="D22" i="114"/>
  <c r="C22" i="114"/>
  <c r="H21" i="114"/>
  <c r="F21" i="114"/>
  <c r="D21" i="114"/>
  <c r="C21" i="114"/>
  <c r="B21" i="114"/>
  <c r="L16" i="114"/>
  <c r="K16" i="114"/>
  <c r="I16" i="114"/>
  <c r="G16" i="114"/>
  <c r="F16" i="114"/>
  <c r="D16" i="114"/>
  <c r="C16" i="114"/>
  <c r="L15" i="114"/>
  <c r="K15" i="114"/>
  <c r="I15" i="114"/>
  <c r="G15" i="114"/>
  <c r="F15" i="114"/>
  <c r="D15" i="114"/>
  <c r="C15" i="114"/>
  <c r="B15" i="114"/>
  <c r="L11" i="114"/>
  <c r="K11" i="114"/>
  <c r="I11" i="114"/>
  <c r="H11" i="114"/>
  <c r="F11" i="114"/>
  <c r="E11" i="114"/>
  <c r="D11" i="114"/>
  <c r="C11" i="114"/>
  <c r="L10" i="114"/>
  <c r="K10" i="114"/>
  <c r="K12" i="114" s="1"/>
  <c r="I10" i="114"/>
  <c r="I12" i="114" s="1"/>
  <c r="H10" i="114"/>
  <c r="H12" i="114" s="1"/>
  <c r="F10" i="114"/>
  <c r="E10" i="114"/>
  <c r="E12" i="114" s="1"/>
  <c r="D10" i="114"/>
  <c r="D12" i="114" s="1"/>
  <c r="C10" i="114"/>
  <c r="C12" i="114" s="1"/>
  <c r="B10" i="114"/>
  <c r="U123" i="98"/>
  <c r="B123" i="98"/>
  <c r="U116" i="98"/>
  <c r="B116" i="98"/>
  <c r="U109" i="98"/>
  <c r="B109" i="98"/>
  <c r="Q128" i="98" s="1"/>
  <c r="U102" i="98"/>
  <c r="B102" i="98"/>
  <c r="Q121" i="98" s="1"/>
  <c r="B94" i="98"/>
  <c r="B87" i="98"/>
  <c r="S91" i="98" s="1"/>
  <c r="D41" i="98"/>
  <c r="D40" i="98"/>
  <c r="D39" i="98"/>
  <c r="D38" i="98"/>
  <c r="G37" i="98"/>
  <c r="D37" i="98"/>
  <c r="G34" i="98"/>
  <c r="D34" i="98"/>
  <c r="C34" i="98"/>
  <c r="G33" i="98"/>
  <c r="J29" i="98"/>
  <c r="I29" i="98"/>
  <c r="G29" i="98"/>
  <c r="F29" i="98"/>
  <c r="D29" i="98"/>
  <c r="C29" i="98"/>
  <c r="J28" i="98"/>
  <c r="I28" i="98"/>
  <c r="G28" i="98"/>
  <c r="F28" i="98"/>
  <c r="D28" i="98"/>
  <c r="C28" i="98"/>
  <c r="B28" i="98"/>
  <c r="H22" i="98"/>
  <c r="F22" i="98"/>
  <c r="D22" i="98"/>
  <c r="C22" i="98"/>
  <c r="F21" i="98"/>
  <c r="D21" i="98"/>
  <c r="C21" i="98"/>
  <c r="B21" i="98"/>
  <c r="L16" i="98"/>
  <c r="K16" i="98"/>
  <c r="I16" i="98"/>
  <c r="G16" i="98"/>
  <c r="F16" i="98"/>
  <c r="D16" i="98"/>
  <c r="C16" i="98"/>
  <c r="L15" i="98"/>
  <c r="K15" i="98"/>
  <c r="I15" i="98"/>
  <c r="G15" i="98"/>
  <c r="F15" i="98"/>
  <c r="D15" i="98"/>
  <c r="C15" i="98"/>
  <c r="L11" i="98"/>
  <c r="K11" i="98"/>
  <c r="I11" i="98"/>
  <c r="H11" i="98"/>
  <c r="F11" i="98"/>
  <c r="E11" i="98"/>
  <c r="D11" i="98"/>
  <c r="C11" i="98"/>
  <c r="L10" i="98"/>
  <c r="L12" i="98" s="1"/>
  <c r="K10" i="98"/>
  <c r="K12" i="98" s="1"/>
  <c r="I10" i="98"/>
  <c r="I12" i="98" s="1"/>
  <c r="H10" i="98"/>
  <c r="H12" i="98" s="1"/>
  <c r="F10" i="98"/>
  <c r="F12" i="98" s="1"/>
  <c r="E10" i="98"/>
  <c r="E12" i="98" s="1"/>
  <c r="D10" i="98"/>
  <c r="C10" i="98"/>
  <c r="C12" i="98" s="1"/>
  <c r="S74" i="117"/>
  <c r="R74" i="117"/>
  <c r="Q74" i="117"/>
  <c r="P74" i="117"/>
  <c r="O74" i="117"/>
  <c r="N74" i="117"/>
  <c r="M74" i="117"/>
  <c r="L74" i="117"/>
  <c r="K74" i="117"/>
  <c r="J74" i="117"/>
  <c r="I74" i="117"/>
  <c r="H74" i="117"/>
  <c r="G74" i="117"/>
  <c r="F74" i="117"/>
  <c r="E74" i="117"/>
  <c r="D74" i="117"/>
  <c r="C74" i="117"/>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B69"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S55" i="117"/>
  <c r="R55" i="117"/>
  <c r="Q55" i="117"/>
  <c r="P55" i="117"/>
  <c r="O55" i="117"/>
  <c r="N55" i="117"/>
  <c r="M55" i="117"/>
  <c r="L55" i="117"/>
  <c r="K55" i="117"/>
  <c r="J55" i="117"/>
  <c r="I55" i="117"/>
  <c r="H55" i="117"/>
  <c r="G55" i="117"/>
  <c r="F55" i="117"/>
  <c r="E55" i="117"/>
  <c r="D55" i="117"/>
  <c r="C55" i="117"/>
  <c r="B53"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S48" i="117"/>
  <c r="R48" i="117"/>
  <c r="Q48" i="117"/>
  <c r="P48" i="117"/>
  <c r="O48" i="117"/>
  <c r="N48" i="117"/>
  <c r="M48" i="117"/>
  <c r="L48" i="117"/>
  <c r="K48" i="117"/>
  <c r="J48" i="117"/>
  <c r="I48" i="117"/>
  <c r="H48" i="117"/>
  <c r="G48" i="117"/>
  <c r="F48" i="117"/>
  <c r="E48" i="117"/>
  <c r="D48" i="117"/>
  <c r="C48" i="117"/>
  <c r="S47" i="117"/>
  <c r="R47" i="117"/>
  <c r="Q47" i="117"/>
  <c r="P47" i="117"/>
  <c r="O47" i="117"/>
  <c r="N47" i="117"/>
  <c r="M47" i="117"/>
  <c r="L47" i="117"/>
  <c r="K47" i="117"/>
  <c r="J47" i="117"/>
  <c r="I47" i="117"/>
  <c r="H47" i="117"/>
  <c r="G47" i="117"/>
  <c r="F47" i="117"/>
  <c r="E47" i="117"/>
  <c r="D47" i="117"/>
  <c r="C47" i="117"/>
  <c r="B45" i="117"/>
  <c r="S42" i="117"/>
  <c r="R42" i="117"/>
  <c r="Q42" i="117"/>
  <c r="P42" i="117"/>
  <c r="O42" i="117"/>
  <c r="N42" i="117"/>
  <c r="M42" i="117"/>
  <c r="L42" i="117"/>
  <c r="K42" i="117"/>
  <c r="J42" i="117"/>
  <c r="I42" i="117"/>
  <c r="H42" i="117"/>
  <c r="G42" i="117"/>
  <c r="F42" i="117"/>
  <c r="E42" i="117"/>
  <c r="D42" i="117"/>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B37" i="117"/>
  <c r="F31" i="117"/>
  <c r="E31" i="117"/>
  <c r="D31" i="117"/>
  <c r="C31" i="117"/>
  <c r="F30" i="117"/>
  <c r="E30" i="117"/>
  <c r="D30" i="117"/>
  <c r="C30" i="117"/>
  <c r="B30" i="117"/>
  <c r="F25" i="117"/>
  <c r="E25" i="117"/>
  <c r="D25" i="117"/>
  <c r="C25" i="117"/>
  <c r="F24" i="117"/>
  <c r="E24" i="117"/>
  <c r="D24" i="117"/>
  <c r="C24" i="117"/>
  <c r="B24" i="117"/>
  <c r="F19" i="117"/>
  <c r="E19" i="117"/>
  <c r="D19" i="117"/>
  <c r="C19" i="117"/>
  <c r="F18" i="117"/>
  <c r="E18" i="117"/>
  <c r="D18" i="117"/>
  <c r="C18" i="117"/>
  <c r="B18" i="117"/>
  <c r="L12" i="117"/>
  <c r="K12" i="117"/>
  <c r="J12" i="117"/>
  <c r="I12" i="117"/>
  <c r="F12" i="117"/>
  <c r="E12" i="117"/>
  <c r="D12" i="117"/>
  <c r="C12" i="117"/>
  <c r="L11" i="117"/>
  <c r="K11" i="117"/>
  <c r="J11" i="117"/>
  <c r="I11" i="117"/>
  <c r="H11" i="117"/>
  <c r="F11" i="117"/>
  <c r="E11" i="117"/>
  <c r="D11" i="117"/>
  <c r="C11" i="117"/>
  <c r="B11" i="117"/>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S70" i="115"/>
  <c r="R70" i="115"/>
  <c r="Q70" i="115"/>
  <c r="P70" i="115"/>
  <c r="O70" i="115"/>
  <c r="N70" i="115"/>
  <c r="M70" i="115"/>
  <c r="L70" i="115"/>
  <c r="K70" i="115"/>
  <c r="J70" i="115"/>
  <c r="I70" i="115"/>
  <c r="H70" i="115"/>
  <c r="G70" i="115"/>
  <c r="F70" i="115"/>
  <c r="E70" i="115"/>
  <c r="D70" i="115"/>
  <c r="C70" i="115"/>
  <c r="S69" i="115"/>
  <c r="R69" i="115"/>
  <c r="Q69" i="115"/>
  <c r="P69" i="115"/>
  <c r="O69" i="115"/>
  <c r="N69" i="115"/>
  <c r="M69" i="115"/>
  <c r="L69" i="115"/>
  <c r="K69" i="115"/>
  <c r="J69" i="115"/>
  <c r="I69" i="115"/>
  <c r="H69" i="115"/>
  <c r="G69" i="115"/>
  <c r="F69" i="115"/>
  <c r="E69" i="115"/>
  <c r="D69" i="115"/>
  <c r="C69" i="115"/>
  <c r="B67" i="115"/>
  <c r="S63" i="115"/>
  <c r="R63" i="115"/>
  <c r="Q63" i="115"/>
  <c r="P63" i="115"/>
  <c r="O63" i="115"/>
  <c r="N63" i="115"/>
  <c r="M63" i="115"/>
  <c r="L63" i="115"/>
  <c r="K63" i="115"/>
  <c r="J63" i="115"/>
  <c r="I63" i="115"/>
  <c r="H63" i="115"/>
  <c r="G63" i="115"/>
  <c r="F63" i="115"/>
  <c r="E63" i="115"/>
  <c r="D63" i="115"/>
  <c r="C63" i="115"/>
  <c r="S62" i="115"/>
  <c r="R62" i="115"/>
  <c r="Q62" i="115"/>
  <c r="P62" i="115"/>
  <c r="O62" i="115"/>
  <c r="N62" i="115"/>
  <c r="M62" i="115"/>
  <c r="L62" i="115"/>
  <c r="K62" i="115"/>
  <c r="J62" i="115"/>
  <c r="I62" i="115"/>
  <c r="H62" i="115"/>
  <c r="G62" i="115"/>
  <c r="F62" i="115"/>
  <c r="E62" i="115"/>
  <c r="D62" i="115"/>
  <c r="C62" i="115"/>
  <c r="S61" i="115"/>
  <c r="R61" i="115"/>
  <c r="Q61" i="115"/>
  <c r="P61" i="115"/>
  <c r="O61" i="115"/>
  <c r="N61" i="115"/>
  <c r="M61" i="115"/>
  <c r="L61" i="115"/>
  <c r="K61" i="115"/>
  <c r="J61" i="115"/>
  <c r="I61" i="115"/>
  <c r="H61" i="115"/>
  <c r="G61" i="115"/>
  <c r="F61" i="115"/>
  <c r="E61" i="115"/>
  <c r="D61" i="115"/>
  <c r="C61" i="115"/>
  <c r="S60" i="115"/>
  <c r="R60" i="115"/>
  <c r="Q60" i="115"/>
  <c r="P60" i="115"/>
  <c r="O60" i="115"/>
  <c r="N60" i="115"/>
  <c r="M60" i="115"/>
  <c r="L60" i="115"/>
  <c r="K60" i="115"/>
  <c r="J60" i="115"/>
  <c r="I60" i="115"/>
  <c r="H60" i="115"/>
  <c r="G60" i="115"/>
  <c r="F60" i="115"/>
  <c r="E60" i="115"/>
  <c r="D60" i="115"/>
  <c r="C60" i="115"/>
  <c r="B58" i="115"/>
  <c r="S55" i="115"/>
  <c r="R55" i="115"/>
  <c r="Q55" i="115"/>
  <c r="P55" i="115"/>
  <c r="O55" i="115"/>
  <c r="N55" i="115"/>
  <c r="M55" i="115"/>
  <c r="L55" i="115"/>
  <c r="K55" i="115"/>
  <c r="J55" i="115"/>
  <c r="I55" i="115"/>
  <c r="H55" i="115"/>
  <c r="G55" i="115"/>
  <c r="F55" i="115"/>
  <c r="E55" i="115"/>
  <c r="D55" i="115"/>
  <c r="C55" i="115"/>
  <c r="S54" i="115"/>
  <c r="R54" i="115"/>
  <c r="Q54" i="115"/>
  <c r="P54" i="115"/>
  <c r="O54" i="115"/>
  <c r="N54" i="115"/>
  <c r="M54" i="115"/>
  <c r="L54" i="115"/>
  <c r="K54" i="115"/>
  <c r="J54" i="115"/>
  <c r="I54" i="115"/>
  <c r="H54" i="115"/>
  <c r="G54" i="115"/>
  <c r="F54" i="115"/>
  <c r="E54" i="115"/>
  <c r="D54" i="115"/>
  <c r="C54" i="115"/>
  <c r="S53" i="115"/>
  <c r="R53" i="115"/>
  <c r="Q53" i="115"/>
  <c r="P53" i="115"/>
  <c r="O53" i="115"/>
  <c r="N53" i="115"/>
  <c r="M53" i="115"/>
  <c r="L53" i="115"/>
  <c r="K53" i="115"/>
  <c r="J53" i="115"/>
  <c r="I53" i="115"/>
  <c r="H53" i="115"/>
  <c r="G53" i="115"/>
  <c r="F53" i="115"/>
  <c r="E53" i="115"/>
  <c r="D53" i="115"/>
  <c r="C53" i="115"/>
  <c r="S52" i="115"/>
  <c r="R52" i="115"/>
  <c r="Q52" i="115"/>
  <c r="P52" i="115"/>
  <c r="O52" i="115"/>
  <c r="N52" i="115"/>
  <c r="M52" i="115"/>
  <c r="L52" i="115"/>
  <c r="K52" i="115"/>
  <c r="J52" i="115"/>
  <c r="I52" i="115"/>
  <c r="H52" i="115"/>
  <c r="G52" i="115"/>
  <c r="F52" i="115"/>
  <c r="E52" i="115"/>
  <c r="D52" i="115"/>
  <c r="C52" i="115"/>
  <c r="B50" i="115"/>
  <c r="B42" i="115"/>
  <c r="S39" i="115"/>
  <c r="R39" i="115"/>
  <c r="Q39" i="115"/>
  <c r="P39" i="115"/>
  <c r="O39" i="115"/>
  <c r="N39" i="115"/>
  <c r="M39" i="115"/>
  <c r="L39" i="115"/>
  <c r="K39" i="115"/>
  <c r="J39" i="115"/>
  <c r="I39" i="115"/>
  <c r="H39" i="115"/>
  <c r="G39" i="115"/>
  <c r="F39" i="115"/>
  <c r="E39" i="115"/>
  <c r="D39" i="115"/>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B34" i="115"/>
  <c r="F29" i="115"/>
  <c r="E29" i="115"/>
  <c r="D29" i="115"/>
  <c r="C29" i="115"/>
  <c r="F28" i="115"/>
  <c r="E28" i="115"/>
  <c r="D28" i="115"/>
  <c r="C28" i="115"/>
  <c r="B28" i="115"/>
  <c r="F23" i="115"/>
  <c r="E23" i="115"/>
  <c r="D23" i="115"/>
  <c r="C23" i="115"/>
  <c r="F22" i="115"/>
  <c r="E22" i="115"/>
  <c r="D22" i="115"/>
  <c r="C22" i="115"/>
  <c r="B22" i="115"/>
  <c r="F18" i="115"/>
  <c r="E18" i="115"/>
  <c r="D18" i="115"/>
  <c r="C18" i="115"/>
  <c r="B16" i="115"/>
  <c r="L10" i="115"/>
  <c r="K10" i="115"/>
  <c r="J10" i="115"/>
  <c r="I10" i="115"/>
  <c r="F10" i="115"/>
  <c r="E10" i="115"/>
  <c r="D10" i="115"/>
  <c r="C10" i="115"/>
  <c r="L9" i="115"/>
  <c r="K9" i="115"/>
  <c r="J9" i="115"/>
  <c r="I9" i="115"/>
  <c r="H9" i="115"/>
  <c r="F9" i="115"/>
  <c r="E9" i="115"/>
  <c r="D9" i="115"/>
  <c r="C9" i="115"/>
  <c r="B9" i="115"/>
  <c r="U120" i="101"/>
  <c r="B120" i="101"/>
  <c r="U113" i="101"/>
  <c r="B113" i="101"/>
  <c r="U106" i="101"/>
  <c r="B106" i="101"/>
  <c r="O124" i="101" s="1"/>
  <c r="U99" i="101"/>
  <c r="B99" i="101"/>
  <c r="O125" i="101" s="1"/>
  <c r="B93" i="101"/>
  <c r="B86" i="101"/>
  <c r="Q90" i="101" s="1"/>
  <c r="G35" i="101"/>
  <c r="G34" i="101"/>
  <c r="G33" i="101"/>
  <c r="J29" i="101"/>
  <c r="I29" i="101"/>
  <c r="G29" i="101"/>
  <c r="F29" i="101"/>
  <c r="D29" i="101"/>
  <c r="C29" i="101"/>
  <c r="B28" i="101"/>
  <c r="J28" i="101" s="1"/>
  <c r="H22" i="101"/>
  <c r="F22" i="101"/>
  <c r="D22" i="101"/>
  <c r="C22" i="101"/>
  <c r="C21" i="101"/>
  <c r="B21" i="101"/>
  <c r="F21" i="101" s="1"/>
  <c r="L16" i="101"/>
  <c r="K16" i="101"/>
  <c r="I16" i="101"/>
  <c r="G16" i="101"/>
  <c r="F16" i="101"/>
  <c r="D16" i="101"/>
  <c r="C16" i="101"/>
  <c r="L15" i="101"/>
  <c r="K15" i="101"/>
  <c r="I15" i="101"/>
  <c r="G15" i="101"/>
  <c r="F15" i="101"/>
  <c r="D15" i="101"/>
  <c r="C15" i="101"/>
  <c r="B15" i="101"/>
  <c r="L10" i="101"/>
  <c r="K10" i="101"/>
  <c r="I10" i="101"/>
  <c r="H10" i="101"/>
  <c r="F10" i="101"/>
  <c r="E10" i="101"/>
  <c r="D10" i="101"/>
  <c r="C10" i="101"/>
  <c r="L9" i="101"/>
  <c r="L11" i="101" s="1"/>
  <c r="K9" i="101"/>
  <c r="I9" i="101"/>
  <c r="H9" i="101"/>
  <c r="H11" i="101" s="1"/>
  <c r="F9" i="101"/>
  <c r="F11" i="101" s="1"/>
  <c r="E9" i="101"/>
  <c r="D9" i="101"/>
  <c r="D11" i="101" s="1"/>
  <c r="C9" i="101"/>
  <c r="B9" i="101"/>
  <c r="D46" i="106"/>
  <c r="E46" i="106" s="1"/>
  <c r="D29" i="106"/>
  <c r="E29" i="106" s="1"/>
  <c r="D28" i="106"/>
  <c r="E28" i="106" s="1"/>
  <c r="D27" i="106"/>
  <c r="E27" i="106" s="1"/>
  <c r="D26" i="106"/>
  <c r="E26" i="106" s="1"/>
  <c r="D25" i="106"/>
  <c r="E25" i="106" s="1"/>
  <c r="D24" i="106"/>
  <c r="E24" i="106" s="1"/>
  <c r="D23" i="106"/>
  <c r="E23" i="106" s="1"/>
  <c r="D20" i="106"/>
  <c r="E20" i="106" s="1"/>
  <c r="D22" i="106"/>
  <c r="E22" i="106" s="1"/>
  <c r="D19" i="106"/>
  <c r="E19" i="106" s="1"/>
  <c r="D21" i="106"/>
  <c r="E21" i="106" s="1"/>
  <c r="D18" i="106"/>
  <c r="E18" i="106" s="1"/>
  <c r="D17" i="106"/>
  <c r="E17" i="106" s="1"/>
  <c r="D16" i="106"/>
  <c r="E16" i="106" s="1"/>
  <c r="D15" i="106"/>
  <c r="E15" i="106" s="1"/>
  <c r="D14" i="106"/>
  <c r="E14" i="106" s="1"/>
  <c r="D12" i="106"/>
  <c r="E12" i="106" s="1"/>
  <c r="D11" i="106"/>
  <c r="E11" i="106" s="1"/>
  <c r="D10" i="106"/>
  <c r="E10" i="106" s="1"/>
  <c r="D9" i="106"/>
  <c r="E9" i="106" s="1"/>
  <c r="D7" i="106"/>
  <c r="E7" i="106" s="1"/>
  <c r="D8" i="106"/>
  <c r="E8" i="106" s="1"/>
  <c r="D6" i="106"/>
  <c r="E6" i="106" s="1"/>
  <c r="U153" i="79"/>
  <c r="T153" i="79"/>
  <c r="R153" i="79"/>
  <c r="Q153" i="79"/>
  <c r="U152" i="79"/>
  <c r="T152" i="79"/>
  <c r="R152" i="79"/>
  <c r="Q152" i="79"/>
  <c r="U151" i="79"/>
  <c r="T151" i="79"/>
  <c r="R151" i="79"/>
  <c r="Q151" i="79"/>
  <c r="U150" i="79"/>
  <c r="T150" i="79"/>
  <c r="R150" i="79"/>
  <c r="Q150" i="79"/>
  <c r="U149" i="79"/>
  <c r="T149" i="79"/>
  <c r="R149" i="79"/>
  <c r="Q149" i="79"/>
  <c r="U148" i="79"/>
  <c r="T148" i="79"/>
  <c r="R148" i="79"/>
  <c r="Q148" i="79"/>
  <c r="U147" i="79"/>
  <c r="T147" i="79"/>
  <c r="R147" i="79"/>
  <c r="Q147" i="79"/>
  <c r="U146" i="79"/>
  <c r="T146" i="79"/>
  <c r="R146" i="79"/>
  <c r="Q146" i="79"/>
  <c r="U145" i="79"/>
  <c r="T145" i="79"/>
  <c r="R145" i="79"/>
  <c r="Q145" i="79"/>
  <c r="U144" i="79"/>
  <c r="T144" i="79"/>
  <c r="R144" i="79"/>
  <c r="Q144" i="79"/>
  <c r="U143" i="79"/>
  <c r="T143" i="79"/>
  <c r="R143" i="79"/>
  <c r="Q143" i="79"/>
  <c r="U142" i="79"/>
  <c r="T142" i="79"/>
  <c r="R142" i="79"/>
  <c r="Q142" i="79"/>
  <c r="U141" i="79"/>
  <c r="T141" i="79"/>
  <c r="R141" i="79"/>
  <c r="Q141" i="79"/>
  <c r="U140" i="79"/>
  <c r="T140" i="79"/>
  <c r="R140" i="79"/>
  <c r="Q140" i="79"/>
  <c r="U139" i="79"/>
  <c r="T139" i="79"/>
  <c r="R139" i="79"/>
  <c r="Q139" i="79"/>
  <c r="U138" i="79"/>
  <c r="T138" i="79"/>
  <c r="R138" i="79"/>
  <c r="Q138" i="79"/>
  <c r="U137" i="79"/>
  <c r="T137" i="79"/>
  <c r="R137" i="79"/>
  <c r="Q137" i="79"/>
  <c r="U136" i="79"/>
  <c r="T136" i="79"/>
  <c r="R136" i="79"/>
  <c r="Q136" i="79"/>
  <c r="U135" i="79"/>
  <c r="T135" i="79"/>
  <c r="R135" i="79"/>
  <c r="Q135" i="79"/>
  <c r="U134" i="79"/>
  <c r="T134" i="79"/>
  <c r="R134" i="79"/>
  <c r="Q134" i="79"/>
  <c r="U133" i="79"/>
  <c r="T133" i="79"/>
  <c r="R133" i="79"/>
  <c r="Q133" i="79"/>
  <c r="U132" i="79"/>
  <c r="T132" i="79"/>
  <c r="R132" i="79"/>
  <c r="Q132" i="79"/>
  <c r="U131" i="79"/>
  <c r="T131" i="79"/>
  <c r="R131" i="79"/>
  <c r="Q131" i="79"/>
  <c r="U130" i="79"/>
  <c r="T130" i="79"/>
  <c r="R130" i="79"/>
  <c r="Q130" i="79"/>
  <c r="U129" i="79"/>
  <c r="T129" i="79"/>
  <c r="R129" i="79"/>
  <c r="Q129" i="79"/>
  <c r="U128" i="79"/>
  <c r="T128" i="79"/>
  <c r="R128" i="79"/>
  <c r="Q128" i="79"/>
  <c r="U127" i="79"/>
  <c r="T127" i="79"/>
  <c r="R127" i="79"/>
  <c r="Q127" i="79"/>
  <c r="U126" i="79"/>
  <c r="T126" i="79"/>
  <c r="R126" i="79"/>
  <c r="Q126" i="79"/>
  <c r="U125" i="79"/>
  <c r="T125" i="79"/>
  <c r="R125" i="79"/>
  <c r="Q125" i="79"/>
  <c r="U124" i="79"/>
  <c r="T124" i="79"/>
  <c r="R124" i="79"/>
  <c r="Q124" i="79"/>
  <c r="U123" i="79"/>
  <c r="T123" i="79"/>
  <c r="R123" i="79"/>
  <c r="Q123" i="79"/>
  <c r="U122" i="79"/>
  <c r="T122" i="79"/>
  <c r="R122" i="79"/>
  <c r="Q122" i="79"/>
  <c r="U121" i="79"/>
  <c r="T121" i="79"/>
  <c r="R121" i="79"/>
  <c r="Q121" i="79"/>
  <c r="U120" i="79"/>
  <c r="T120" i="79"/>
  <c r="R120" i="79"/>
  <c r="Q120" i="79"/>
  <c r="U119" i="79"/>
  <c r="T119" i="79"/>
  <c r="R119" i="79"/>
  <c r="Q119" i="79"/>
  <c r="U118" i="79"/>
  <c r="T118" i="79"/>
  <c r="R118" i="79"/>
  <c r="Q118" i="79"/>
  <c r="U117" i="79"/>
  <c r="T117" i="79"/>
  <c r="R117" i="79"/>
  <c r="Q117" i="79"/>
  <c r="U116" i="79"/>
  <c r="T116" i="79"/>
  <c r="R116" i="79"/>
  <c r="Q116" i="79"/>
  <c r="U115" i="79"/>
  <c r="T115" i="79"/>
  <c r="R115" i="79"/>
  <c r="Q115" i="79"/>
  <c r="U114" i="79"/>
  <c r="T114" i="79"/>
  <c r="R114" i="79"/>
  <c r="Q114" i="79"/>
  <c r="U113" i="79"/>
  <c r="T113" i="79"/>
  <c r="R113" i="79"/>
  <c r="Q113" i="79"/>
  <c r="U112" i="79"/>
  <c r="T112" i="79"/>
  <c r="R112" i="79"/>
  <c r="Q112" i="79"/>
  <c r="U111" i="79"/>
  <c r="T111" i="79"/>
  <c r="R111" i="79"/>
  <c r="Q111" i="79"/>
  <c r="U110" i="79"/>
  <c r="T110" i="79"/>
  <c r="R110" i="79"/>
  <c r="Q110" i="79"/>
  <c r="U109" i="79"/>
  <c r="T109" i="79"/>
  <c r="R109" i="79"/>
  <c r="Q109" i="79"/>
  <c r="U108" i="79"/>
  <c r="T108" i="79"/>
  <c r="R108" i="79"/>
  <c r="Q108" i="79"/>
  <c r="U107" i="79"/>
  <c r="T107" i="79"/>
  <c r="R107" i="79"/>
  <c r="Q107" i="79"/>
  <c r="U106" i="79"/>
  <c r="T106" i="79"/>
  <c r="R106" i="79"/>
  <c r="Q106" i="79"/>
  <c r="U105" i="79"/>
  <c r="T105" i="79"/>
  <c r="R105" i="79"/>
  <c r="Q105" i="79"/>
  <c r="U104" i="79"/>
  <c r="T104" i="79"/>
  <c r="R104" i="79"/>
  <c r="Q104" i="79"/>
  <c r="U103" i="79"/>
  <c r="T103" i="79"/>
  <c r="R103" i="79"/>
  <c r="Q103" i="79"/>
  <c r="U102" i="79"/>
  <c r="T102" i="79"/>
  <c r="R102" i="79"/>
  <c r="Q102" i="79"/>
  <c r="U101" i="79"/>
  <c r="T101" i="79"/>
  <c r="R101" i="79"/>
  <c r="Q101" i="79"/>
  <c r="U100" i="79"/>
  <c r="T100" i="79"/>
  <c r="R100" i="79"/>
  <c r="Q100" i="79"/>
  <c r="U99" i="79"/>
  <c r="T99" i="79"/>
  <c r="R99" i="79"/>
  <c r="Q99" i="79"/>
  <c r="U98" i="79"/>
  <c r="T98" i="79"/>
  <c r="R98" i="79"/>
  <c r="Q98" i="79"/>
  <c r="U97" i="79"/>
  <c r="T97" i="79"/>
  <c r="R97" i="79"/>
  <c r="Q97" i="79"/>
  <c r="U96" i="79"/>
  <c r="T96" i="79"/>
  <c r="R96" i="79"/>
  <c r="Q96" i="79"/>
  <c r="U95" i="79"/>
  <c r="T95" i="79"/>
  <c r="R95" i="79"/>
  <c r="Q95" i="79"/>
  <c r="U94" i="79"/>
  <c r="T94" i="79"/>
  <c r="R94" i="79"/>
  <c r="Q94" i="79"/>
  <c r="U93" i="79"/>
  <c r="T93" i="79"/>
  <c r="R93" i="79"/>
  <c r="Q93" i="79"/>
  <c r="U92" i="79"/>
  <c r="T92" i="79"/>
  <c r="R92" i="79"/>
  <c r="Q92" i="79"/>
  <c r="U91" i="79"/>
  <c r="T91" i="79"/>
  <c r="R91" i="79"/>
  <c r="Q91" i="79"/>
  <c r="U90" i="79"/>
  <c r="T90" i="79"/>
  <c r="R90" i="79"/>
  <c r="Q90" i="79"/>
  <c r="U89" i="79"/>
  <c r="T89" i="79"/>
  <c r="R89" i="79"/>
  <c r="Q89" i="79"/>
  <c r="U88" i="79"/>
  <c r="T88" i="79"/>
  <c r="R88" i="79"/>
  <c r="Q88" i="79"/>
  <c r="U87" i="79"/>
  <c r="T87" i="79"/>
  <c r="R87" i="79"/>
  <c r="Q87" i="79"/>
  <c r="U86" i="79"/>
  <c r="T86" i="79"/>
  <c r="R86" i="79"/>
  <c r="Q86" i="79"/>
  <c r="U85" i="79"/>
  <c r="T85" i="79"/>
  <c r="R85" i="79"/>
  <c r="Q85" i="79"/>
  <c r="U84" i="79"/>
  <c r="T84" i="79"/>
  <c r="R84" i="79"/>
  <c r="Q84" i="79"/>
  <c r="U83" i="79"/>
  <c r="T83" i="79"/>
  <c r="R83" i="79"/>
  <c r="Q83" i="79"/>
  <c r="U82" i="79"/>
  <c r="T82" i="79"/>
  <c r="R82" i="79"/>
  <c r="Q82" i="79"/>
  <c r="U81" i="79"/>
  <c r="T81" i="79"/>
  <c r="R81" i="79"/>
  <c r="Q81" i="79"/>
  <c r="U80" i="79"/>
  <c r="T80" i="79"/>
  <c r="R80" i="79"/>
  <c r="Q80" i="79"/>
  <c r="U79" i="79"/>
  <c r="T79" i="79"/>
  <c r="R79" i="79"/>
  <c r="Q79" i="79"/>
  <c r="U78" i="79"/>
  <c r="T78" i="79"/>
  <c r="R78" i="79"/>
  <c r="Q78" i="79"/>
  <c r="U77" i="79"/>
  <c r="T77" i="79"/>
  <c r="R77" i="79"/>
  <c r="Q77" i="79"/>
  <c r="U76" i="79"/>
  <c r="T76" i="79"/>
  <c r="R76" i="79"/>
  <c r="Q76" i="79"/>
  <c r="U75" i="79"/>
  <c r="T75" i="79"/>
  <c r="R75" i="79"/>
  <c r="Q75" i="79"/>
  <c r="U74" i="79"/>
  <c r="T74" i="79"/>
  <c r="R74" i="79"/>
  <c r="Q74" i="79"/>
  <c r="U73" i="79"/>
  <c r="T73" i="79"/>
  <c r="R73" i="79"/>
  <c r="Q73" i="79"/>
  <c r="U72" i="79"/>
  <c r="T72" i="79"/>
  <c r="R72" i="79"/>
  <c r="Q72" i="79"/>
  <c r="U71" i="79"/>
  <c r="T71" i="79"/>
  <c r="R71" i="79"/>
  <c r="Q71" i="79"/>
  <c r="U70" i="79"/>
  <c r="T70" i="79"/>
  <c r="R70" i="79"/>
  <c r="Q70" i="79"/>
  <c r="U69" i="79"/>
  <c r="T69" i="79"/>
  <c r="R69" i="79"/>
  <c r="Q69" i="79"/>
  <c r="U68" i="79"/>
  <c r="T68" i="79"/>
  <c r="R68" i="79"/>
  <c r="Q68" i="79"/>
  <c r="U67" i="79"/>
  <c r="T67" i="79"/>
  <c r="R67" i="79"/>
  <c r="Q67" i="79"/>
  <c r="U66" i="79"/>
  <c r="T66" i="79"/>
  <c r="R66" i="79"/>
  <c r="Q66" i="79"/>
  <c r="U65" i="79"/>
  <c r="T65" i="79"/>
  <c r="R65" i="79"/>
  <c r="Q65" i="79"/>
  <c r="U64" i="79"/>
  <c r="T64" i="79"/>
  <c r="R64" i="79"/>
  <c r="Q64" i="79"/>
  <c r="U63" i="79"/>
  <c r="T63" i="79"/>
  <c r="R63" i="79"/>
  <c r="Q63" i="79"/>
  <c r="U62" i="79"/>
  <c r="T62" i="79"/>
  <c r="R62" i="79"/>
  <c r="Q62" i="79"/>
  <c r="U61" i="79"/>
  <c r="T61" i="79"/>
  <c r="R61" i="79"/>
  <c r="Q61" i="79"/>
  <c r="U60" i="79"/>
  <c r="T60" i="79"/>
  <c r="R60" i="79"/>
  <c r="Q60" i="79"/>
  <c r="U59" i="79"/>
  <c r="T59" i="79"/>
  <c r="R59" i="79"/>
  <c r="Q59" i="79"/>
  <c r="U58" i="79"/>
  <c r="T58" i="79"/>
  <c r="R58" i="79"/>
  <c r="Q58" i="79"/>
  <c r="U57" i="79"/>
  <c r="T57" i="79"/>
  <c r="R57" i="79"/>
  <c r="Q57" i="79"/>
  <c r="U56" i="79"/>
  <c r="T56" i="79"/>
  <c r="R56" i="79"/>
  <c r="Q56" i="79"/>
  <c r="U55" i="79"/>
  <c r="T55" i="79"/>
  <c r="R55" i="79"/>
  <c r="Q55" i="79"/>
  <c r="U54" i="79"/>
  <c r="T54" i="79"/>
  <c r="R54" i="79"/>
  <c r="Q54" i="79"/>
  <c r="U53" i="79"/>
  <c r="T53" i="79"/>
  <c r="R53" i="79"/>
  <c r="Q53" i="79"/>
  <c r="U52" i="79"/>
  <c r="T52" i="79"/>
  <c r="R52" i="79"/>
  <c r="Q52" i="79"/>
  <c r="U51" i="79"/>
  <c r="T51" i="79"/>
  <c r="R51" i="79"/>
  <c r="Q51" i="79"/>
  <c r="U50" i="79"/>
  <c r="T50" i="79"/>
  <c r="R50" i="79"/>
  <c r="Q50" i="79"/>
  <c r="U49" i="79"/>
  <c r="T49" i="79"/>
  <c r="R49" i="79"/>
  <c r="Q49" i="79"/>
  <c r="U48" i="79"/>
  <c r="T48" i="79"/>
  <c r="R48" i="79"/>
  <c r="Q48" i="79"/>
  <c r="U47" i="79"/>
  <c r="T47" i="79"/>
  <c r="R47" i="79"/>
  <c r="Q47" i="79"/>
  <c r="U46" i="79"/>
  <c r="T46" i="79"/>
  <c r="R46" i="79"/>
  <c r="Q46" i="79"/>
  <c r="U45" i="79"/>
  <c r="T45" i="79"/>
  <c r="R45" i="79"/>
  <c r="Q45" i="79"/>
  <c r="U44" i="79"/>
  <c r="T44" i="79"/>
  <c r="R44" i="79"/>
  <c r="Q44" i="79"/>
  <c r="U43" i="79"/>
  <c r="T43" i="79"/>
  <c r="R43" i="79"/>
  <c r="Q43" i="79"/>
  <c r="U42" i="79"/>
  <c r="T42" i="79"/>
  <c r="R42" i="79"/>
  <c r="Q42" i="79"/>
  <c r="U41" i="79"/>
  <c r="T41" i="79"/>
  <c r="R41" i="79"/>
  <c r="Q41" i="79"/>
  <c r="U40" i="79"/>
  <c r="T40" i="79"/>
  <c r="R40" i="79"/>
  <c r="Q40" i="79"/>
  <c r="U39" i="79"/>
  <c r="T39" i="79"/>
  <c r="R39" i="79"/>
  <c r="Q39" i="79"/>
  <c r="U38" i="79"/>
  <c r="T38" i="79"/>
  <c r="R38" i="79"/>
  <c r="Q38" i="79"/>
  <c r="U37" i="79"/>
  <c r="T37" i="79"/>
  <c r="R37" i="79"/>
  <c r="Q37" i="79"/>
  <c r="U36" i="79"/>
  <c r="T36" i="79"/>
  <c r="R36" i="79"/>
  <c r="Q36" i="79"/>
  <c r="U35" i="79"/>
  <c r="T35" i="79"/>
  <c r="R35" i="79"/>
  <c r="Q35" i="79"/>
  <c r="U34" i="79"/>
  <c r="T34" i="79"/>
  <c r="R34" i="79"/>
  <c r="Q34" i="79"/>
  <c r="U33" i="79"/>
  <c r="T33" i="79"/>
  <c r="R33" i="79"/>
  <c r="Q33" i="79"/>
  <c r="U32" i="79"/>
  <c r="T32" i="79"/>
  <c r="R32" i="79"/>
  <c r="Q32" i="79"/>
  <c r="U31" i="79"/>
  <c r="T31" i="79"/>
  <c r="R31" i="79"/>
  <c r="Q31" i="79"/>
  <c r="U30" i="79"/>
  <c r="T30" i="79"/>
  <c r="R30" i="79"/>
  <c r="Q30" i="79"/>
  <c r="U29" i="79"/>
  <c r="T29" i="79"/>
  <c r="R29" i="79"/>
  <c r="Q29" i="79"/>
  <c r="U28" i="79"/>
  <c r="T28" i="79"/>
  <c r="R28" i="79"/>
  <c r="Q28" i="79"/>
  <c r="U27" i="79"/>
  <c r="T27" i="79"/>
  <c r="R27" i="79"/>
  <c r="Q27" i="79"/>
  <c r="U26" i="79"/>
  <c r="T26" i="79"/>
  <c r="R26" i="79"/>
  <c r="Q26" i="79"/>
  <c r="U25" i="79"/>
  <c r="T25" i="79"/>
  <c r="R25" i="79"/>
  <c r="Q25" i="79"/>
  <c r="U24" i="79"/>
  <c r="T24" i="79"/>
  <c r="R24" i="79"/>
  <c r="Q24" i="79"/>
  <c r="U23" i="79"/>
  <c r="T23" i="79"/>
  <c r="R23" i="79"/>
  <c r="Q23" i="79"/>
  <c r="U22" i="79"/>
  <c r="T22" i="79"/>
  <c r="R22" i="79"/>
  <c r="Q22" i="79"/>
  <c r="U21" i="79"/>
  <c r="T21" i="79"/>
  <c r="R21" i="79"/>
  <c r="Q21" i="79"/>
  <c r="U20" i="79"/>
  <c r="T20" i="79"/>
  <c r="R20" i="79"/>
  <c r="Q20" i="79"/>
  <c r="U19" i="79"/>
  <c r="T19" i="79"/>
  <c r="R19" i="79"/>
  <c r="Q19" i="79"/>
  <c r="U18" i="79"/>
  <c r="T18" i="79"/>
  <c r="R18" i="79"/>
  <c r="Q18" i="79"/>
  <c r="U17" i="79"/>
  <c r="T17" i="79"/>
  <c r="R17" i="79"/>
  <c r="Q17" i="79"/>
  <c r="U16" i="79"/>
  <c r="T16" i="79"/>
  <c r="R16" i="79"/>
  <c r="Q16" i="79"/>
  <c r="U15" i="79"/>
  <c r="T15" i="79"/>
  <c r="R15" i="79"/>
  <c r="Q15" i="79"/>
  <c r="U14" i="79"/>
  <c r="T14" i="79"/>
  <c r="R14" i="79"/>
  <c r="Q14" i="79"/>
  <c r="U13" i="79"/>
  <c r="T13" i="79"/>
  <c r="R13" i="79"/>
  <c r="Q13" i="79"/>
  <c r="U12" i="79"/>
  <c r="T12" i="79"/>
  <c r="R12" i="79"/>
  <c r="Q12" i="79"/>
  <c r="U11" i="79"/>
  <c r="T11" i="79"/>
  <c r="R11" i="79"/>
  <c r="Q11" i="79"/>
  <c r="U10" i="79"/>
  <c r="T10" i="79"/>
  <c r="R10" i="79"/>
  <c r="Q10" i="79"/>
  <c r="U9" i="79"/>
  <c r="T9" i="79"/>
  <c r="R9" i="79"/>
  <c r="Q9" i="79"/>
  <c r="U8" i="79"/>
  <c r="T8" i="79"/>
  <c r="R8" i="79"/>
  <c r="Q8" i="79"/>
  <c r="U7" i="79"/>
  <c r="T7" i="79"/>
  <c r="R7" i="79"/>
  <c r="Q7" i="79"/>
  <c r="U6" i="79"/>
  <c r="T6" i="79"/>
  <c r="R6" i="79"/>
  <c r="Q6" i="79"/>
  <c r="U5" i="79"/>
  <c r="T5" i="79"/>
  <c r="R5" i="79"/>
  <c r="Q5" i="79"/>
  <c r="U4" i="79"/>
  <c r="T4" i="79"/>
  <c r="R4" i="79"/>
  <c r="Q4" i="79"/>
  <c r="U3" i="79"/>
  <c r="T3" i="79"/>
  <c r="R3" i="79"/>
  <c r="Q3" i="79"/>
  <c r="U2" i="79"/>
  <c r="T2" i="79"/>
  <c r="R2" i="79"/>
  <c r="Q2" i="79"/>
  <c r="Z200" i="100" l="1"/>
  <c r="Z205" i="100"/>
  <c r="AF208" i="100"/>
  <c r="AN208" i="100"/>
  <c r="H21" i="101"/>
  <c r="AF148" i="100"/>
  <c r="AN148" i="100"/>
  <c r="AE149" i="100"/>
  <c r="AM149" i="100"/>
  <c r="AD150" i="100"/>
  <c r="AL150" i="100"/>
  <c r="AB153" i="100"/>
  <c r="AJ153" i="100"/>
  <c r="AA154" i="100"/>
  <c r="AI154" i="100"/>
  <c r="Z155" i="100"/>
  <c r="AH155" i="100"/>
  <c r="AF158" i="100"/>
  <c r="AN158" i="100"/>
  <c r="AE159" i="100"/>
  <c r="AM159" i="100"/>
  <c r="AD160" i="100"/>
  <c r="AL160" i="100"/>
  <c r="AB163" i="100"/>
  <c r="AJ163" i="100"/>
  <c r="AA164" i="100"/>
  <c r="AI164" i="100"/>
  <c r="Z165" i="100"/>
  <c r="AH165" i="100"/>
  <c r="AF168" i="100"/>
  <c r="AN168" i="100"/>
  <c r="AE169" i="100"/>
  <c r="AM169" i="100"/>
  <c r="AD170" i="100"/>
  <c r="AL170" i="100"/>
  <c r="AB173" i="100"/>
  <c r="AJ173" i="100"/>
  <c r="AA174" i="100"/>
  <c r="AI174" i="100"/>
  <c r="Z175" i="100"/>
  <c r="AH175" i="100"/>
  <c r="AF178" i="100"/>
  <c r="AN178" i="100"/>
  <c r="AE179" i="100"/>
  <c r="AM179" i="100"/>
  <c r="AD180" i="100"/>
  <c r="AL180" i="100"/>
  <c r="AB183" i="100"/>
  <c r="AJ183" i="100"/>
  <c r="AA184" i="100"/>
  <c r="AI184" i="100"/>
  <c r="Z185" i="100"/>
  <c r="AH185" i="100"/>
  <c r="AF188" i="100"/>
  <c r="AN188" i="100"/>
  <c r="AE189" i="100"/>
  <c r="AM189" i="100"/>
  <c r="AD190" i="100"/>
  <c r="AL190" i="100"/>
  <c r="AB193" i="100"/>
  <c r="AJ193" i="100"/>
  <c r="AA194" i="100"/>
  <c r="AI194" i="100"/>
  <c r="Z195" i="100"/>
  <c r="AH195" i="100"/>
  <c r="AE209" i="100"/>
  <c r="AM209" i="100"/>
  <c r="AD210" i="100"/>
  <c r="AL210" i="100"/>
  <c r="Z148" i="100"/>
  <c r="AH148" i="100"/>
  <c r="AD153" i="100"/>
  <c r="AL153" i="100"/>
  <c r="Z158" i="100"/>
  <c r="AH158" i="100"/>
  <c r="AD163" i="100"/>
  <c r="AL163" i="100"/>
  <c r="Z168" i="100"/>
  <c r="AH168" i="100"/>
  <c r="AD173" i="100"/>
  <c r="AL173" i="100"/>
  <c r="Z178" i="100"/>
  <c r="AH178" i="100"/>
  <c r="AD183" i="100"/>
  <c r="AL183" i="100"/>
  <c r="Z188" i="100"/>
  <c r="AH188" i="100"/>
  <c r="AD193" i="100"/>
  <c r="AL193" i="100"/>
  <c r="Z208" i="100"/>
  <c r="AH208" i="100"/>
  <c r="AC150" i="100"/>
  <c r="AK150" i="100"/>
  <c r="Y155" i="100"/>
  <c r="AG155" i="100"/>
  <c r="AO155" i="100"/>
  <c r="AC160" i="100"/>
  <c r="AK160" i="100"/>
  <c r="Y165" i="100"/>
  <c r="AG165" i="100"/>
  <c r="AO165" i="100"/>
  <c r="AC170" i="100"/>
  <c r="AK170" i="100"/>
  <c r="Y175" i="100"/>
  <c r="AG175" i="100"/>
  <c r="AO175" i="100"/>
  <c r="AC180" i="100"/>
  <c r="AK180" i="100"/>
  <c r="Y185" i="100"/>
  <c r="AG185" i="100"/>
  <c r="AO185" i="100"/>
  <c r="AC190" i="100"/>
  <c r="AK190" i="100"/>
  <c r="Y195" i="100"/>
  <c r="AG195" i="100"/>
  <c r="AO195" i="100"/>
  <c r="AC210" i="100"/>
  <c r="AK210" i="100"/>
  <c r="Y147" i="100"/>
  <c r="Y151" i="100"/>
  <c r="AG147" i="100"/>
  <c r="AG151" i="100"/>
  <c r="AO147" i="100"/>
  <c r="AO151" i="100"/>
  <c r="AC152" i="100"/>
  <c r="AC156" i="100"/>
  <c r="AK152" i="100"/>
  <c r="AK156" i="100"/>
  <c r="Y157" i="100"/>
  <c r="Y161" i="100"/>
  <c r="AG157" i="100"/>
  <c r="AG161" i="100"/>
  <c r="AO157" i="100"/>
  <c r="AO161" i="100"/>
  <c r="AC162" i="100"/>
  <c r="AC166" i="100"/>
  <c r="AK162" i="100"/>
  <c r="AK166" i="100"/>
  <c r="Y167" i="100"/>
  <c r="Y171" i="100"/>
  <c r="AG167" i="100"/>
  <c r="AG171" i="100"/>
  <c r="AO167" i="100"/>
  <c r="AO171" i="100"/>
  <c r="AC172" i="100"/>
  <c r="AC176" i="100"/>
  <c r="AK172" i="100"/>
  <c r="AK176" i="100"/>
  <c r="Y177" i="100"/>
  <c r="Y181" i="100"/>
  <c r="AG177" i="100"/>
  <c r="AG181" i="100"/>
  <c r="AO177" i="100"/>
  <c r="AO181" i="100"/>
  <c r="AC182" i="100"/>
  <c r="AC186" i="100"/>
  <c r="AK182" i="100"/>
  <c r="AK186" i="100"/>
  <c r="Z147" i="100"/>
  <c r="Z151" i="100"/>
  <c r="AH147" i="100"/>
  <c r="AH151" i="100"/>
  <c r="Y148" i="100"/>
  <c r="AA147" i="100"/>
  <c r="AA151" i="100"/>
  <c r="AI147" i="100"/>
  <c r="AI151" i="100"/>
  <c r="Y149" i="100"/>
  <c r="AG149" i="100"/>
  <c r="AO149" i="100"/>
  <c r="AF150" i="100"/>
  <c r="AN150" i="100"/>
  <c r="AE152" i="100"/>
  <c r="AE156" i="100"/>
  <c r="AM152" i="100"/>
  <c r="AM156" i="100"/>
  <c r="AC154" i="100"/>
  <c r="AK154" i="100"/>
  <c r="AB155" i="100"/>
  <c r="AJ155" i="100"/>
  <c r="AA157" i="100"/>
  <c r="AA161" i="100"/>
  <c r="AI157" i="100"/>
  <c r="AI161" i="100"/>
  <c r="Y159" i="100"/>
  <c r="AG159" i="100"/>
  <c r="AO159" i="100"/>
  <c r="AF160" i="100"/>
  <c r="AN160" i="100"/>
  <c r="AE162" i="100"/>
  <c r="AE166" i="100"/>
  <c r="AM162" i="100"/>
  <c r="AM166" i="100"/>
  <c r="AB147" i="100"/>
  <c r="AB151" i="100"/>
  <c r="AJ147" i="100"/>
  <c r="AJ151" i="100"/>
  <c r="AA148" i="100"/>
  <c r="AC147" i="100"/>
  <c r="AC151" i="100"/>
  <c r="AK147" i="100"/>
  <c r="AK151" i="100"/>
  <c r="AB148" i="100"/>
  <c r="AJ148" i="100"/>
  <c r="AA149" i="100"/>
  <c r="AI149" i="100"/>
  <c r="Z150" i="100"/>
  <c r="AH150" i="100"/>
  <c r="Y152" i="100"/>
  <c r="Y156" i="100"/>
  <c r="AG152" i="100"/>
  <c r="AG156" i="100"/>
  <c r="AO152" i="100"/>
  <c r="AO156" i="100"/>
  <c r="AF153" i="100"/>
  <c r="AD147" i="100"/>
  <c r="AD151" i="100"/>
  <c r="AL147" i="100"/>
  <c r="AL151" i="100"/>
  <c r="AC148" i="100"/>
  <c r="AK148" i="100"/>
  <c r="AB149" i="100"/>
  <c r="AJ149" i="100"/>
  <c r="AA150" i="100"/>
  <c r="AI150" i="100"/>
  <c r="Z152" i="100"/>
  <c r="Z156" i="100"/>
  <c r="AH152" i="100"/>
  <c r="AH156" i="100"/>
  <c r="Y153" i="100"/>
  <c r="AG153" i="100"/>
  <c r="AO153" i="100"/>
  <c r="AF154" i="100"/>
  <c r="AE147" i="100"/>
  <c r="AE151" i="100"/>
  <c r="AM147" i="100"/>
  <c r="AM151" i="100"/>
  <c r="AD148" i="100"/>
  <c r="AL148" i="100"/>
  <c r="AC149" i="100"/>
  <c r="AK149" i="100"/>
  <c r="AA152" i="100"/>
  <c r="AA156" i="100"/>
  <c r="AI152" i="100"/>
  <c r="AI156" i="100"/>
  <c r="Z153" i="100"/>
  <c r="AH153" i="100"/>
  <c r="Y154" i="100"/>
  <c r="AG154" i="100"/>
  <c r="AO154" i="100"/>
  <c r="AE157" i="100"/>
  <c r="AE161" i="100"/>
  <c r="AM157" i="100"/>
  <c r="AM161" i="100"/>
  <c r="AD158" i="100"/>
  <c r="AL158" i="100"/>
  <c r="AC159" i="100"/>
  <c r="AK159" i="100"/>
  <c r="AA162" i="100"/>
  <c r="AA166" i="100"/>
  <c r="AF147" i="100"/>
  <c r="AF151" i="100"/>
  <c r="AN147" i="100"/>
  <c r="AN151" i="100"/>
  <c r="AE148" i="100"/>
  <c r="AM148" i="100"/>
  <c r="AD149" i="100"/>
  <c r="AL149" i="100"/>
  <c r="AB152" i="100"/>
  <c r="AB156" i="100"/>
  <c r="AJ152" i="100"/>
  <c r="AJ156" i="100"/>
  <c r="AA153" i="100"/>
  <c r="AI153" i="100"/>
  <c r="Z154" i="100"/>
  <c r="AH154" i="100"/>
  <c r="AF157" i="100"/>
  <c r="AF161" i="100"/>
  <c r="AN157" i="100"/>
  <c r="AN161" i="100"/>
  <c r="AE158" i="100"/>
  <c r="AM158" i="100"/>
  <c r="AD159" i="100"/>
  <c r="AL159" i="100"/>
  <c r="AB162" i="100"/>
  <c r="AB166" i="100"/>
  <c r="AJ162" i="100"/>
  <c r="AJ166" i="100"/>
  <c r="AA163" i="100"/>
  <c r="AI163" i="100"/>
  <c r="Z164" i="100"/>
  <c r="AH164" i="100"/>
  <c r="AF167" i="100"/>
  <c r="AF171" i="100"/>
  <c r="AN167" i="100"/>
  <c r="AN171" i="100"/>
  <c r="AE168" i="100"/>
  <c r="AM168" i="100"/>
  <c r="AD169" i="100"/>
  <c r="AL169" i="100"/>
  <c r="AB172" i="100"/>
  <c r="AB176" i="100"/>
  <c r="AJ172" i="100"/>
  <c r="AJ176" i="100"/>
  <c r="AA173" i="100"/>
  <c r="AI173" i="100"/>
  <c r="Z174" i="100"/>
  <c r="AH174" i="100"/>
  <c r="Y187" i="100"/>
  <c r="Y191" i="100"/>
  <c r="AG187" i="100"/>
  <c r="AG191" i="100"/>
  <c r="AO187" i="100"/>
  <c r="AO191" i="100"/>
  <c r="AC192" i="100"/>
  <c r="AC196" i="100"/>
  <c r="AK192" i="100"/>
  <c r="AK196" i="100"/>
  <c r="Y197" i="100"/>
  <c r="Y201" i="100"/>
  <c r="N199" i="100"/>
  <c r="AO197" i="100"/>
  <c r="AO201" i="100"/>
  <c r="Y202" i="100"/>
  <c r="Y206" i="100"/>
  <c r="AO202" i="100"/>
  <c r="AO206" i="100"/>
  <c r="Y207" i="100"/>
  <c r="Y211" i="100"/>
  <c r="AG207" i="100"/>
  <c r="AG211" i="100"/>
  <c r="AO207" i="100"/>
  <c r="AO211" i="100"/>
  <c r="AG148" i="100"/>
  <c r="AO148" i="100"/>
  <c r="AF149" i="100"/>
  <c r="AN149" i="100"/>
  <c r="AE150" i="100"/>
  <c r="AM150" i="100"/>
  <c r="AD152" i="100"/>
  <c r="AD156" i="100"/>
  <c r="AL152" i="100"/>
  <c r="AL156" i="100"/>
  <c r="AC153" i="100"/>
  <c r="AK153" i="100"/>
  <c r="AB154" i="100"/>
  <c r="AJ154" i="100"/>
  <c r="AA155" i="100"/>
  <c r="AI155" i="100"/>
  <c r="Z157" i="100"/>
  <c r="Z161" i="100"/>
  <c r="AH157" i="100"/>
  <c r="AH161" i="100"/>
  <c r="Y158" i="100"/>
  <c r="AG158" i="100"/>
  <c r="AO158" i="100"/>
  <c r="AF159" i="100"/>
  <c r="AN159" i="100"/>
  <c r="AE160" i="100"/>
  <c r="AM160" i="100"/>
  <c r="AD162" i="100"/>
  <c r="AD166" i="100"/>
  <c r="AL162" i="100"/>
  <c r="AL166" i="100"/>
  <c r="AC163" i="100"/>
  <c r="AK163" i="100"/>
  <c r="AB164" i="100"/>
  <c r="AJ164" i="100"/>
  <c r="AA165" i="100"/>
  <c r="AI165" i="100"/>
  <c r="Z167" i="100"/>
  <c r="Z171" i="100"/>
  <c r="AH167" i="100"/>
  <c r="AH171" i="100"/>
  <c r="Y168" i="100"/>
  <c r="AG168" i="100"/>
  <c r="AO168" i="100"/>
  <c r="AF169" i="100"/>
  <c r="AN169" i="100"/>
  <c r="AE170" i="100"/>
  <c r="AM170" i="100"/>
  <c r="AD172" i="100"/>
  <c r="AD176" i="100"/>
  <c r="AL172" i="100"/>
  <c r="AL176" i="100"/>
  <c r="AC173" i="100"/>
  <c r="AK173" i="100"/>
  <c r="AB174" i="100"/>
  <c r="AJ174" i="100"/>
  <c r="AA175" i="100"/>
  <c r="AI175" i="100"/>
  <c r="Z177" i="100"/>
  <c r="Z181" i="100"/>
  <c r="AH177" i="100"/>
  <c r="AH181" i="100"/>
  <c r="Y178" i="100"/>
  <c r="AG178" i="100"/>
  <c r="AO178" i="100"/>
  <c r="AF179" i="100"/>
  <c r="AN179" i="100"/>
  <c r="AE180" i="100"/>
  <c r="AM180" i="100"/>
  <c r="AD182" i="100"/>
  <c r="AD186" i="100"/>
  <c r="AL182" i="100"/>
  <c r="AL186" i="100"/>
  <c r="AC183" i="100"/>
  <c r="AK183" i="100"/>
  <c r="AB184" i="100"/>
  <c r="AJ184" i="100"/>
  <c r="AA185" i="100"/>
  <c r="AI185" i="100"/>
  <c r="Z187" i="100"/>
  <c r="Z191" i="100"/>
  <c r="AH187" i="100"/>
  <c r="AH191" i="100"/>
  <c r="Y188" i="100"/>
  <c r="AG188" i="100"/>
  <c r="AO188" i="100"/>
  <c r="AF189" i="100"/>
  <c r="AN189" i="100"/>
  <c r="AE190" i="100"/>
  <c r="AM190" i="100"/>
  <c r="AD192" i="100"/>
  <c r="AD196" i="100"/>
  <c r="AL192" i="100"/>
  <c r="AL196" i="100"/>
  <c r="AC193" i="100"/>
  <c r="AK193" i="100"/>
  <c r="AB194" i="100"/>
  <c r="AJ194" i="100"/>
  <c r="AA195" i="100"/>
  <c r="AI195" i="100"/>
  <c r="G199" i="100"/>
  <c r="Z197" i="100"/>
  <c r="Z201" i="100"/>
  <c r="O198" i="100"/>
  <c r="Y198" i="100"/>
  <c r="Z202" i="100"/>
  <c r="Z206" i="100"/>
  <c r="O204" i="100"/>
  <c r="Y203" i="100"/>
  <c r="Z207" i="100"/>
  <c r="Z211" i="100"/>
  <c r="AH207" i="100"/>
  <c r="AH211" i="100"/>
  <c r="Y208" i="100"/>
  <c r="AG208" i="100"/>
  <c r="AO208" i="100"/>
  <c r="AF209" i="100"/>
  <c r="AN209" i="100"/>
  <c r="AE210" i="100"/>
  <c r="AM210" i="100"/>
  <c r="AC164" i="100"/>
  <c r="AK164" i="100"/>
  <c r="AB165" i="100"/>
  <c r="AJ165" i="100"/>
  <c r="AA167" i="100"/>
  <c r="AA171" i="100"/>
  <c r="AI167" i="100"/>
  <c r="AI171" i="100"/>
  <c r="Y169" i="100"/>
  <c r="AG169" i="100"/>
  <c r="AO169" i="100"/>
  <c r="AF170" i="100"/>
  <c r="AN170" i="100"/>
  <c r="AE172" i="100"/>
  <c r="AE176" i="100"/>
  <c r="AM172" i="100"/>
  <c r="AM176" i="100"/>
  <c r="AC174" i="100"/>
  <c r="AK174" i="100"/>
  <c r="AB175" i="100"/>
  <c r="AJ175" i="100"/>
  <c r="AA177" i="100"/>
  <c r="AA181" i="100"/>
  <c r="AI177" i="100"/>
  <c r="AI181" i="100"/>
  <c r="Y179" i="100"/>
  <c r="AG179" i="100"/>
  <c r="AO179" i="100"/>
  <c r="AF180" i="100"/>
  <c r="AN180" i="100"/>
  <c r="AE182" i="100"/>
  <c r="AE186" i="100"/>
  <c r="AM182" i="100"/>
  <c r="AM186" i="100"/>
  <c r="AC184" i="100"/>
  <c r="AK184" i="100"/>
  <c r="AB185" i="100"/>
  <c r="AJ185" i="100"/>
  <c r="AA187" i="100"/>
  <c r="AA191" i="100"/>
  <c r="AI187" i="100"/>
  <c r="AI191" i="100"/>
  <c r="Y189" i="100"/>
  <c r="AG189" i="100"/>
  <c r="AO189" i="100"/>
  <c r="AF190" i="100"/>
  <c r="AN190" i="100"/>
  <c r="AE192" i="100"/>
  <c r="AE196" i="100"/>
  <c r="AM192" i="100"/>
  <c r="AM196" i="100"/>
  <c r="AC194" i="100"/>
  <c r="AK194" i="100"/>
  <c r="AB195" i="100"/>
  <c r="AJ195" i="100"/>
  <c r="P199" i="100"/>
  <c r="Z198" i="100"/>
  <c r="H204" i="100"/>
  <c r="Z203" i="100"/>
  <c r="AA207" i="100"/>
  <c r="AA211" i="100"/>
  <c r="AI207" i="100"/>
  <c r="AI211" i="100"/>
  <c r="Y209" i="100"/>
  <c r="AG209" i="100"/>
  <c r="AO209" i="100"/>
  <c r="AF210" i="100"/>
  <c r="AN210" i="100"/>
  <c r="AI148" i="100"/>
  <c r="Z149" i="100"/>
  <c r="AH149" i="100"/>
  <c r="Y150" i="100"/>
  <c r="AG150" i="100"/>
  <c r="AO150" i="100"/>
  <c r="AF152" i="100"/>
  <c r="AF156" i="100"/>
  <c r="AN152" i="100"/>
  <c r="AN156" i="100"/>
  <c r="AE153" i="100"/>
  <c r="AM153" i="100"/>
  <c r="AD154" i="100"/>
  <c r="AL154" i="100"/>
  <c r="AC155" i="100"/>
  <c r="AK155" i="100"/>
  <c r="AB157" i="100"/>
  <c r="AB161" i="100"/>
  <c r="AJ157" i="100"/>
  <c r="AJ161" i="100"/>
  <c r="AA158" i="100"/>
  <c r="AI158" i="100"/>
  <c r="Z159" i="100"/>
  <c r="AH159" i="100"/>
  <c r="Y160" i="100"/>
  <c r="AG160" i="100"/>
  <c r="AO160" i="100"/>
  <c r="AF162" i="100"/>
  <c r="AF166" i="100"/>
  <c r="AN162" i="100"/>
  <c r="AN166" i="100"/>
  <c r="AE163" i="100"/>
  <c r="AM163" i="100"/>
  <c r="AD164" i="100"/>
  <c r="AL164" i="100"/>
  <c r="AC165" i="100"/>
  <c r="AK165" i="100"/>
  <c r="AB167" i="100"/>
  <c r="AB171" i="100"/>
  <c r="AJ167" i="100"/>
  <c r="AJ171" i="100"/>
  <c r="AA168" i="100"/>
  <c r="AI168" i="100"/>
  <c r="Z169" i="100"/>
  <c r="AH169" i="100"/>
  <c r="Y170" i="100"/>
  <c r="AG170" i="100"/>
  <c r="AO170" i="100"/>
  <c r="AF172" i="100"/>
  <c r="AF176" i="100"/>
  <c r="AN172" i="100"/>
  <c r="AN176" i="100"/>
  <c r="AE173" i="100"/>
  <c r="AM173" i="100"/>
  <c r="AD174" i="100"/>
  <c r="AL174" i="100"/>
  <c r="AC175" i="100"/>
  <c r="AK175" i="100"/>
  <c r="AB177" i="100"/>
  <c r="AB181" i="100"/>
  <c r="AJ177" i="100"/>
  <c r="AJ181" i="100"/>
  <c r="AA178" i="100"/>
  <c r="AI178" i="100"/>
  <c r="Z179" i="100"/>
  <c r="AH179" i="100"/>
  <c r="Y180" i="100"/>
  <c r="AG180" i="100"/>
  <c r="AO180" i="100"/>
  <c r="AF182" i="100"/>
  <c r="AF186" i="100"/>
  <c r="AN182" i="100"/>
  <c r="AN186" i="100"/>
  <c r="AE183" i="100"/>
  <c r="AM183" i="100"/>
  <c r="AD184" i="100"/>
  <c r="AL184" i="100"/>
  <c r="AC185" i="100"/>
  <c r="AK185" i="100"/>
  <c r="AB187" i="100"/>
  <c r="AB191" i="100"/>
  <c r="AJ187" i="100"/>
  <c r="AJ191" i="100"/>
  <c r="AA188" i="100"/>
  <c r="AI188" i="100"/>
  <c r="Z189" i="100"/>
  <c r="AH189" i="100"/>
  <c r="Y190" i="100"/>
  <c r="AG190" i="100"/>
  <c r="AO190" i="100"/>
  <c r="AF192" i="100"/>
  <c r="AF196" i="100"/>
  <c r="AN192" i="100"/>
  <c r="AN196" i="100"/>
  <c r="AE193" i="100"/>
  <c r="AM193" i="100"/>
  <c r="AD194" i="100"/>
  <c r="AL194" i="100"/>
  <c r="AC195" i="100"/>
  <c r="AK195" i="100"/>
  <c r="I198" i="100"/>
  <c r="Q198" i="100"/>
  <c r="AO198" i="100"/>
  <c r="I203" i="100"/>
  <c r="Q203" i="100"/>
  <c r="AO203" i="100"/>
  <c r="AB207" i="100"/>
  <c r="AB211" i="100"/>
  <c r="AJ207" i="100"/>
  <c r="AJ211" i="100"/>
  <c r="AA208" i="100"/>
  <c r="AI208" i="100"/>
  <c r="Z209" i="100"/>
  <c r="AH209" i="100"/>
  <c r="Y210" i="100"/>
  <c r="AG210" i="100"/>
  <c r="AO210" i="100"/>
  <c r="AN153" i="100"/>
  <c r="AE154" i="100"/>
  <c r="AM154" i="100"/>
  <c r="AD155" i="100"/>
  <c r="AL155" i="100"/>
  <c r="AC157" i="100"/>
  <c r="AC161" i="100"/>
  <c r="AK157" i="100"/>
  <c r="AK161" i="100"/>
  <c r="AB158" i="100"/>
  <c r="AJ158" i="100"/>
  <c r="AA159" i="100"/>
  <c r="AI159" i="100"/>
  <c r="Z160" i="100"/>
  <c r="AH160" i="100"/>
  <c r="Y162" i="100"/>
  <c r="Y166" i="100"/>
  <c r="AG162" i="100"/>
  <c r="AG166" i="100"/>
  <c r="AO162" i="100"/>
  <c r="AO166" i="100"/>
  <c r="AF163" i="100"/>
  <c r="AN163" i="100"/>
  <c r="AE164" i="100"/>
  <c r="AM164" i="100"/>
  <c r="AD165" i="100"/>
  <c r="AL165" i="100"/>
  <c r="AC167" i="100"/>
  <c r="AC171" i="100"/>
  <c r="AK167" i="100"/>
  <c r="AK171" i="100"/>
  <c r="AB168" i="100"/>
  <c r="AJ168" i="100"/>
  <c r="AA169" i="100"/>
  <c r="AI169" i="100"/>
  <c r="Z170" i="100"/>
  <c r="AH170" i="100"/>
  <c r="Y172" i="100"/>
  <c r="Y176" i="100"/>
  <c r="AG172" i="100"/>
  <c r="AG176" i="100"/>
  <c r="AO172" i="100"/>
  <c r="AO176" i="100"/>
  <c r="AF173" i="100"/>
  <c r="AN173" i="100"/>
  <c r="AE174" i="100"/>
  <c r="AM174" i="100"/>
  <c r="AD175" i="100"/>
  <c r="AL175" i="100"/>
  <c r="AC177" i="100"/>
  <c r="AC181" i="100"/>
  <c r="AK177" i="100"/>
  <c r="AK181" i="100"/>
  <c r="AB178" i="100"/>
  <c r="AJ178" i="100"/>
  <c r="AA179" i="100"/>
  <c r="AI179" i="100"/>
  <c r="Z180" i="100"/>
  <c r="AH180" i="100"/>
  <c r="Y182" i="100"/>
  <c r="Y186" i="100"/>
  <c r="AG182" i="100"/>
  <c r="AG186" i="100"/>
  <c r="AO182" i="100"/>
  <c r="AO186" i="100"/>
  <c r="AF183" i="100"/>
  <c r="AN183" i="100"/>
  <c r="AE184" i="100"/>
  <c r="AM184" i="100"/>
  <c r="AD185" i="100"/>
  <c r="AL185" i="100"/>
  <c r="AC187" i="100"/>
  <c r="AC191" i="100"/>
  <c r="AK187" i="100"/>
  <c r="AK191" i="100"/>
  <c r="AB188" i="100"/>
  <c r="AJ188" i="100"/>
  <c r="AA189" i="100"/>
  <c r="AI189" i="100"/>
  <c r="Z190" i="100"/>
  <c r="AH190" i="100"/>
  <c r="Y192" i="100"/>
  <c r="Y196" i="100"/>
  <c r="AG192" i="100"/>
  <c r="AG196" i="100"/>
  <c r="AO192" i="100"/>
  <c r="AO196" i="100"/>
  <c r="AF193" i="100"/>
  <c r="AN193" i="100"/>
  <c r="AE194" i="100"/>
  <c r="AM194" i="100"/>
  <c r="AD195" i="100"/>
  <c r="AL195" i="100"/>
  <c r="J199" i="100"/>
  <c r="R198" i="100"/>
  <c r="Y199" i="100"/>
  <c r="J203" i="100"/>
  <c r="Y204" i="100"/>
  <c r="AC207" i="100"/>
  <c r="AC211" i="100"/>
  <c r="AK207" i="100"/>
  <c r="AK211" i="100"/>
  <c r="AB208" i="100"/>
  <c r="AJ208" i="100"/>
  <c r="AA209" i="100"/>
  <c r="AI209" i="100"/>
  <c r="Z210" i="100"/>
  <c r="AH210" i="100"/>
  <c r="AN154" i="100"/>
  <c r="AE155" i="100"/>
  <c r="AM155" i="100"/>
  <c r="AD157" i="100"/>
  <c r="AD161" i="100"/>
  <c r="AL157" i="100"/>
  <c r="AL161" i="100"/>
  <c r="AC158" i="100"/>
  <c r="AK158" i="100"/>
  <c r="AB159" i="100"/>
  <c r="AJ159" i="100"/>
  <c r="AA160" i="100"/>
  <c r="AI160" i="100"/>
  <c r="Z162" i="100"/>
  <c r="Z166" i="100"/>
  <c r="AH162" i="100"/>
  <c r="AH166" i="100"/>
  <c r="Y163" i="100"/>
  <c r="AG163" i="100"/>
  <c r="AO163" i="100"/>
  <c r="AF164" i="100"/>
  <c r="AN164" i="100"/>
  <c r="AE165" i="100"/>
  <c r="AM165" i="100"/>
  <c r="AD167" i="100"/>
  <c r="AD171" i="100"/>
  <c r="AL167" i="100"/>
  <c r="AL171" i="100"/>
  <c r="AC168" i="100"/>
  <c r="AK168" i="100"/>
  <c r="AB169" i="100"/>
  <c r="AJ169" i="100"/>
  <c r="AA170" i="100"/>
  <c r="AI170" i="100"/>
  <c r="Z172" i="100"/>
  <c r="Z176" i="100"/>
  <c r="AH172" i="100"/>
  <c r="AH176" i="100"/>
  <c r="Y173" i="100"/>
  <c r="AG173" i="100"/>
  <c r="AO173" i="100"/>
  <c r="AF174" i="100"/>
  <c r="AN174" i="100"/>
  <c r="AE175" i="100"/>
  <c r="AM175" i="100"/>
  <c r="AD177" i="100"/>
  <c r="AD181" i="100"/>
  <c r="AL177" i="100"/>
  <c r="AL181" i="100"/>
  <c r="AC178" i="100"/>
  <c r="AK178" i="100"/>
  <c r="AB179" i="100"/>
  <c r="AJ179" i="100"/>
  <c r="AA180" i="100"/>
  <c r="AI180" i="100"/>
  <c r="Z182" i="100"/>
  <c r="Z186" i="100"/>
  <c r="AH182" i="100"/>
  <c r="AH186" i="100"/>
  <c r="Y183" i="100"/>
  <c r="AG183" i="100"/>
  <c r="AO183" i="100"/>
  <c r="AF184" i="100"/>
  <c r="AN184" i="100"/>
  <c r="AE185" i="100"/>
  <c r="AM185" i="100"/>
  <c r="AD187" i="100"/>
  <c r="AD191" i="100"/>
  <c r="AL187" i="100"/>
  <c r="AL191" i="100"/>
  <c r="AC188" i="100"/>
  <c r="AK188" i="100"/>
  <c r="AB189" i="100"/>
  <c r="AJ189" i="100"/>
  <c r="AA190" i="100"/>
  <c r="AI190" i="100"/>
  <c r="Z192" i="100"/>
  <c r="Z196" i="100"/>
  <c r="AH192" i="100"/>
  <c r="AH196" i="100"/>
  <c r="Y193" i="100"/>
  <c r="AG193" i="100"/>
  <c r="AO193" i="100"/>
  <c r="AF194" i="100"/>
  <c r="AN194" i="100"/>
  <c r="AE195" i="100"/>
  <c r="AM195" i="100"/>
  <c r="Z199" i="100"/>
  <c r="K203" i="100"/>
  <c r="S204" i="100"/>
  <c r="Z204" i="100"/>
  <c r="AD207" i="100"/>
  <c r="AD211" i="100"/>
  <c r="AL207" i="100"/>
  <c r="AL211" i="100"/>
  <c r="AC208" i="100"/>
  <c r="AK208" i="100"/>
  <c r="AB209" i="100"/>
  <c r="AJ209" i="100"/>
  <c r="AA210" i="100"/>
  <c r="AI210" i="100"/>
  <c r="AI162" i="100"/>
  <c r="AI166" i="100"/>
  <c r="Z163" i="100"/>
  <c r="AH163" i="100"/>
  <c r="Y164" i="100"/>
  <c r="AG164" i="100"/>
  <c r="AO164" i="100"/>
  <c r="AE167" i="100"/>
  <c r="AE171" i="100"/>
  <c r="AM167" i="100"/>
  <c r="AM171" i="100"/>
  <c r="AD168" i="100"/>
  <c r="AL168" i="100"/>
  <c r="AC169" i="100"/>
  <c r="AK169" i="100"/>
  <c r="AA172" i="100"/>
  <c r="AA176" i="100"/>
  <c r="AI172" i="100"/>
  <c r="AI176" i="100"/>
  <c r="Z173" i="100"/>
  <c r="AH173" i="100"/>
  <c r="Y174" i="100"/>
  <c r="AG174" i="100"/>
  <c r="AO174" i="100"/>
  <c r="AE177" i="100"/>
  <c r="AE181" i="100"/>
  <c r="AM177" i="100"/>
  <c r="AM181" i="100"/>
  <c r="AD178" i="100"/>
  <c r="AL178" i="100"/>
  <c r="AC179" i="100"/>
  <c r="AK179" i="100"/>
  <c r="AA182" i="100"/>
  <c r="AA186" i="100"/>
  <c r="AI182" i="100"/>
  <c r="AI186" i="100"/>
  <c r="Z183" i="100"/>
  <c r="AH183" i="100"/>
  <c r="Y184" i="100"/>
  <c r="AG184" i="100"/>
  <c r="AO184" i="100"/>
  <c r="AE187" i="100"/>
  <c r="AE191" i="100"/>
  <c r="AM187" i="100"/>
  <c r="AM191" i="100"/>
  <c r="AD188" i="100"/>
  <c r="AL188" i="100"/>
  <c r="AC189" i="100"/>
  <c r="AK189" i="100"/>
  <c r="AA192" i="100"/>
  <c r="AA196" i="100"/>
  <c r="AI192" i="100"/>
  <c r="AI196" i="100"/>
  <c r="Z193" i="100"/>
  <c r="AH193" i="100"/>
  <c r="Y194" i="100"/>
  <c r="AG194" i="100"/>
  <c r="AO194" i="100"/>
  <c r="L199" i="100"/>
  <c r="AO199" i="100"/>
  <c r="L204" i="100"/>
  <c r="AO204" i="100"/>
  <c r="AE207" i="100"/>
  <c r="AE211" i="100"/>
  <c r="AM207" i="100"/>
  <c r="AM211" i="100"/>
  <c r="AD208" i="100"/>
  <c r="AL208" i="100"/>
  <c r="AC209" i="100"/>
  <c r="AK209" i="100"/>
  <c r="AF177" i="100"/>
  <c r="AF181" i="100"/>
  <c r="AN177" i="100"/>
  <c r="AN181" i="100"/>
  <c r="AE178" i="100"/>
  <c r="AM178" i="100"/>
  <c r="AD179" i="100"/>
  <c r="AL179" i="100"/>
  <c r="AB182" i="100"/>
  <c r="AB186" i="100"/>
  <c r="AJ182" i="100"/>
  <c r="AJ186" i="100"/>
  <c r="AA183" i="100"/>
  <c r="AI183" i="100"/>
  <c r="Z184" i="100"/>
  <c r="AH184" i="100"/>
  <c r="AF187" i="100"/>
  <c r="AF191" i="100"/>
  <c r="AN187" i="100"/>
  <c r="AN191" i="100"/>
  <c r="AE188" i="100"/>
  <c r="AM188" i="100"/>
  <c r="AD189" i="100"/>
  <c r="AL189" i="100"/>
  <c r="AB192" i="100"/>
  <c r="AB196" i="100"/>
  <c r="AJ192" i="100"/>
  <c r="AJ196" i="100"/>
  <c r="AA193" i="100"/>
  <c r="AI193" i="100"/>
  <c r="Z194" i="100"/>
  <c r="AH194" i="100"/>
  <c r="M198" i="100"/>
  <c r="Y200" i="100"/>
  <c r="AO200" i="100"/>
  <c r="M203" i="100"/>
  <c r="Y205" i="100"/>
  <c r="AO205" i="100"/>
  <c r="AF207" i="100"/>
  <c r="AF211" i="100"/>
  <c r="AN207" i="100"/>
  <c r="AN211" i="100"/>
  <c r="AE208" i="100"/>
  <c r="AM208" i="100"/>
  <c r="AD209" i="100"/>
  <c r="AL209" i="100"/>
  <c r="AE131" i="100"/>
  <c r="AM131" i="100"/>
  <c r="AE78" i="100"/>
  <c r="AM78" i="100"/>
  <c r="AD79" i="100"/>
  <c r="AL79" i="100"/>
  <c r="AB83" i="100"/>
  <c r="AJ83" i="100"/>
  <c r="AA84" i="100"/>
  <c r="AI84" i="100"/>
  <c r="Z85" i="100"/>
  <c r="AH85" i="100"/>
  <c r="AF88" i="100"/>
  <c r="AN88" i="100"/>
  <c r="AE89" i="100"/>
  <c r="AM89" i="100"/>
  <c r="AD90" i="100"/>
  <c r="AL90" i="100"/>
  <c r="AB93" i="100"/>
  <c r="AJ93" i="100"/>
  <c r="AA94" i="100"/>
  <c r="AI94" i="100"/>
  <c r="Z95" i="100"/>
  <c r="AH95" i="100"/>
  <c r="AF98" i="100"/>
  <c r="AN98" i="100"/>
  <c r="AE99" i="100"/>
  <c r="AM99" i="100"/>
  <c r="AD100" i="100"/>
  <c r="AL100" i="100"/>
  <c r="AB103" i="100"/>
  <c r="AJ103" i="100"/>
  <c r="AA104" i="100"/>
  <c r="AI104" i="100"/>
  <c r="Z105" i="100"/>
  <c r="AH105" i="100"/>
  <c r="AG109" i="100"/>
  <c r="Y110" i="100"/>
  <c r="AH110" i="100"/>
  <c r="AG113" i="100"/>
  <c r="AO113" i="100"/>
  <c r="AF114" i="100"/>
  <c r="AN114" i="100"/>
  <c r="AE115" i="100"/>
  <c r="AM115" i="100"/>
  <c r="AC118" i="100"/>
  <c r="AK118" i="100"/>
  <c r="AB119" i="100"/>
  <c r="AJ119" i="100"/>
  <c r="AA120" i="100"/>
  <c r="AI120" i="100"/>
  <c r="Y123" i="100"/>
  <c r="AG123" i="100"/>
  <c r="AO123" i="100"/>
  <c r="AF124" i="100"/>
  <c r="AN124" i="100"/>
  <c r="AE125" i="100"/>
  <c r="AM125" i="100"/>
  <c r="Y133" i="100"/>
  <c r="AG133" i="100"/>
  <c r="AO133" i="100"/>
  <c r="AF134" i="100"/>
  <c r="AN134" i="100"/>
  <c r="AE135" i="100"/>
  <c r="AM135" i="100"/>
  <c r="AC138" i="100"/>
  <c r="AK138" i="100"/>
  <c r="AB139" i="100"/>
  <c r="AJ139" i="100"/>
  <c r="AA140" i="100"/>
  <c r="AI140" i="100"/>
  <c r="AA123" i="100"/>
  <c r="AI123" i="100"/>
  <c r="AA133" i="100"/>
  <c r="AI133" i="100"/>
  <c r="AE138" i="100"/>
  <c r="AM138" i="100"/>
  <c r="Z78" i="100"/>
  <c r="AH78" i="100"/>
  <c r="Y79" i="100"/>
  <c r="AG79" i="100"/>
  <c r="AO79" i="100"/>
  <c r="AE83" i="100"/>
  <c r="AM83" i="100"/>
  <c r="AD84" i="100"/>
  <c r="AL84" i="100"/>
  <c r="AA88" i="100"/>
  <c r="AI88" i="100"/>
  <c r="Z89" i="100"/>
  <c r="AH89" i="100"/>
  <c r="AE93" i="100"/>
  <c r="AM93" i="100"/>
  <c r="AD94" i="100"/>
  <c r="AL94" i="100"/>
  <c r="AA98" i="100"/>
  <c r="AI98" i="100"/>
  <c r="Z99" i="100"/>
  <c r="AH99" i="100"/>
  <c r="AE103" i="100"/>
  <c r="AM103" i="100"/>
  <c r="AD104" i="100"/>
  <c r="AL104" i="100"/>
  <c r="AJ109" i="100"/>
  <c r="AB110" i="100"/>
  <c r="AK110" i="100"/>
  <c r="AB113" i="100"/>
  <c r="AJ113" i="100"/>
  <c r="AA114" i="100"/>
  <c r="AI114" i="100"/>
  <c r="AF118" i="100"/>
  <c r="AN118" i="100"/>
  <c r="AE119" i="100"/>
  <c r="AM119" i="100"/>
  <c r="AB123" i="100"/>
  <c r="AD131" i="100"/>
  <c r="AL131" i="100"/>
  <c r="AC79" i="100"/>
  <c r="AK79" i="100"/>
  <c r="Y85" i="100"/>
  <c r="AG85" i="100"/>
  <c r="AO85" i="100"/>
  <c r="AK90" i="100"/>
  <c r="AC100" i="100"/>
  <c r="AK100" i="100"/>
  <c r="AG105" i="100"/>
  <c r="AO105" i="100"/>
  <c r="Z140" i="100"/>
  <c r="AH140" i="100"/>
  <c r="AN77" i="100"/>
  <c r="AN81" i="100"/>
  <c r="AD80" i="100"/>
  <c r="AL80" i="100"/>
  <c r="AC82" i="100"/>
  <c r="AC86" i="100"/>
  <c r="AK82" i="100"/>
  <c r="AK86" i="100"/>
  <c r="Y87" i="100"/>
  <c r="Y91" i="100"/>
  <c r="AG87" i="100"/>
  <c r="AG91" i="100"/>
  <c r="AO87" i="100"/>
  <c r="AO91" i="100"/>
  <c r="AC92" i="100"/>
  <c r="AC96" i="100"/>
  <c r="AK92" i="100"/>
  <c r="AK96" i="100"/>
  <c r="Y97" i="100"/>
  <c r="Y101" i="100"/>
  <c r="AG97" i="100"/>
  <c r="AG101" i="100"/>
  <c r="AO97" i="100"/>
  <c r="AO101" i="100"/>
  <c r="AC102" i="100"/>
  <c r="AC106" i="100"/>
  <c r="AK102" i="100"/>
  <c r="AK106" i="100"/>
  <c r="AO107" i="100"/>
  <c r="AO108" i="100"/>
  <c r="AO111" i="100"/>
  <c r="AO109" i="100"/>
  <c r="AF108" i="100"/>
  <c r="AF107" i="100"/>
  <c r="AF111" i="100"/>
  <c r="AN108" i="100"/>
  <c r="AN111" i="100"/>
  <c r="AN107" i="100"/>
  <c r="Z112" i="100"/>
  <c r="Z116" i="100"/>
  <c r="AH112" i="100"/>
  <c r="AH116" i="100"/>
  <c r="AF77" i="100"/>
  <c r="AF81" i="100"/>
  <c r="AF131" i="100"/>
  <c r="AN131" i="100"/>
  <c r="Y77" i="100"/>
  <c r="Y80" i="100"/>
  <c r="Y81" i="100"/>
  <c r="AG77" i="100"/>
  <c r="AG81" i="100"/>
  <c r="AO77" i="100"/>
  <c r="AO81" i="100"/>
  <c r="AF78" i="100"/>
  <c r="AN78" i="100"/>
  <c r="AE79" i="100"/>
  <c r="AM79" i="100"/>
  <c r="AE80" i="100"/>
  <c r="AM80" i="100"/>
  <c r="AD82" i="100"/>
  <c r="AD86" i="100"/>
  <c r="AL82" i="100"/>
  <c r="AL86" i="100"/>
  <c r="AC83" i="100"/>
  <c r="AK83" i="100"/>
  <c r="AB84" i="100"/>
  <c r="AO131" i="100"/>
  <c r="Z77" i="100"/>
  <c r="Z81" i="100"/>
  <c r="AH77" i="100"/>
  <c r="AH81" i="100"/>
  <c r="Y78" i="100"/>
  <c r="AG78" i="100"/>
  <c r="AO78" i="100"/>
  <c r="AF79" i="100"/>
  <c r="AN79" i="100"/>
  <c r="AF80" i="100"/>
  <c r="AN80" i="100"/>
  <c r="AE82" i="100"/>
  <c r="AE86" i="100"/>
  <c r="AM82" i="100"/>
  <c r="AM86" i="100"/>
  <c r="AD83" i="100"/>
  <c r="AL83" i="100"/>
  <c r="AC84" i="100"/>
  <c r="AK84" i="100"/>
  <c r="AB85" i="100"/>
  <c r="AJ85" i="100"/>
  <c r="AA87" i="100"/>
  <c r="AA91" i="100"/>
  <c r="AI87" i="100"/>
  <c r="AI91" i="100"/>
  <c r="Z88" i="100"/>
  <c r="AH88" i="100"/>
  <c r="Y131" i="100"/>
  <c r="AA77" i="100"/>
  <c r="AA81" i="100"/>
  <c r="AI77" i="100"/>
  <c r="AI81" i="100"/>
  <c r="AG80" i="100"/>
  <c r="AO80" i="100"/>
  <c r="AF82" i="100"/>
  <c r="AF86" i="100"/>
  <c r="AN82" i="100"/>
  <c r="AN86" i="100"/>
  <c r="AC85" i="100"/>
  <c r="AK85" i="100"/>
  <c r="AB87" i="100"/>
  <c r="AB91" i="100"/>
  <c r="AJ87" i="100"/>
  <c r="AJ91" i="100"/>
  <c r="Y90" i="100"/>
  <c r="AG90" i="100"/>
  <c r="AO90" i="100"/>
  <c r="AF92" i="100"/>
  <c r="AF96" i="100"/>
  <c r="AN92" i="100"/>
  <c r="AN96" i="100"/>
  <c r="AC95" i="100"/>
  <c r="AK95" i="100"/>
  <c r="AB97" i="100"/>
  <c r="AB101" i="100"/>
  <c r="AG131" i="100"/>
  <c r="AH131" i="100"/>
  <c r="Z131" i="100"/>
  <c r="AI131" i="100"/>
  <c r="AB77" i="100"/>
  <c r="AB81" i="100"/>
  <c r="AJ77" i="100"/>
  <c r="AJ81" i="100"/>
  <c r="AA78" i="100"/>
  <c r="AI78" i="100"/>
  <c r="Z79" i="100"/>
  <c r="AH79" i="100"/>
  <c r="Z80" i="100"/>
  <c r="AH80" i="100"/>
  <c r="Y82" i="100"/>
  <c r="Y86" i="100"/>
  <c r="AG82" i="100"/>
  <c r="AG86" i="100"/>
  <c r="AB131" i="100"/>
  <c r="AJ131" i="100"/>
  <c r="AA131" i="100"/>
  <c r="AC77" i="100"/>
  <c r="AC81" i="100"/>
  <c r="AK77" i="100"/>
  <c r="AK81" i="100"/>
  <c r="AB78" i="100"/>
  <c r="AJ78" i="100"/>
  <c r="AA79" i="100"/>
  <c r="AI79" i="100"/>
  <c r="AA80" i="100"/>
  <c r="AI80" i="100"/>
  <c r="Z82" i="100"/>
  <c r="Z86" i="100"/>
  <c r="AH82" i="100"/>
  <c r="AH86" i="100"/>
  <c r="Y83" i="100"/>
  <c r="AC131" i="100"/>
  <c r="AK131" i="100"/>
  <c r="AD77" i="100"/>
  <c r="AD81" i="100"/>
  <c r="AL77" i="100"/>
  <c r="AL81" i="100"/>
  <c r="AC78" i="100"/>
  <c r="AK78" i="100"/>
  <c r="AB79" i="100"/>
  <c r="AJ79" i="100"/>
  <c r="AB80" i="100"/>
  <c r="AJ80" i="100"/>
  <c r="AA82" i="100"/>
  <c r="AA86" i="100"/>
  <c r="AI82" i="100"/>
  <c r="AI86" i="100"/>
  <c r="AE77" i="100"/>
  <c r="AE81" i="100"/>
  <c r="AM77" i="100"/>
  <c r="AM81" i="100"/>
  <c r="AD78" i="100"/>
  <c r="AL78" i="100"/>
  <c r="AC80" i="100"/>
  <c r="AK80" i="100"/>
  <c r="AB82" i="100"/>
  <c r="AB86" i="100"/>
  <c r="AJ82" i="100"/>
  <c r="AJ86" i="100"/>
  <c r="AA83" i="100"/>
  <c r="AI83" i="100"/>
  <c r="Z84" i="100"/>
  <c r="AH84" i="100"/>
  <c r="Y113" i="100"/>
  <c r="Y116" i="100"/>
  <c r="Y112" i="100"/>
  <c r="AD117" i="100"/>
  <c r="AD121" i="100"/>
  <c r="AL117" i="100"/>
  <c r="AL121" i="100"/>
  <c r="Z122" i="100"/>
  <c r="Z126" i="100"/>
  <c r="AH122" i="100"/>
  <c r="AH126" i="100"/>
  <c r="AD127" i="100"/>
  <c r="AL127" i="100"/>
  <c r="AC128" i="100"/>
  <c r="AK128" i="100"/>
  <c r="AB129" i="100"/>
  <c r="AJ129" i="100"/>
  <c r="AA130" i="100"/>
  <c r="AI130" i="100"/>
  <c r="Z132" i="100"/>
  <c r="Z136" i="100"/>
  <c r="AH132" i="100"/>
  <c r="AH136" i="100"/>
  <c r="AD137" i="100"/>
  <c r="AD141" i="100"/>
  <c r="AL137" i="100"/>
  <c r="AL141" i="100"/>
  <c r="AJ84" i="100"/>
  <c r="AA85" i="100"/>
  <c r="AI85" i="100"/>
  <c r="Z87" i="100"/>
  <c r="Z91" i="100"/>
  <c r="AH87" i="100"/>
  <c r="AH91" i="100"/>
  <c r="Y88" i="100"/>
  <c r="AG88" i="100"/>
  <c r="AO88" i="100"/>
  <c r="AF89" i="100"/>
  <c r="AN89" i="100"/>
  <c r="AE90" i="100"/>
  <c r="AM90" i="100"/>
  <c r="AD92" i="100"/>
  <c r="AD96" i="100"/>
  <c r="AL92" i="100"/>
  <c r="AL96" i="100"/>
  <c r="AC93" i="100"/>
  <c r="AK93" i="100"/>
  <c r="AB94" i="100"/>
  <c r="AJ94" i="100"/>
  <c r="AA95" i="100"/>
  <c r="AI95" i="100"/>
  <c r="Z97" i="100"/>
  <c r="Z101" i="100"/>
  <c r="AH97" i="100"/>
  <c r="AH101" i="100"/>
  <c r="Y98" i="100"/>
  <c r="AG98" i="100"/>
  <c r="AO98" i="100"/>
  <c r="AF99" i="100"/>
  <c r="AN99" i="100"/>
  <c r="AE100" i="100"/>
  <c r="AM100" i="100"/>
  <c r="AD102" i="100"/>
  <c r="AD106" i="100"/>
  <c r="AL102" i="100"/>
  <c r="AL106" i="100"/>
  <c r="AC103" i="100"/>
  <c r="AK103" i="100"/>
  <c r="AB104" i="100"/>
  <c r="AJ104" i="100"/>
  <c r="AA105" i="100"/>
  <c r="AI105" i="100"/>
  <c r="Y108" i="100"/>
  <c r="Y107" i="100"/>
  <c r="Y111" i="100"/>
  <c r="AG108" i="100"/>
  <c r="AG111" i="100"/>
  <c r="AG107" i="100"/>
  <c r="Y109" i="100"/>
  <c r="AH109" i="100"/>
  <c r="Z110" i="100"/>
  <c r="AI110" i="100"/>
  <c r="AA112" i="100"/>
  <c r="AA116" i="100"/>
  <c r="AI112" i="100"/>
  <c r="AI116" i="100"/>
  <c r="Z113" i="100"/>
  <c r="AH113" i="100"/>
  <c r="Y114" i="100"/>
  <c r="AG114" i="100"/>
  <c r="AO114" i="100"/>
  <c r="AF115" i="100"/>
  <c r="AN115" i="100"/>
  <c r="AE117" i="100"/>
  <c r="AE121" i="100"/>
  <c r="AM117" i="100"/>
  <c r="AM121" i="100"/>
  <c r="AD118" i="100"/>
  <c r="AL118" i="100"/>
  <c r="AC119" i="100"/>
  <c r="AK119" i="100"/>
  <c r="AB120" i="100"/>
  <c r="AJ120" i="100"/>
  <c r="AA122" i="100"/>
  <c r="AA126" i="100"/>
  <c r="AI122" i="100"/>
  <c r="AI126" i="100"/>
  <c r="Z123" i="100"/>
  <c r="AH123" i="100"/>
  <c r="Y124" i="100"/>
  <c r="AG124" i="100"/>
  <c r="AO124" i="100"/>
  <c r="AF125" i="100"/>
  <c r="AN125" i="100"/>
  <c r="AE127" i="100"/>
  <c r="AM127" i="100"/>
  <c r="AD128" i="100"/>
  <c r="AL128" i="100"/>
  <c r="AC129" i="100"/>
  <c r="AK129" i="100"/>
  <c r="AB130" i="100"/>
  <c r="AJ130" i="100"/>
  <c r="AA132" i="100"/>
  <c r="AA136" i="100"/>
  <c r="AI132" i="100"/>
  <c r="AI136" i="100"/>
  <c r="Z133" i="100"/>
  <c r="AH133" i="100"/>
  <c r="Y134" i="100"/>
  <c r="AG134" i="100"/>
  <c r="AO134" i="100"/>
  <c r="AF135" i="100"/>
  <c r="AN135" i="100"/>
  <c r="AE137" i="100"/>
  <c r="AE141" i="100"/>
  <c r="AM137" i="100"/>
  <c r="AM141" i="100"/>
  <c r="AD138" i="100"/>
  <c r="AL138" i="100"/>
  <c r="AC139" i="100"/>
  <c r="AK139" i="100"/>
  <c r="AB140" i="100"/>
  <c r="AJ140" i="100"/>
  <c r="Y89" i="100"/>
  <c r="AG89" i="100"/>
  <c r="AO89" i="100"/>
  <c r="AF90" i="100"/>
  <c r="AN90" i="100"/>
  <c r="AE92" i="100"/>
  <c r="AE96" i="100"/>
  <c r="AM92" i="100"/>
  <c r="AM96" i="100"/>
  <c r="AD93" i="100"/>
  <c r="AL93" i="100"/>
  <c r="AC94" i="100"/>
  <c r="AK94" i="100"/>
  <c r="AB95" i="100"/>
  <c r="AJ95" i="100"/>
  <c r="AA97" i="100"/>
  <c r="AA101" i="100"/>
  <c r="AI97" i="100"/>
  <c r="AI101" i="100"/>
  <c r="Z98" i="100"/>
  <c r="AH98" i="100"/>
  <c r="Y99" i="100"/>
  <c r="AG99" i="100"/>
  <c r="AO99" i="100"/>
  <c r="AF100" i="100"/>
  <c r="AN100" i="100"/>
  <c r="AE102" i="100"/>
  <c r="AE106" i="100"/>
  <c r="AM102" i="100"/>
  <c r="AM106" i="100"/>
  <c r="AD103" i="100"/>
  <c r="AL103" i="100"/>
  <c r="AC104" i="100"/>
  <c r="AK104" i="100"/>
  <c r="AB105" i="100"/>
  <c r="AJ105" i="100"/>
  <c r="Z108" i="100"/>
  <c r="Z107" i="100"/>
  <c r="Z111" i="100"/>
  <c r="AH108" i="100"/>
  <c r="AH107" i="100"/>
  <c r="AH111" i="100"/>
  <c r="Z109" i="100"/>
  <c r="AI109" i="100"/>
  <c r="AA110" i="100"/>
  <c r="AJ110" i="100"/>
  <c r="AB112" i="100"/>
  <c r="AB116" i="100"/>
  <c r="AJ112" i="100"/>
  <c r="AJ116" i="100"/>
  <c r="AA113" i="100"/>
  <c r="AI113" i="100"/>
  <c r="Z114" i="100"/>
  <c r="AH114" i="100"/>
  <c r="Y115" i="100"/>
  <c r="AG115" i="100"/>
  <c r="AO115" i="100"/>
  <c r="AF117" i="100"/>
  <c r="AF121" i="100"/>
  <c r="AN117" i="100"/>
  <c r="AN121" i="100"/>
  <c r="AE118" i="100"/>
  <c r="AM118" i="100"/>
  <c r="AD119" i="100"/>
  <c r="AL119" i="100"/>
  <c r="AC120" i="100"/>
  <c r="AK120" i="100"/>
  <c r="AB122" i="100"/>
  <c r="AB126" i="100"/>
  <c r="AJ122" i="100"/>
  <c r="AJ126" i="100"/>
  <c r="Z124" i="100"/>
  <c r="AH124" i="100"/>
  <c r="Y125" i="100"/>
  <c r="AG125" i="100"/>
  <c r="AO125" i="100"/>
  <c r="AF127" i="100"/>
  <c r="AN127" i="100"/>
  <c r="AE128" i="100"/>
  <c r="AM128" i="100"/>
  <c r="AD129" i="100"/>
  <c r="AL129" i="100"/>
  <c r="AC130" i="100"/>
  <c r="AK130" i="100"/>
  <c r="AB132" i="100"/>
  <c r="AB136" i="100"/>
  <c r="AJ132" i="100"/>
  <c r="AJ136" i="100"/>
  <c r="Z134" i="100"/>
  <c r="AH134" i="100"/>
  <c r="Y135" i="100"/>
  <c r="AG135" i="100"/>
  <c r="AO135" i="100"/>
  <c r="AF137" i="100"/>
  <c r="AF141" i="100"/>
  <c r="AN137" i="100"/>
  <c r="AN141" i="100"/>
  <c r="AD139" i="100"/>
  <c r="AL139" i="100"/>
  <c r="AC140" i="100"/>
  <c r="AK140" i="100"/>
  <c r="AJ97" i="100"/>
  <c r="AJ101" i="100"/>
  <c r="Y100" i="100"/>
  <c r="AG100" i="100"/>
  <c r="AO100" i="100"/>
  <c r="AF102" i="100"/>
  <c r="AF106" i="100"/>
  <c r="AN102" i="100"/>
  <c r="AN106" i="100"/>
  <c r="AC105" i="100"/>
  <c r="AK105" i="100"/>
  <c r="AA108" i="100"/>
  <c r="AA107" i="100"/>
  <c r="AA111" i="100"/>
  <c r="AI108" i="100"/>
  <c r="AI107" i="100"/>
  <c r="AI111" i="100"/>
  <c r="AA109" i="100"/>
  <c r="AC112" i="100"/>
  <c r="AC116" i="100"/>
  <c r="AK112" i="100"/>
  <c r="AK116" i="100"/>
  <c r="Z115" i="100"/>
  <c r="AH115" i="100"/>
  <c r="Y117" i="100"/>
  <c r="Y121" i="100"/>
  <c r="AG117" i="100"/>
  <c r="AG121" i="100"/>
  <c r="AO117" i="100"/>
  <c r="AO121" i="100"/>
  <c r="AD120" i="100"/>
  <c r="AL120" i="100"/>
  <c r="AC122" i="100"/>
  <c r="AC126" i="100"/>
  <c r="AK122" i="100"/>
  <c r="AK126" i="100"/>
  <c r="AJ123" i="100"/>
  <c r="AA124" i="100"/>
  <c r="AI124" i="100"/>
  <c r="Z125" i="100"/>
  <c r="AH125" i="100"/>
  <c r="Y127" i="100"/>
  <c r="AG127" i="100"/>
  <c r="AO127" i="100"/>
  <c r="AF128" i="100"/>
  <c r="AN128" i="100"/>
  <c r="AE129" i="100"/>
  <c r="AM129" i="100"/>
  <c r="AD130" i="100"/>
  <c r="AL130" i="100"/>
  <c r="AC132" i="100"/>
  <c r="AC136" i="100"/>
  <c r="AK132" i="100"/>
  <c r="AK136" i="100"/>
  <c r="AB133" i="100"/>
  <c r="AJ133" i="100"/>
  <c r="AA134" i="100"/>
  <c r="AI134" i="100"/>
  <c r="Z135" i="100"/>
  <c r="AH135" i="100"/>
  <c r="Y137" i="100"/>
  <c r="Y141" i="100"/>
  <c r="AG137" i="100"/>
  <c r="AG141" i="100"/>
  <c r="AO137" i="100"/>
  <c r="AO141" i="100"/>
  <c r="AF138" i="100"/>
  <c r="AN138" i="100"/>
  <c r="AE139" i="100"/>
  <c r="AM139" i="100"/>
  <c r="AD140" i="100"/>
  <c r="AL140" i="100"/>
  <c r="AO82" i="100"/>
  <c r="AO86" i="100"/>
  <c r="AF83" i="100"/>
  <c r="AN83" i="100"/>
  <c r="AE84" i="100"/>
  <c r="AM84" i="100"/>
  <c r="AD85" i="100"/>
  <c r="AL85" i="100"/>
  <c r="AC87" i="100"/>
  <c r="AC91" i="100"/>
  <c r="AK87" i="100"/>
  <c r="AK91" i="100"/>
  <c r="AB88" i="100"/>
  <c r="AJ88" i="100"/>
  <c r="AA89" i="100"/>
  <c r="AI89" i="100"/>
  <c r="Z90" i="100"/>
  <c r="AH90" i="100"/>
  <c r="Y92" i="100"/>
  <c r="Y96" i="100"/>
  <c r="AG92" i="100"/>
  <c r="AG96" i="100"/>
  <c r="AO92" i="100"/>
  <c r="AO96" i="100"/>
  <c r="AF93" i="100"/>
  <c r="AN93" i="100"/>
  <c r="AE94" i="100"/>
  <c r="AM94" i="100"/>
  <c r="AD95" i="100"/>
  <c r="AL95" i="100"/>
  <c r="AC97" i="100"/>
  <c r="AC101" i="100"/>
  <c r="AK97" i="100"/>
  <c r="AK101" i="100"/>
  <c r="AB98" i="100"/>
  <c r="AJ98" i="100"/>
  <c r="AA99" i="100"/>
  <c r="AI99" i="100"/>
  <c r="Z100" i="100"/>
  <c r="AH100" i="100"/>
  <c r="Y102" i="100"/>
  <c r="Y106" i="100"/>
  <c r="AG102" i="100"/>
  <c r="AG106" i="100"/>
  <c r="AO102" i="100"/>
  <c r="AO106" i="100"/>
  <c r="AF103" i="100"/>
  <c r="AN103" i="100"/>
  <c r="AE104" i="100"/>
  <c r="AM104" i="100"/>
  <c r="AD105" i="100"/>
  <c r="AL105" i="100"/>
  <c r="AB108" i="100"/>
  <c r="AB111" i="100"/>
  <c r="AB107" i="100"/>
  <c r="AJ108" i="100"/>
  <c r="AJ107" i="100"/>
  <c r="AJ111" i="100"/>
  <c r="AB109" i="100"/>
  <c r="AK109" i="100"/>
  <c r="AD110" i="100"/>
  <c r="AL110" i="100"/>
  <c r="AD112" i="100"/>
  <c r="AD116" i="100"/>
  <c r="AL112" i="100"/>
  <c r="AL116" i="100"/>
  <c r="AC113" i="100"/>
  <c r="AK113" i="100"/>
  <c r="AB114" i="100"/>
  <c r="AJ114" i="100"/>
  <c r="AA115" i="100"/>
  <c r="AI115" i="100"/>
  <c r="Z117" i="100"/>
  <c r="Z121" i="100"/>
  <c r="AH117" i="100"/>
  <c r="AH121" i="100"/>
  <c r="Y118" i="100"/>
  <c r="AG118" i="100"/>
  <c r="AO118" i="100"/>
  <c r="AF119" i="100"/>
  <c r="AN119" i="100"/>
  <c r="AE120" i="100"/>
  <c r="AM120" i="100"/>
  <c r="AD122" i="100"/>
  <c r="AD126" i="100"/>
  <c r="AL122" i="100"/>
  <c r="AL126" i="100"/>
  <c r="AC123" i="100"/>
  <c r="AK123" i="100"/>
  <c r="AB124" i="100"/>
  <c r="AJ124" i="100"/>
  <c r="AA125" i="100"/>
  <c r="AI125" i="100"/>
  <c r="Z127" i="100"/>
  <c r="AH127" i="100"/>
  <c r="Y128" i="100"/>
  <c r="AG128" i="100"/>
  <c r="AO128" i="100"/>
  <c r="AF129" i="100"/>
  <c r="AN129" i="100"/>
  <c r="AE130" i="100"/>
  <c r="AM130" i="100"/>
  <c r="AD132" i="100"/>
  <c r="AD136" i="100"/>
  <c r="AL132" i="100"/>
  <c r="AL136" i="100"/>
  <c r="AC133" i="100"/>
  <c r="AK133" i="100"/>
  <c r="AB134" i="100"/>
  <c r="AJ134" i="100"/>
  <c r="AA135" i="100"/>
  <c r="AI135" i="100"/>
  <c r="Z137" i="100"/>
  <c r="Z141" i="100"/>
  <c r="AH137" i="100"/>
  <c r="AH141" i="100"/>
  <c r="Y138" i="100"/>
  <c r="AG138" i="100"/>
  <c r="AO138" i="100"/>
  <c r="AF139" i="100"/>
  <c r="AN139" i="100"/>
  <c r="AE140" i="100"/>
  <c r="AM140" i="100"/>
  <c r="AG83" i="100"/>
  <c r="AO83" i="100"/>
  <c r="AF84" i="100"/>
  <c r="AN84" i="100"/>
  <c r="AE85" i="100"/>
  <c r="AM85" i="100"/>
  <c r="AD87" i="100"/>
  <c r="AD91" i="100"/>
  <c r="AL87" i="100"/>
  <c r="AL91" i="100"/>
  <c r="AC88" i="100"/>
  <c r="AK88" i="100"/>
  <c r="AB89" i="100"/>
  <c r="AJ89" i="100"/>
  <c r="AA90" i="100"/>
  <c r="AI90" i="100"/>
  <c r="Z92" i="100"/>
  <c r="Z96" i="100"/>
  <c r="AH92" i="100"/>
  <c r="AH96" i="100"/>
  <c r="Y93" i="100"/>
  <c r="AG93" i="100"/>
  <c r="AO93" i="100"/>
  <c r="AF94" i="100"/>
  <c r="AN94" i="100"/>
  <c r="AE95" i="100"/>
  <c r="AM95" i="100"/>
  <c r="AD97" i="100"/>
  <c r="AD101" i="100"/>
  <c r="AL97" i="100"/>
  <c r="AL101" i="100"/>
  <c r="AC98" i="100"/>
  <c r="AK98" i="100"/>
  <c r="AB99" i="100"/>
  <c r="AJ99" i="100"/>
  <c r="AA100" i="100"/>
  <c r="AI100" i="100"/>
  <c r="Z102" i="100"/>
  <c r="Z106" i="100"/>
  <c r="AH102" i="100"/>
  <c r="AH106" i="100"/>
  <c r="Y103" i="100"/>
  <c r="AG103" i="100"/>
  <c r="AO103" i="100"/>
  <c r="AF104" i="100"/>
  <c r="AN104" i="100"/>
  <c r="AE105" i="100"/>
  <c r="AM105" i="100"/>
  <c r="AC108" i="100"/>
  <c r="AC110" i="100"/>
  <c r="AC111" i="100"/>
  <c r="AC107" i="100"/>
  <c r="AC109" i="100"/>
  <c r="AK108" i="100"/>
  <c r="AK107" i="100"/>
  <c r="AK111" i="100"/>
  <c r="AD109" i="100"/>
  <c r="AL109" i="100"/>
  <c r="AE110" i="100"/>
  <c r="AM110" i="100"/>
  <c r="AE112" i="100"/>
  <c r="AE116" i="100"/>
  <c r="AM112" i="100"/>
  <c r="AM116" i="100"/>
  <c r="AD113" i="100"/>
  <c r="AL113" i="100"/>
  <c r="AC114" i="100"/>
  <c r="AK114" i="100"/>
  <c r="AB115" i="100"/>
  <c r="AJ115" i="100"/>
  <c r="AA117" i="100"/>
  <c r="AA121" i="100"/>
  <c r="AI117" i="100"/>
  <c r="AI121" i="100"/>
  <c r="Z118" i="100"/>
  <c r="AH118" i="100"/>
  <c r="Y119" i="100"/>
  <c r="AG119" i="100"/>
  <c r="AO119" i="100"/>
  <c r="AF120" i="100"/>
  <c r="AN120" i="100"/>
  <c r="AE122" i="100"/>
  <c r="AE126" i="100"/>
  <c r="AM122" i="100"/>
  <c r="AM126" i="100"/>
  <c r="AD123" i="100"/>
  <c r="AL123" i="100"/>
  <c r="AC124" i="100"/>
  <c r="AK124" i="100"/>
  <c r="AB125" i="100"/>
  <c r="AJ125" i="100"/>
  <c r="AA127" i="100"/>
  <c r="AI127" i="100"/>
  <c r="Z128" i="100"/>
  <c r="AH128" i="100"/>
  <c r="Y129" i="100"/>
  <c r="AG129" i="100"/>
  <c r="AO129" i="100"/>
  <c r="AF130" i="100"/>
  <c r="AN130" i="100"/>
  <c r="AE132" i="100"/>
  <c r="AE136" i="100"/>
  <c r="AM132" i="100"/>
  <c r="AM136" i="100"/>
  <c r="AD133" i="100"/>
  <c r="AL133" i="100"/>
  <c r="AC134" i="100"/>
  <c r="AK134" i="100"/>
  <c r="AB135" i="100"/>
  <c r="AJ135" i="100"/>
  <c r="AA137" i="100"/>
  <c r="AA141" i="100"/>
  <c r="AI137" i="100"/>
  <c r="AI141" i="100"/>
  <c r="Z138" i="100"/>
  <c r="AH138" i="100"/>
  <c r="Y139" i="100"/>
  <c r="AG139" i="100"/>
  <c r="AO139" i="100"/>
  <c r="AF140" i="100"/>
  <c r="AN140" i="100"/>
  <c r="Z83" i="100"/>
  <c r="AH83" i="100"/>
  <c r="Y84" i="100"/>
  <c r="AG84" i="100"/>
  <c r="AO84" i="100"/>
  <c r="AF85" i="100"/>
  <c r="AN85" i="100"/>
  <c r="AE87" i="100"/>
  <c r="AE91" i="100"/>
  <c r="AM87" i="100"/>
  <c r="AM91" i="100"/>
  <c r="AD88" i="100"/>
  <c r="AL88" i="100"/>
  <c r="AC89" i="100"/>
  <c r="AK89" i="100"/>
  <c r="AB90" i="100"/>
  <c r="AJ90" i="100"/>
  <c r="AA92" i="100"/>
  <c r="AA96" i="100"/>
  <c r="AI92" i="100"/>
  <c r="AI96" i="100"/>
  <c r="Z93" i="100"/>
  <c r="AH93" i="100"/>
  <c r="Y94" i="100"/>
  <c r="AG94" i="100"/>
  <c r="AO94" i="100"/>
  <c r="AF95" i="100"/>
  <c r="AN95" i="100"/>
  <c r="AE97" i="100"/>
  <c r="AE101" i="100"/>
  <c r="AM97" i="100"/>
  <c r="AM101" i="100"/>
  <c r="AD98" i="100"/>
  <c r="AL98" i="100"/>
  <c r="AC99" i="100"/>
  <c r="AK99" i="100"/>
  <c r="AB100" i="100"/>
  <c r="AJ100" i="100"/>
  <c r="AA102" i="100"/>
  <c r="AA106" i="100"/>
  <c r="AI102" i="100"/>
  <c r="AI106" i="100"/>
  <c r="Z103" i="100"/>
  <c r="AH103" i="100"/>
  <c r="Y104" i="100"/>
  <c r="AG104" i="100"/>
  <c r="AO104" i="100"/>
  <c r="AF105" i="100"/>
  <c r="AN105" i="100"/>
  <c r="AD108" i="100"/>
  <c r="AD111" i="100"/>
  <c r="AD107" i="100"/>
  <c r="AL108" i="100"/>
  <c r="AL111" i="100"/>
  <c r="AL107" i="100"/>
  <c r="AE109" i="100"/>
  <c r="AM109" i="100"/>
  <c r="AF110" i="100"/>
  <c r="AN110" i="100"/>
  <c r="AF112" i="100"/>
  <c r="AF116" i="100"/>
  <c r="AN112" i="100"/>
  <c r="AN116" i="100"/>
  <c r="AE113" i="100"/>
  <c r="AM113" i="100"/>
  <c r="AD114" i="100"/>
  <c r="AL114" i="100"/>
  <c r="AC115" i="100"/>
  <c r="AK115" i="100"/>
  <c r="AB117" i="100"/>
  <c r="AB121" i="100"/>
  <c r="AJ117" i="100"/>
  <c r="AJ121" i="100"/>
  <c r="AA118" i="100"/>
  <c r="AI118" i="100"/>
  <c r="Z119" i="100"/>
  <c r="AH119" i="100"/>
  <c r="Y120" i="100"/>
  <c r="AG120" i="100"/>
  <c r="AO120" i="100"/>
  <c r="AF122" i="100"/>
  <c r="AF126" i="100"/>
  <c r="AN122" i="100"/>
  <c r="AN126" i="100"/>
  <c r="AE123" i="100"/>
  <c r="AM123" i="100"/>
  <c r="AD124" i="100"/>
  <c r="AL124" i="100"/>
  <c r="AC125" i="100"/>
  <c r="AK125" i="100"/>
  <c r="AB127" i="100"/>
  <c r="AJ127" i="100"/>
  <c r="AA128" i="100"/>
  <c r="AI128" i="100"/>
  <c r="Z129" i="100"/>
  <c r="AH129" i="100"/>
  <c r="Y130" i="100"/>
  <c r="AG130" i="100"/>
  <c r="AO130" i="100"/>
  <c r="AF132" i="100"/>
  <c r="AF136" i="100"/>
  <c r="AN132" i="100"/>
  <c r="AN136" i="100"/>
  <c r="AE133" i="100"/>
  <c r="AM133" i="100"/>
  <c r="AD134" i="100"/>
  <c r="AL134" i="100"/>
  <c r="AC135" i="100"/>
  <c r="AK135" i="100"/>
  <c r="AB137" i="100"/>
  <c r="AB141" i="100"/>
  <c r="AJ137" i="100"/>
  <c r="AJ141" i="100"/>
  <c r="AA138" i="100"/>
  <c r="AI138" i="100"/>
  <c r="Z139" i="100"/>
  <c r="AH139" i="100"/>
  <c r="Y140" i="100"/>
  <c r="AG140" i="100"/>
  <c r="AO140" i="100"/>
  <c r="AF87" i="100"/>
  <c r="AF91" i="100"/>
  <c r="AN87" i="100"/>
  <c r="AN91" i="100"/>
  <c r="AE88" i="100"/>
  <c r="AM88" i="100"/>
  <c r="AD89" i="100"/>
  <c r="AL89" i="100"/>
  <c r="AC90" i="100"/>
  <c r="AB92" i="100"/>
  <c r="AB96" i="100"/>
  <c r="AJ92" i="100"/>
  <c r="AJ96" i="100"/>
  <c r="AA93" i="100"/>
  <c r="AI93" i="100"/>
  <c r="Z94" i="100"/>
  <c r="AH94" i="100"/>
  <c r="Y95" i="100"/>
  <c r="AG95" i="100"/>
  <c r="AO95" i="100"/>
  <c r="AF97" i="100"/>
  <c r="AF101" i="100"/>
  <c r="AN97" i="100"/>
  <c r="AN101" i="100"/>
  <c r="AE98" i="100"/>
  <c r="AM98" i="100"/>
  <c r="AD99" i="100"/>
  <c r="AL99" i="100"/>
  <c r="AB102" i="100"/>
  <c r="AB106" i="100"/>
  <c r="AJ102" i="100"/>
  <c r="AJ106" i="100"/>
  <c r="AA103" i="100"/>
  <c r="AI103" i="100"/>
  <c r="Z104" i="100"/>
  <c r="AH104" i="100"/>
  <c r="Y105" i="100"/>
  <c r="AE108" i="100"/>
  <c r="AE111" i="100"/>
  <c r="AE107" i="100"/>
  <c r="AM108" i="100"/>
  <c r="AM107" i="100"/>
  <c r="AM111" i="100"/>
  <c r="AF109" i="100"/>
  <c r="AN109" i="100"/>
  <c r="AG110" i="100"/>
  <c r="AO110" i="100"/>
  <c r="AG112" i="100"/>
  <c r="AG116" i="100"/>
  <c r="AO112" i="100"/>
  <c r="AO116" i="100"/>
  <c r="AF113" i="100"/>
  <c r="AN113" i="100"/>
  <c r="AE114" i="100"/>
  <c r="AM114" i="100"/>
  <c r="AD115" i="100"/>
  <c r="AL115" i="100"/>
  <c r="AC117" i="100"/>
  <c r="AC121" i="100"/>
  <c r="AK117" i="100"/>
  <c r="AK121" i="100"/>
  <c r="AB118" i="100"/>
  <c r="AJ118" i="100"/>
  <c r="AA119" i="100"/>
  <c r="AI119" i="100"/>
  <c r="Z120" i="100"/>
  <c r="AH120" i="100"/>
  <c r="Y122" i="100"/>
  <c r="Y126" i="100"/>
  <c r="AG122" i="100"/>
  <c r="AG126" i="100"/>
  <c r="AO122" i="100"/>
  <c r="AO126" i="100"/>
  <c r="AF123" i="100"/>
  <c r="AN123" i="100"/>
  <c r="AE124" i="100"/>
  <c r="AM124" i="100"/>
  <c r="AD125" i="100"/>
  <c r="AL125" i="100"/>
  <c r="AC127" i="100"/>
  <c r="AK127" i="100"/>
  <c r="AB128" i="100"/>
  <c r="AJ128" i="100"/>
  <c r="AA129" i="100"/>
  <c r="AI129" i="100"/>
  <c r="Z130" i="100"/>
  <c r="AH130" i="100"/>
  <c r="Y132" i="100"/>
  <c r="Y136" i="100"/>
  <c r="AG132" i="100"/>
  <c r="AG136" i="100"/>
  <c r="AO132" i="100"/>
  <c r="AO136" i="100"/>
  <c r="AF133" i="100"/>
  <c r="AN133" i="100"/>
  <c r="AE134" i="100"/>
  <c r="AM134" i="100"/>
  <c r="AD135" i="100"/>
  <c r="AL135" i="100"/>
  <c r="AC137" i="100"/>
  <c r="AC141" i="100"/>
  <c r="AK137" i="100"/>
  <c r="AK141" i="100"/>
  <c r="AB138" i="100"/>
  <c r="AJ138" i="100"/>
  <c r="AA139" i="100"/>
  <c r="AI139" i="100"/>
  <c r="AB14" i="100"/>
  <c r="Z27" i="111"/>
  <c r="AH27" i="111"/>
  <c r="AA57" i="111"/>
  <c r="AI57" i="111"/>
  <c r="AI65" i="111"/>
  <c r="W57" i="111"/>
  <c r="AE57" i="111"/>
  <c r="W65" i="111"/>
  <c r="AE65" i="111"/>
  <c r="Z14" i="111"/>
  <c r="AH14" i="111"/>
  <c r="Y27" i="111"/>
  <c r="AG27" i="111"/>
  <c r="Z65" i="111"/>
  <c r="AH65" i="111"/>
  <c r="AB14" i="111"/>
  <c r="AJ14" i="111"/>
  <c r="AA15" i="111"/>
  <c r="AI15" i="111"/>
  <c r="AJ14" i="100"/>
  <c r="Y7" i="100"/>
  <c r="Z18" i="100"/>
  <c r="AH18" i="100"/>
  <c r="Y19" i="100"/>
  <c r="AG19" i="100"/>
  <c r="AO19" i="100"/>
  <c r="AD23" i="100"/>
  <c r="AL23" i="100"/>
  <c r="AC24" i="100"/>
  <c r="AK24" i="100"/>
  <c r="Y29" i="100"/>
  <c r="AG29" i="100"/>
  <c r="AO29" i="100"/>
  <c r="AC34" i="100"/>
  <c r="AK34" i="100"/>
  <c r="Y39" i="100"/>
  <c r="AG39" i="100"/>
  <c r="AO39" i="100"/>
  <c r="AC44" i="100"/>
  <c r="AK44" i="100"/>
  <c r="Y49" i="100"/>
  <c r="AG49" i="100"/>
  <c r="AO49" i="100"/>
  <c r="AC54" i="100"/>
  <c r="AK54" i="100"/>
  <c r="Y59" i="100"/>
  <c r="AG59" i="100"/>
  <c r="AO59" i="100"/>
  <c r="AC64" i="100"/>
  <c r="AK64" i="100"/>
  <c r="Y69" i="100"/>
  <c r="AG69" i="100"/>
  <c r="AO69" i="100"/>
  <c r="AF20" i="100"/>
  <c r="AB35" i="100"/>
  <c r="AN40" i="100"/>
  <c r="AJ55" i="100"/>
  <c r="AJ25" i="100"/>
  <c r="AF40" i="100"/>
  <c r="AB55" i="100"/>
  <c r="AN60" i="100"/>
  <c r="AB25" i="100"/>
  <c r="AN30" i="100"/>
  <c r="AJ45" i="100"/>
  <c r="AF60" i="100"/>
  <c r="AN20" i="100"/>
  <c r="AB45" i="100"/>
  <c r="AN50" i="100"/>
  <c r="AJ65" i="100"/>
  <c r="AN70" i="100"/>
  <c r="AF30" i="100"/>
  <c r="AJ35" i="100"/>
  <c r="AF50" i="100"/>
  <c r="AB65" i="100"/>
  <c r="AF70" i="100"/>
  <c r="Z28" i="100"/>
  <c r="AL33" i="100"/>
  <c r="AH38" i="100"/>
  <c r="AD43" i="100"/>
  <c r="Z48" i="100"/>
  <c r="AL53" i="100"/>
  <c r="AH58" i="100"/>
  <c r="AD63" i="100"/>
  <c r="Z68" i="100"/>
  <c r="AH28" i="100"/>
  <c r="AD33" i="100"/>
  <c r="Z38" i="100"/>
  <c r="AL43" i="100"/>
  <c r="AH48" i="100"/>
  <c r="AD53" i="100"/>
  <c r="Z58" i="100"/>
  <c r="AL63" i="100"/>
  <c r="AH68" i="100"/>
  <c r="AE14" i="100"/>
  <c r="AM14" i="100"/>
  <c r="AC18" i="100"/>
  <c r="AK18" i="100"/>
  <c r="Y23" i="100"/>
  <c r="AG23" i="100"/>
  <c r="AO23" i="100"/>
  <c r="AC28" i="100"/>
  <c r="AK28" i="100"/>
  <c r="Y33" i="100"/>
  <c r="AG33" i="100"/>
  <c r="AO33" i="100"/>
  <c r="AC38" i="100"/>
  <c r="AK38" i="100"/>
  <c r="Y43" i="100"/>
  <c r="AG43" i="100"/>
  <c r="AO43" i="100"/>
  <c r="AC48" i="100"/>
  <c r="AK48" i="100"/>
  <c r="Y53" i="100"/>
  <c r="AG53" i="100"/>
  <c r="AO53" i="100"/>
  <c r="AC58" i="100"/>
  <c r="AK58" i="100"/>
  <c r="Y63" i="100"/>
  <c r="AG63" i="100"/>
  <c r="AO63" i="100"/>
  <c r="AC68" i="100"/>
  <c r="AK68" i="100"/>
  <c r="AB69" i="100"/>
  <c r="AJ69" i="100"/>
  <c r="AB15" i="100"/>
  <c r="AI37" i="100"/>
  <c r="AI41" i="100"/>
  <c r="AM22" i="100"/>
  <c r="AM26" i="100"/>
  <c r="AI27" i="100"/>
  <c r="AI31" i="100"/>
  <c r="AE32" i="100"/>
  <c r="AE36" i="100"/>
  <c r="AA37" i="100"/>
  <c r="AA41" i="100"/>
  <c r="AI67" i="100"/>
  <c r="AI71" i="100"/>
  <c r="AO8" i="100"/>
  <c r="AD13" i="100"/>
  <c r="AJ17" i="100"/>
  <c r="AJ21" i="100"/>
  <c r="AG20" i="100"/>
  <c r="AD24" i="100"/>
  <c r="AI28" i="100"/>
  <c r="AN32" i="100"/>
  <c r="AN36" i="100"/>
  <c r="AC35" i="100"/>
  <c r="Z39" i="100"/>
  <c r="AN42" i="100"/>
  <c r="AN46" i="100"/>
  <c r="AC45" i="100"/>
  <c r="AB47" i="100"/>
  <c r="AB51" i="100"/>
  <c r="AA48" i="100"/>
  <c r="Z49" i="100"/>
  <c r="Y50" i="100"/>
  <c r="AO50" i="100"/>
  <c r="AF52" i="100"/>
  <c r="AF56" i="100"/>
  <c r="AN52" i="100"/>
  <c r="AN56" i="100"/>
  <c r="AE53" i="100"/>
  <c r="AM53" i="100"/>
  <c r="AD54" i="100"/>
  <c r="AL54" i="100"/>
  <c r="AC55" i="100"/>
  <c r="AK55" i="100"/>
  <c r="AB57" i="100"/>
  <c r="AB61" i="100"/>
  <c r="AJ57" i="100"/>
  <c r="AJ61" i="100"/>
  <c r="AA58" i="100"/>
  <c r="AI58" i="100"/>
  <c r="Z59" i="100"/>
  <c r="AM32" i="100"/>
  <c r="AM36" i="100"/>
  <c r="AK14" i="100"/>
  <c r="AA18" i="100"/>
  <c r="AO20" i="100"/>
  <c r="AC25" i="100"/>
  <c r="AH29" i="100"/>
  <c r="AE33" i="100"/>
  <c r="AB37" i="100"/>
  <c r="AB41" i="100"/>
  <c r="Y40" i="100"/>
  <c r="AE43" i="100"/>
  <c r="AK45" i="100"/>
  <c r="AJ47" i="100"/>
  <c r="AJ51" i="100"/>
  <c r="AI48" i="100"/>
  <c r="AH49" i="100"/>
  <c r="AG50" i="100"/>
  <c r="AO9" i="100"/>
  <c r="AE12" i="100"/>
  <c r="AE16" i="100"/>
  <c r="AM12" i="100"/>
  <c r="AM16" i="100"/>
  <c r="AE13" i="100"/>
  <c r="AM13" i="100"/>
  <c r="AD14" i="100"/>
  <c r="AO7" i="100"/>
  <c r="AO11" i="100"/>
  <c r="AK12" i="100"/>
  <c r="AK16" i="100"/>
  <c r="AI17" i="100"/>
  <c r="AI21" i="100"/>
  <c r="AM52" i="100"/>
  <c r="AM56" i="100"/>
  <c r="AI57" i="100"/>
  <c r="AI61" i="100"/>
  <c r="AE62" i="100"/>
  <c r="AE66" i="100"/>
  <c r="AC14" i="100"/>
  <c r="Y20" i="100"/>
  <c r="AE23" i="100"/>
  <c r="AJ27" i="100"/>
  <c r="AJ31" i="100"/>
  <c r="AO30" i="100"/>
  <c r="AK35" i="100"/>
  <c r="AH39" i="100"/>
  <c r="AD44" i="100"/>
  <c r="AF12" i="100"/>
  <c r="AF16" i="100"/>
  <c r="AA20" i="100"/>
  <c r="AH22" i="100"/>
  <c r="AH26" i="100"/>
  <c r="AF24" i="100"/>
  <c r="AN24" i="100"/>
  <c r="AE25" i="100"/>
  <c r="AM25" i="100"/>
  <c r="AD27" i="100"/>
  <c r="AD31" i="100"/>
  <c r="AL27" i="100"/>
  <c r="AL31" i="100"/>
  <c r="AC13" i="100"/>
  <c r="AL13" i="100"/>
  <c r="AL24" i="100"/>
  <c r="Z29" i="100"/>
  <c r="AG12" i="100"/>
  <c r="AG16" i="100"/>
  <c r="AC12" i="100"/>
  <c r="AC16" i="100"/>
  <c r="AA17" i="100"/>
  <c r="AA21" i="100"/>
  <c r="AM42" i="100"/>
  <c r="AM46" i="100"/>
  <c r="AI47" i="100"/>
  <c r="AI51" i="100"/>
  <c r="AE52" i="100"/>
  <c r="AE56" i="100"/>
  <c r="AA57" i="100"/>
  <c r="AA61" i="100"/>
  <c r="AL12" i="100"/>
  <c r="AL16" i="100"/>
  <c r="AB17" i="100"/>
  <c r="AB21" i="100"/>
  <c r="AH19" i="100"/>
  <c r="AM23" i="100"/>
  <c r="AA28" i="100"/>
  <c r="AF32" i="100"/>
  <c r="AF36" i="100"/>
  <c r="AL34" i="100"/>
  <c r="AI38" i="100"/>
  <c r="AF42" i="100"/>
  <c r="AF46" i="100"/>
  <c r="AO10" i="100"/>
  <c r="AN13" i="100"/>
  <c r="AM15" i="100"/>
  <c r="AL17" i="100"/>
  <c r="AL21" i="100"/>
  <c r="AJ19" i="100"/>
  <c r="Y12" i="100"/>
  <c r="Y16" i="100"/>
  <c r="AK13" i="100"/>
  <c r="AE22" i="100"/>
  <c r="AE26" i="100"/>
  <c r="AA27" i="100"/>
  <c r="AA31" i="100"/>
  <c r="AM62" i="100"/>
  <c r="AM66" i="100"/>
  <c r="AA67" i="100"/>
  <c r="AA71" i="100"/>
  <c r="AD12" i="100"/>
  <c r="AD16" i="100"/>
  <c r="AK15" i="100"/>
  <c r="Z19" i="100"/>
  <c r="AN22" i="100"/>
  <c r="AN26" i="100"/>
  <c r="AK25" i="100"/>
  <c r="Y30" i="100"/>
  <c r="AM33" i="100"/>
  <c r="AJ37" i="100"/>
  <c r="AJ41" i="100"/>
  <c r="AG40" i="100"/>
  <c r="AM43" i="100"/>
  <c r="AN12" i="100"/>
  <c r="AN16" i="100"/>
  <c r="AD17" i="100"/>
  <c r="AD21" i="100"/>
  <c r="AB19" i="100"/>
  <c r="Z22" i="100"/>
  <c r="Z26" i="100"/>
  <c r="AJ15" i="100"/>
  <c r="AE42" i="100"/>
  <c r="AE46" i="100"/>
  <c r="AA47" i="100"/>
  <c r="AA51" i="100"/>
  <c r="AC15" i="100"/>
  <c r="AI18" i="100"/>
  <c r="AF22" i="100"/>
  <c r="AF26" i="100"/>
  <c r="AB27" i="100"/>
  <c r="AB31" i="100"/>
  <c r="AG30" i="100"/>
  <c r="AD34" i="100"/>
  <c r="AA38" i="100"/>
  <c r="AO40" i="100"/>
  <c r="AL44" i="100"/>
  <c r="AF13" i="100"/>
  <c r="AE15" i="100"/>
  <c r="AI20" i="100"/>
  <c r="AH59" i="100"/>
  <c r="Y60" i="100"/>
  <c r="AG60" i="100"/>
  <c r="AO60" i="100"/>
  <c r="AF62" i="100"/>
  <c r="AF66" i="100"/>
  <c r="AN62" i="100"/>
  <c r="AN66" i="100"/>
  <c r="AE63" i="100"/>
  <c r="AM63" i="100"/>
  <c r="AD64" i="100"/>
  <c r="AL64" i="100"/>
  <c r="AC65" i="100"/>
  <c r="AK65" i="100"/>
  <c r="AB67" i="100"/>
  <c r="AB71" i="100"/>
  <c r="AJ67" i="100"/>
  <c r="AJ71" i="100"/>
  <c r="AA68" i="100"/>
  <c r="AI68" i="100"/>
  <c r="Z69" i="100"/>
  <c r="AH69" i="100"/>
  <c r="Y70" i="100"/>
  <c r="AG70" i="100"/>
  <c r="AO70" i="100"/>
  <c r="AL14" i="100"/>
  <c r="AD15" i="100"/>
  <c r="AL15" i="100"/>
  <c r="AC17" i="100"/>
  <c r="AC21" i="100"/>
  <c r="AK17" i="100"/>
  <c r="AK21" i="100"/>
  <c r="AB18" i="100"/>
  <c r="AJ18" i="100"/>
  <c r="AA19" i="100"/>
  <c r="AI19" i="100"/>
  <c r="Z20" i="100"/>
  <c r="AH20" i="100"/>
  <c r="Y22" i="100"/>
  <c r="Y26" i="100"/>
  <c r="AG22" i="100"/>
  <c r="AG26" i="100"/>
  <c r="AO22" i="100"/>
  <c r="AO26" i="100"/>
  <c r="AF23" i="100"/>
  <c r="AN23" i="100"/>
  <c r="AE24" i="100"/>
  <c r="AM24" i="100"/>
  <c r="AD25" i="100"/>
  <c r="AL25" i="100"/>
  <c r="AC27" i="100"/>
  <c r="AC31" i="100"/>
  <c r="AK27" i="100"/>
  <c r="AK31" i="100"/>
  <c r="AB28" i="100"/>
  <c r="AJ28" i="100"/>
  <c r="AA29" i="100"/>
  <c r="AI29" i="100"/>
  <c r="Z30" i="100"/>
  <c r="AH30" i="100"/>
  <c r="Y32" i="100"/>
  <c r="Y36" i="100"/>
  <c r="AG32" i="100"/>
  <c r="AG36" i="100"/>
  <c r="AO32" i="100"/>
  <c r="AO36" i="100"/>
  <c r="AF33" i="100"/>
  <c r="AN33" i="100"/>
  <c r="AE34" i="100"/>
  <c r="AM34" i="100"/>
  <c r="AD35" i="100"/>
  <c r="AL35" i="100"/>
  <c r="AC37" i="100"/>
  <c r="AC41" i="100"/>
  <c r="AK37" i="100"/>
  <c r="AK41" i="100"/>
  <c r="AB38" i="100"/>
  <c r="AJ38" i="100"/>
  <c r="AA39" i="100"/>
  <c r="AI39" i="100"/>
  <c r="Z40" i="100"/>
  <c r="AH40" i="100"/>
  <c r="Y42" i="100"/>
  <c r="Y46" i="100"/>
  <c r="AG42" i="100"/>
  <c r="AG46" i="100"/>
  <c r="AO42" i="100"/>
  <c r="AO46" i="100"/>
  <c r="AF43" i="100"/>
  <c r="AN43" i="100"/>
  <c r="AE44" i="100"/>
  <c r="AM44" i="100"/>
  <c r="AD45" i="100"/>
  <c r="AL45" i="100"/>
  <c r="AC47" i="100"/>
  <c r="AC51" i="100"/>
  <c r="AK47" i="100"/>
  <c r="AK51" i="100"/>
  <c r="AB48" i="100"/>
  <c r="AJ48" i="100"/>
  <c r="AA49" i="100"/>
  <c r="AI49" i="100"/>
  <c r="Z50" i="100"/>
  <c r="AH50" i="100"/>
  <c r="Y52" i="100"/>
  <c r="Y56" i="100"/>
  <c r="AG52" i="100"/>
  <c r="AG56" i="100"/>
  <c r="AO52" i="100"/>
  <c r="AO56" i="100"/>
  <c r="AF53" i="100"/>
  <c r="AN53" i="100"/>
  <c r="AE54" i="100"/>
  <c r="AM54" i="100"/>
  <c r="AD55" i="100"/>
  <c r="AL55" i="100"/>
  <c r="AC57" i="100"/>
  <c r="AC61" i="100"/>
  <c r="AK57" i="100"/>
  <c r="AK61" i="100"/>
  <c r="AB58" i="100"/>
  <c r="AJ58" i="100"/>
  <c r="AA59" i="100"/>
  <c r="AI59" i="100"/>
  <c r="Z60" i="100"/>
  <c r="AH60" i="100"/>
  <c r="Y62" i="100"/>
  <c r="Y66" i="100"/>
  <c r="AG62" i="100"/>
  <c r="AG66" i="100"/>
  <c r="AO62" i="100"/>
  <c r="AO66" i="100"/>
  <c r="AF63" i="100"/>
  <c r="AN63" i="100"/>
  <c r="AE64" i="100"/>
  <c r="AM64" i="100"/>
  <c r="AD65" i="100"/>
  <c r="AL65" i="100"/>
  <c r="AC67" i="100"/>
  <c r="AC71" i="100"/>
  <c r="AK67" i="100"/>
  <c r="AK71" i="100"/>
  <c r="AB68" i="100"/>
  <c r="AJ68" i="100"/>
  <c r="AA69" i="100"/>
  <c r="AI69" i="100"/>
  <c r="Z70" i="100"/>
  <c r="AH70" i="100"/>
  <c r="AB29" i="100"/>
  <c r="AJ29" i="100"/>
  <c r="AA30" i="100"/>
  <c r="AI30" i="100"/>
  <c r="Z32" i="100"/>
  <c r="Z36" i="100"/>
  <c r="AH32" i="100"/>
  <c r="AH36" i="100"/>
  <c r="AF34" i="100"/>
  <c r="AN34" i="100"/>
  <c r="AE35" i="100"/>
  <c r="AM35" i="100"/>
  <c r="AD37" i="100"/>
  <c r="AD41" i="100"/>
  <c r="AL37" i="100"/>
  <c r="AL41" i="100"/>
  <c r="AB39" i="100"/>
  <c r="AJ39" i="100"/>
  <c r="AA40" i="100"/>
  <c r="AI40" i="100"/>
  <c r="Z42" i="100"/>
  <c r="Z46" i="100"/>
  <c r="AH42" i="100"/>
  <c r="AH46" i="100"/>
  <c r="AF44" i="100"/>
  <c r="AN44" i="100"/>
  <c r="AE45" i="100"/>
  <c r="AM45" i="100"/>
  <c r="AD47" i="100"/>
  <c r="AD51" i="100"/>
  <c r="AL47" i="100"/>
  <c r="AL51" i="100"/>
  <c r="AB49" i="100"/>
  <c r="AJ49" i="100"/>
  <c r="AA50" i="100"/>
  <c r="AI50" i="100"/>
  <c r="Z52" i="100"/>
  <c r="Z56" i="100"/>
  <c r="AH52" i="100"/>
  <c r="AH56" i="100"/>
  <c r="AF54" i="100"/>
  <c r="AN54" i="100"/>
  <c r="AE55" i="100"/>
  <c r="AM55" i="100"/>
  <c r="AD57" i="100"/>
  <c r="AD61" i="100"/>
  <c r="AL57" i="100"/>
  <c r="AL61" i="100"/>
  <c r="AB59" i="100"/>
  <c r="AJ59" i="100"/>
  <c r="AA60" i="100"/>
  <c r="AI60" i="100"/>
  <c r="Z62" i="100"/>
  <c r="Z66" i="100"/>
  <c r="AH62" i="100"/>
  <c r="AH66" i="100"/>
  <c r="AF64" i="100"/>
  <c r="AN64" i="100"/>
  <c r="AE65" i="100"/>
  <c r="AM65" i="100"/>
  <c r="AD67" i="100"/>
  <c r="AD71" i="100"/>
  <c r="AL67" i="100"/>
  <c r="AL71" i="100"/>
  <c r="AA70" i="100"/>
  <c r="AI70" i="100"/>
  <c r="AO12" i="100"/>
  <c r="AO16" i="100"/>
  <c r="AG13" i="100"/>
  <c r="AO13" i="100"/>
  <c r="AF14" i="100"/>
  <c r="AN14" i="100"/>
  <c r="AF15" i="100"/>
  <c r="AN15" i="100"/>
  <c r="AE17" i="100"/>
  <c r="AE21" i="100"/>
  <c r="AM17" i="100"/>
  <c r="AM21" i="100"/>
  <c r="AD18" i="100"/>
  <c r="AL18" i="100"/>
  <c r="AC19" i="100"/>
  <c r="AK19" i="100"/>
  <c r="AB20" i="100"/>
  <c r="AJ20" i="100"/>
  <c r="AA22" i="100"/>
  <c r="AA26" i="100"/>
  <c r="AI22" i="100"/>
  <c r="AI26" i="100"/>
  <c r="Z23" i="100"/>
  <c r="AH23" i="100"/>
  <c r="Y24" i="100"/>
  <c r="AG24" i="100"/>
  <c r="AO24" i="100"/>
  <c r="AF25" i="100"/>
  <c r="AN25" i="100"/>
  <c r="AE27" i="100"/>
  <c r="AE31" i="100"/>
  <c r="AM27" i="100"/>
  <c r="AM31" i="100"/>
  <c r="AD28" i="100"/>
  <c r="AL28" i="100"/>
  <c r="AC29" i="100"/>
  <c r="AK29" i="100"/>
  <c r="AB30" i="100"/>
  <c r="AJ30" i="100"/>
  <c r="AA32" i="100"/>
  <c r="AA36" i="100"/>
  <c r="AI32" i="100"/>
  <c r="AI36" i="100"/>
  <c r="Z33" i="100"/>
  <c r="AH33" i="100"/>
  <c r="Y34" i="100"/>
  <c r="AG34" i="100"/>
  <c r="AO34" i="100"/>
  <c r="AF35" i="100"/>
  <c r="AN35" i="100"/>
  <c r="AE37" i="100"/>
  <c r="AE41" i="100"/>
  <c r="AM37" i="100"/>
  <c r="AM41" i="100"/>
  <c r="AD38" i="100"/>
  <c r="AL38" i="100"/>
  <c r="AC39" i="100"/>
  <c r="AK39" i="100"/>
  <c r="AB40" i="100"/>
  <c r="AJ40" i="100"/>
  <c r="AA42" i="100"/>
  <c r="AA46" i="100"/>
  <c r="AI42" i="100"/>
  <c r="AI46" i="100"/>
  <c r="Z43" i="100"/>
  <c r="AH43" i="100"/>
  <c r="Y44" i="100"/>
  <c r="AG44" i="100"/>
  <c r="AO44" i="100"/>
  <c r="AF45" i="100"/>
  <c r="AN45" i="100"/>
  <c r="AE47" i="100"/>
  <c r="AE51" i="100"/>
  <c r="AM47" i="100"/>
  <c r="AM51" i="100"/>
  <c r="AD48" i="100"/>
  <c r="AL48" i="100"/>
  <c r="AC49" i="100"/>
  <c r="AK49" i="100"/>
  <c r="AB50" i="100"/>
  <c r="AJ50" i="100"/>
  <c r="AA52" i="100"/>
  <c r="AA56" i="100"/>
  <c r="AI52" i="100"/>
  <c r="AI56" i="100"/>
  <c r="Z53" i="100"/>
  <c r="AH53" i="100"/>
  <c r="Y54" i="100"/>
  <c r="AG54" i="100"/>
  <c r="AO54" i="100"/>
  <c r="AF55" i="100"/>
  <c r="AN55" i="100"/>
  <c r="AE57" i="100"/>
  <c r="AE61" i="100"/>
  <c r="AM57" i="100"/>
  <c r="AM61" i="100"/>
  <c r="AD58" i="100"/>
  <c r="AL58" i="100"/>
  <c r="AC59" i="100"/>
  <c r="AK59" i="100"/>
  <c r="AB60" i="100"/>
  <c r="AJ60" i="100"/>
  <c r="AA62" i="100"/>
  <c r="AA66" i="100"/>
  <c r="AI62" i="100"/>
  <c r="AI66" i="100"/>
  <c r="Z63" i="100"/>
  <c r="AH63" i="100"/>
  <c r="Y64" i="100"/>
  <c r="AG64" i="100"/>
  <c r="AO64" i="100"/>
  <c r="AF65" i="100"/>
  <c r="AN65" i="100"/>
  <c r="AE67" i="100"/>
  <c r="AE71" i="100"/>
  <c r="AM67" i="100"/>
  <c r="AM71" i="100"/>
  <c r="AD68" i="100"/>
  <c r="AL68" i="100"/>
  <c r="AC69" i="100"/>
  <c r="AK69" i="100"/>
  <c r="AB70" i="100"/>
  <c r="AJ70" i="100"/>
  <c r="Z12" i="100"/>
  <c r="Z16" i="100"/>
  <c r="AH12" i="100"/>
  <c r="AH16" i="100"/>
  <c r="Y13" i="100"/>
  <c r="AH13" i="100"/>
  <c r="Y14" i="100"/>
  <c r="AG14" i="100"/>
  <c r="AO14" i="100"/>
  <c r="AG15" i="100"/>
  <c r="AO15" i="100"/>
  <c r="AF17" i="100"/>
  <c r="AF21" i="100"/>
  <c r="AN17" i="100"/>
  <c r="AN21" i="100"/>
  <c r="AE18" i="100"/>
  <c r="AM18" i="100"/>
  <c r="AD19" i="100"/>
  <c r="AL19" i="100"/>
  <c r="AC20" i="100"/>
  <c r="AK20" i="100"/>
  <c r="AB22" i="100"/>
  <c r="AB26" i="100"/>
  <c r="AJ22" i="100"/>
  <c r="AJ26" i="100"/>
  <c r="AA23" i="100"/>
  <c r="AI23" i="100"/>
  <c r="Z24" i="100"/>
  <c r="AH24" i="100"/>
  <c r="Y25" i="100"/>
  <c r="AG25" i="100"/>
  <c r="AO25" i="100"/>
  <c r="AF27" i="100"/>
  <c r="AF31" i="100"/>
  <c r="AN27" i="100"/>
  <c r="AN31" i="100"/>
  <c r="AE28" i="100"/>
  <c r="AM28" i="100"/>
  <c r="AD29" i="100"/>
  <c r="AL29" i="100"/>
  <c r="AC30" i="100"/>
  <c r="AK30" i="100"/>
  <c r="AB32" i="100"/>
  <c r="AB36" i="100"/>
  <c r="AJ32" i="100"/>
  <c r="AJ36" i="100"/>
  <c r="AA33" i="100"/>
  <c r="AI33" i="100"/>
  <c r="Z34" i="100"/>
  <c r="AH34" i="100"/>
  <c r="Y35" i="100"/>
  <c r="AG35" i="100"/>
  <c r="AO35" i="100"/>
  <c r="AF37" i="100"/>
  <c r="AF41" i="100"/>
  <c r="AN37" i="100"/>
  <c r="AN41" i="100"/>
  <c r="AE38" i="100"/>
  <c r="AM38" i="100"/>
  <c r="AD39" i="100"/>
  <c r="AL39" i="100"/>
  <c r="AC40" i="100"/>
  <c r="AK40" i="100"/>
  <c r="AB42" i="100"/>
  <c r="AB46" i="100"/>
  <c r="AJ42" i="100"/>
  <c r="AJ46" i="100"/>
  <c r="AA43" i="100"/>
  <c r="AI43" i="100"/>
  <c r="Z44" i="100"/>
  <c r="AH44" i="100"/>
  <c r="Y45" i="100"/>
  <c r="AG45" i="100"/>
  <c r="AO45" i="100"/>
  <c r="AF47" i="100"/>
  <c r="AF51" i="100"/>
  <c r="AN47" i="100"/>
  <c r="AN51" i="100"/>
  <c r="AE48" i="100"/>
  <c r="AM48" i="100"/>
  <c r="AD49" i="100"/>
  <c r="AL49" i="100"/>
  <c r="AC50" i="100"/>
  <c r="AK50" i="100"/>
  <c r="AB52" i="100"/>
  <c r="AB56" i="100"/>
  <c r="AJ52" i="100"/>
  <c r="AJ56" i="100"/>
  <c r="AA53" i="100"/>
  <c r="AI53" i="100"/>
  <c r="Z54" i="100"/>
  <c r="AH54" i="100"/>
  <c r="Y55" i="100"/>
  <c r="AG55" i="100"/>
  <c r="AO55" i="100"/>
  <c r="AF57" i="100"/>
  <c r="AF61" i="100"/>
  <c r="AN57" i="100"/>
  <c r="AN61" i="100"/>
  <c r="AE58" i="100"/>
  <c r="AM58" i="100"/>
  <c r="AD59" i="100"/>
  <c r="AL59" i="100"/>
  <c r="AC60" i="100"/>
  <c r="AK60" i="100"/>
  <c r="AB62" i="100"/>
  <c r="AB66" i="100"/>
  <c r="AJ62" i="100"/>
  <c r="AJ66" i="100"/>
  <c r="AA63" i="100"/>
  <c r="AI63" i="100"/>
  <c r="Z64" i="100"/>
  <c r="AH64" i="100"/>
  <c r="Y65" i="100"/>
  <c r="AG65" i="100"/>
  <c r="AO65" i="100"/>
  <c r="AF67" i="100"/>
  <c r="AF71" i="100"/>
  <c r="AN67" i="100"/>
  <c r="AN71" i="100"/>
  <c r="AE68" i="100"/>
  <c r="AM68" i="100"/>
  <c r="AD69" i="100"/>
  <c r="AL69" i="100"/>
  <c r="AC70" i="100"/>
  <c r="AK70" i="100"/>
  <c r="AA12" i="100"/>
  <c r="AA13" i="100"/>
  <c r="AA16" i="100"/>
  <c r="AA15" i="100"/>
  <c r="AI12" i="100"/>
  <c r="AI16" i="100"/>
  <c r="Z13" i="100"/>
  <c r="AI13" i="100"/>
  <c r="Z14" i="100"/>
  <c r="AH14" i="100"/>
  <c r="Y15" i="100"/>
  <c r="AH15" i="100"/>
  <c r="Y17" i="100"/>
  <c r="Y21" i="100"/>
  <c r="AG17" i="100"/>
  <c r="AG21" i="100"/>
  <c r="AO17" i="100"/>
  <c r="AO21" i="100"/>
  <c r="AF18" i="100"/>
  <c r="AN18" i="100"/>
  <c r="AE19" i="100"/>
  <c r="AM19" i="100"/>
  <c r="AD20" i="100"/>
  <c r="AL20" i="100"/>
  <c r="AC22" i="100"/>
  <c r="AC26" i="100"/>
  <c r="AK22" i="100"/>
  <c r="AK26" i="100"/>
  <c r="AB23" i="100"/>
  <c r="AJ23" i="100"/>
  <c r="AA24" i="100"/>
  <c r="AI24" i="100"/>
  <c r="Z25" i="100"/>
  <c r="AH25" i="100"/>
  <c r="Y27" i="100"/>
  <c r="Y31" i="100"/>
  <c r="AG27" i="100"/>
  <c r="AG31" i="100"/>
  <c r="AO27" i="100"/>
  <c r="AO31" i="100"/>
  <c r="AF28" i="100"/>
  <c r="AN28" i="100"/>
  <c r="AE29" i="100"/>
  <c r="AM29" i="100"/>
  <c r="AD30" i="100"/>
  <c r="AL30" i="100"/>
  <c r="AC32" i="100"/>
  <c r="AC36" i="100"/>
  <c r="AK32" i="100"/>
  <c r="AK36" i="100"/>
  <c r="AB33" i="100"/>
  <c r="AJ33" i="100"/>
  <c r="AA34" i="100"/>
  <c r="AI34" i="100"/>
  <c r="Z35" i="100"/>
  <c r="AH35" i="100"/>
  <c r="Y37" i="100"/>
  <c r="Y41" i="100"/>
  <c r="AG37" i="100"/>
  <c r="AG41" i="100"/>
  <c r="AO37" i="100"/>
  <c r="AO41" i="100"/>
  <c r="AF38" i="100"/>
  <c r="AN38" i="100"/>
  <c r="AE39" i="100"/>
  <c r="AM39" i="100"/>
  <c r="AD40" i="100"/>
  <c r="AL40" i="100"/>
  <c r="AC42" i="100"/>
  <c r="AC46" i="100"/>
  <c r="AK42" i="100"/>
  <c r="AK46" i="100"/>
  <c r="AB43" i="100"/>
  <c r="AJ43" i="100"/>
  <c r="AA44" i="100"/>
  <c r="AI44" i="100"/>
  <c r="Z45" i="100"/>
  <c r="AH45" i="100"/>
  <c r="Y47" i="100"/>
  <c r="Y51" i="100"/>
  <c r="AG47" i="100"/>
  <c r="AG51" i="100"/>
  <c r="AO47" i="100"/>
  <c r="AO51" i="100"/>
  <c r="AF48" i="100"/>
  <c r="AN48" i="100"/>
  <c r="AE49" i="100"/>
  <c r="AM49" i="100"/>
  <c r="AD50" i="100"/>
  <c r="AL50" i="100"/>
  <c r="AC52" i="100"/>
  <c r="AC56" i="100"/>
  <c r="AK52" i="100"/>
  <c r="AK56" i="100"/>
  <c r="AB53" i="100"/>
  <c r="AJ53" i="100"/>
  <c r="AA54" i="100"/>
  <c r="AI54" i="100"/>
  <c r="Z55" i="100"/>
  <c r="AH55" i="100"/>
  <c r="Y57" i="100"/>
  <c r="Y61" i="100"/>
  <c r="AG57" i="100"/>
  <c r="AG61" i="100"/>
  <c r="AO57" i="100"/>
  <c r="AO61" i="100"/>
  <c r="AF58" i="100"/>
  <c r="AN58" i="100"/>
  <c r="AE59" i="100"/>
  <c r="AM59" i="100"/>
  <c r="AD60" i="100"/>
  <c r="AL60" i="100"/>
  <c r="AC62" i="100"/>
  <c r="AC66" i="100"/>
  <c r="AK62" i="100"/>
  <c r="AK66" i="100"/>
  <c r="AB63" i="100"/>
  <c r="AJ63" i="100"/>
  <c r="AA64" i="100"/>
  <c r="AI64" i="100"/>
  <c r="Z65" i="100"/>
  <c r="AH65" i="100"/>
  <c r="Y67" i="100"/>
  <c r="Y71" i="100"/>
  <c r="AG67" i="100"/>
  <c r="AG71" i="100"/>
  <c r="AO67" i="100"/>
  <c r="AO71" i="100"/>
  <c r="AF68" i="100"/>
  <c r="AN68" i="100"/>
  <c r="AE69" i="100"/>
  <c r="AM69" i="100"/>
  <c r="AD70" i="100"/>
  <c r="AL70" i="100"/>
  <c r="AB12" i="100"/>
  <c r="AB16" i="100"/>
  <c r="AJ12" i="100"/>
  <c r="AJ16" i="100"/>
  <c r="AB13" i="100"/>
  <c r="AJ13" i="100"/>
  <c r="AA14" i="100"/>
  <c r="AI14" i="100"/>
  <c r="Z15" i="100"/>
  <c r="AI15" i="100"/>
  <c r="Z17" i="100"/>
  <c r="Z21" i="100"/>
  <c r="AH17" i="100"/>
  <c r="AH21" i="100"/>
  <c r="Y18" i="100"/>
  <c r="AG18" i="100"/>
  <c r="AO18" i="100"/>
  <c r="AF19" i="100"/>
  <c r="AN19" i="100"/>
  <c r="AE20" i="100"/>
  <c r="AM20" i="100"/>
  <c r="AD22" i="100"/>
  <c r="AD26" i="100"/>
  <c r="AL22" i="100"/>
  <c r="AL26" i="100"/>
  <c r="AC23" i="100"/>
  <c r="AK23" i="100"/>
  <c r="AB24" i="100"/>
  <c r="AJ24" i="100"/>
  <c r="AA25" i="100"/>
  <c r="AI25" i="100"/>
  <c r="Z27" i="100"/>
  <c r="Z31" i="100"/>
  <c r="AH27" i="100"/>
  <c r="AH31" i="100"/>
  <c r="Y28" i="100"/>
  <c r="AG28" i="100"/>
  <c r="AO28" i="100"/>
  <c r="AF29" i="100"/>
  <c r="AN29" i="100"/>
  <c r="AE30" i="100"/>
  <c r="AM30" i="100"/>
  <c r="AD32" i="100"/>
  <c r="AD36" i="100"/>
  <c r="AL32" i="100"/>
  <c r="AL36" i="100"/>
  <c r="AC33" i="100"/>
  <c r="AK33" i="100"/>
  <c r="AB34" i="100"/>
  <c r="AJ34" i="100"/>
  <c r="AA35" i="100"/>
  <c r="AI35" i="100"/>
  <c r="Z37" i="100"/>
  <c r="Z41" i="100"/>
  <c r="AH37" i="100"/>
  <c r="AH41" i="100"/>
  <c r="Y38" i="100"/>
  <c r="AG38" i="100"/>
  <c r="AO38" i="100"/>
  <c r="AF39" i="100"/>
  <c r="AN39" i="100"/>
  <c r="AE40" i="100"/>
  <c r="AM40" i="100"/>
  <c r="AD42" i="100"/>
  <c r="AD46" i="100"/>
  <c r="AL42" i="100"/>
  <c r="AL46" i="100"/>
  <c r="AC43" i="100"/>
  <c r="AK43" i="100"/>
  <c r="AB44" i="100"/>
  <c r="AJ44" i="100"/>
  <c r="AA45" i="100"/>
  <c r="AI45" i="100"/>
  <c r="Z47" i="100"/>
  <c r="Z51" i="100"/>
  <c r="AH47" i="100"/>
  <c r="AH51" i="100"/>
  <c r="Y48" i="100"/>
  <c r="AG48" i="100"/>
  <c r="AO48" i="100"/>
  <c r="AF49" i="100"/>
  <c r="AN49" i="100"/>
  <c r="AE50" i="100"/>
  <c r="AM50" i="100"/>
  <c r="AD52" i="100"/>
  <c r="AD56" i="100"/>
  <c r="AL52" i="100"/>
  <c r="AL56" i="100"/>
  <c r="AC53" i="100"/>
  <c r="AK53" i="100"/>
  <c r="AB54" i="100"/>
  <c r="AJ54" i="100"/>
  <c r="AA55" i="100"/>
  <c r="AI55" i="100"/>
  <c r="Z57" i="100"/>
  <c r="Z61" i="100"/>
  <c r="AH57" i="100"/>
  <c r="AH61" i="100"/>
  <c r="Y58" i="100"/>
  <c r="AG58" i="100"/>
  <c r="AO58" i="100"/>
  <c r="AF59" i="100"/>
  <c r="AN59" i="100"/>
  <c r="AE60" i="100"/>
  <c r="AM60" i="100"/>
  <c r="AD62" i="100"/>
  <c r="AD66" i="100"/>
  <c r="AL62" i="100"/>
  <c r="AL66" i="100"/>
  <c r="AC63" i="100"/>
  <c r="AK63" i="100"/>
  <c r="AB64" i="100"/>
  <c r="AJ64" i="100"/>
  <c r="AA65" i="100"/>
  <c r="AI65" i="100"/>
  <c r="Z67" i="100"/>
  <c r="Z71" i="100"/>
  <c r="AH67" i="100"/>
  <c r="AH71" i="100"/>
  <c r="Y68" i="100"/>
  <c r="AG68" i="100"/>
  <c r="AO68" i="100"/>
  <c r="AF69" i="100"/>
  <c r="AN69" i="100"/>
  <c r="AE70" i="100"/>
  <c r="AM70" i="100"/>
  <c r="AJ8" i="100"/>
  <c r="Y9" i="100"/>
  <c r="AG9" i="100"/>
  <c r="AF10" i="100"/>
  <c r="AN10" i="100"/>
  <c r="AB8" i="100"/>
  <c r="AE9" i="100"/>
  <c r="AM9" i="100"/>
  <c r="AH8" i="100"/>
  <c r="Z8" i="100"/>
  <c r="AA7" i="100"/>
  <c r="AA11" i="100"/>
  <c r="AB7" i="100"/>
  <c r="AB11" i="100"/>
  <c r="AJ7" i="100"/>
  <c r="AJ11" i="100"/>
  <c r="AA8" i="100"/>
  <c r="AI8" i="100"/>
  <c r="Z9" i="100"/>
  <c r="AH9" i="100"/>
  <c r="Y10" i="100"/>
  <c r="AG10" i="100"/>
  <c r="AK7" i="100"/>
  <c r="AK11" i="100"/>
  <c r="AH10" i="100"/>
  <c r="AC8" i="100"/>
  <c r="AI10" i="100"/>
  <c r="AI7" i="100"/>
  <c r="AI11" i="100"/>
  <c r="AA9" i="100"/>
  <c r="AK8" i="100"/>
  <c r="AE7" i="100"/>
  <c r="AE11" i="100"/>
  <c r="AM7" i="100"/>
  <c r="AM11" i="100"/>
  <c r="AD8" i="100"/>
  <c r="AL8" i="100"/>
  <c r="AC9" i="100"/>
  <c r="AK9" i="100"/>
  <c r="AB10" i="100"/>
  <c r="AJ10" i="100"/>
  <c r="AI9" i="100"/>
  <c r="AL7" i="100"/>
  <c r="AL11" i="100"/>
  <c r="AJ9" i="100"/>
  <c r="AF7" i="100"/>
  <c r="AF11" i="100"/>
  <c r="AN7" i="100"/>
  <c r="AN11" i="100"/>
  <c r="AE8" i="100"/>
  <c r="AM8" i="100"/>
  <c r="AD9" i="100"/>
  <c r="AL9" i="100"/>
  <c r="AC10" i="100"/>
  <c r="AK10" i="100"/>
  <c r="AB9" i="100"/>
  <c r="Y11" i="100"/>
  <c r="AG7" i="100"/>
  <c r="AG11" i="100"/>
  <c r="AF8" i="100"/>
  <c r="AN8" i="100"/>
  <c r="AD10" i="100"/>
  <c r="AL10" i="100"/>
  <c r="AC7" i="100"/>
  <c r="AC11" i="100"/>
  <c r="Z10" i="100"/>
  <c r="AD7" i="100"/>
  <c r="AD11" i="100"/>
  <c r="AA10" i="100"/>
  <c r="Z7" i="100"/>
  <c r="Z11" i="100"/>
  <c r="AH7" i="100"/>
  <c r="AH11" i="100"/>
  <c r="Y8" i="100"/>
  <c r="AG8" i="100"/>
  <c r="AF9" i="100"/>
  <c r="AN9" i="100"/>
  <c r="AE10" i="100"/>
  <c r="AM10" i="100"/>
  <c r="W30" i="111"/>
  <c r="AA8" i="111"/>
  <c r="AI8" i="111"/>
  <c r="AC15" i="111"/>
  <c r="AK15" i="111"/>
  <c r="AC27" i="111"/>
  <c r="AK27" i="111"/>
  <c r="X47" i="111"/>
  <c r="AF47" i="111"/>
  <c r="W42" i="111"/>
  <c r="AE42" i="111"/>
  <c r="Z47" i="111"/>
  <c r="AH47" i="111"/>
  <c r="W7" i="111"/>
  <c r="AE7" i="111"/>
  <c r="Y30" i="111"/>
  <c r="AG30" i="111"/>
  <c r="W43" i="111"/>
  <c r="AE43" i="111"/>
  <c r="AA47" i="111"/>
  <c r="AI47" i="111"/>
  <c r="X50" i="111"/>
  <c r="AF50" i="111"/>
  <c r="AK17" i="111"/>
  <c r="AB18" i="111"/>
  <c r="AJ18" i="111"/>
  <c r="AE27" i="111"/>
  <c r="X15" i="111"/>
  <c r="AF15" i="111"/>
  <c r="X27" i="111"/>
  <c r="AF27" i="111"/>
  <c r="AI30" i="111"/>
  <c r="Z11" i="111"/>
  <c r="W40" i="111"/>
  <c r="AE40" i="111"/>
  <c r="W47" i="111"/>
  <c r="AE47" i="111"/>
  <c r="AI62" i="111"/>
  <c r="AH63" i="111"/>
  <c r="AK13" i="111"/>
  <c r="X7" i="111"/>
  <c r="AF7" i="111"/>
  <c r="W23" i="111"/>
  <c r="AE23" i="111"/>
  <c r="W44" i="111"/>
  <c r="AE44" i="111"/>
  <c r="AE51" i="111"/>
  <c r="Z59" i="111"/>
  <c r="AH59" i="111"/>
  <c r="W62" i="111"/>
  <c r="AH66" i="111"/>
  <c r="Y7" i="111"/>
  <c r="AG7" i="111"/>
  <c r="W14" i="111"/>
  <c r="AC29" i="111"/>
  <c r="W34" i="111"/>
  <c r="AE34" i="111"/>
  <c r="Z63" i="111"/>
  <c r="AA66" i="111"/>
  <c r="O203" i="100"/>
  <c r="AJ203" i="100" s="1"/>
  <c r="Z7" i="111"/>
  <c r="AH7" i="111"/>
  <c r="X14" i="111"/>
  <c r="AF14" i="111"/>
  <c r="W15" i="111"/>
  <c r="AE15" i="111"/>
  <c r="Y23" i="111"/>
  <c r="AG23" i="111"/>
  <c r="AG24" i="111"/>
  <c r="AA27" i="111"/>
  <c r="AI27" i="111"/>
  <c r="AA46" i="111"/>
  <c r="Z50" i="111"/>
  <c r="AH50" i="111"/>
  <c r="AA7" i="111"/>
  <c r="AI7" i="111"/>
  <c r="Z13" i="111"/>
  <c r="AH13" i="111"/>
  <c r="Z23" i="111"/>
  <c r="AH23" i="111"/>
  <c r="Z33" i="111"/>
  <c r="AH33" i="111"/>
  <c r="Y34" i="111"/>
  <c r="Z44" i="111"/>
  <c r="AH44" i="111"/>
  <c r="AA50" i="111"/>
  <c r="AI50" i="111"/>
  <c r="Z51" i="111"/>
  <c r="Z62" i="111"/>
  <c r="AH62" i="111"/>
  <c r="AG16" i="111"/>
  <c r="AA44" i="111"/>
  <c r="AI44" i="111"/>
  <c r="AC7" i="111"/>
  <c r="AK7" i="111"/>
  <c r="AA14" i="111"/>
  <c r="AI14" i="111"/>
  <c r="AB23" i="111"/>
  <c r="AJ23" i="111"/>
  <c r="W31" i="111"/>
  <c r="AE31" i="111"/>
  <c r="AC50" i="111"/>
  <c r="AK50" i="111"/>
  <c r="AE66" i="111"/>
  <c r="L12" i="114"/>
  <c r="K11" i="101"/>
  <c r="K11" i="115"/>
  <c r="J11" i="115"/>
  <c r="J13" i="117"/>
  <c r="I13" i="117"/>
  <c r="H21" i="98"/>
  <c r="AC10" i="111"/>
  <c r="AK10" i="111"/>
  <c r="AA18" i="111"/>
  <c r="AI18" i="111"/>
  <c r="W6" i="111"/>
  <c r="W10" i="111"/>
  <c r="AE10" i="111"/>
  <c r="X30" i="111"/>
  <c r="AF30" i="111"/>
  <c r="W46" i="111"/>
  <c r="X10" i="111"/>
  <c r="AF10" i="111"/>
  <c r="Y6" i="111"/>
  <c r="AG6" i="111"/>
  <c r="Z9" i="111"/>
  <c r="AH9" i="111"/>
  <c r="Y10" i="111"/>
  <c r="AG10" i="111"/>
  <c r="Z30" i="111"/>
  <c r="AH30" i="111"/>
  <c r="Z40" i="111"/>
  <c r="AH40" i="111"/>
  <c r="AG48" i="111"/>
  <c r="W58" i="111"/>
  <c r="AE58" i="111"/>
  <c r="AG59" i="111"/>
  <c r="AA62" i="111"/>
  <c r="AA30" i="111"/>
  <c r="AA40" i="111"/>
  <c r="AI40" i="111"/>
  <c r="Z43" i="111"/>
  <c r="AF49" i="111"/>
  <c r="AI6" i="111"/>
  <c r="AG8" i="111"/>
  <c r="AA10" i="111"/>
  <c r="AI10" i="111"/>
  <c r="AG28" i="111"/>
  <c r="AK29" i="111"/>
  <c r="AB30" i="111"/>
  <c r="AJ30" i="111"/>
  <c r="AI46" i="111"/>
  <c r="AI66" i="111"/>
  <c r="AB6" i="111"/>
  <c r="AJ6" i="111"/>
  <c r="AK9" i="111"/>
  <c r="AK25" i="111"/>
  <c r="Z41" i="111"/>
  <c r="AH41" i="111"/>
  <c r="Z64" i="111"/>
  <c r="AH64" i="111"/>
  <c r="D28" i="101"/>
  <c r="M199" i="100"/>
  <c r="W12" i="111"/>
  <c r="AE12" i="111"/>
  <c r="AC17" i="111"/>
  <c r="W24" i="111"/>
  <c r="AE24" i="111"/>
  <c r="X31" i="111"/>
  <c r="AF31" i="111"/>
  <c r="X42" i="111"/>
  <c r="AF42" i="111"/>
  <c r="AE46" i="111"/>
  <c r="W48" i="111"/>
  <c r="AE48" i="111"/>
  <c r="W61" i="111"/>
  <c r="AE61" i="111"/>
  <c r="AE62" i="111"/>
  <c r="W63" i="111"/>
  <c r="AE63" i="111"/>
  <c r="Y65" i="111"/>
  <c r="AG65" i="111"/>
  <c r="W66" i="111"/>
  <c r="AG34" i="111"/>
  <c r="X43" i="111"/>
  <c r="AF43" i="111"/>
  <c r="X46" i="111"/>
  <c r="AF46" i="111"/>
  <c r="X61" i="111"/>
  <c r="AF61" i="111"/>
  <c r="Z66" i="111"/>
  <c r="AA6" i="111"/>
  <c r="AB7" i="111"/>
  <c r="AJ7" i="111"/>
  <c r="AC14" i="111"/>
  <c r="AK14" i="111"/>
  <c r="W18" i="111"/>
  <c r="AE18" i="111"/>
  <c r="AB27" i="111"/>
  <c r="AJ27" i="111"/>
  <c r="AC30" i="111"/>
  <c r="AK30" i="111"/>
  <c r="Z31" i="111"/>
  <c r="AH31" i="111"/>
  <c r="AE35" i="111"/>
  <c r="AG40" i="111"/>
  <c r="Z42" i="111"/>
  <c r="AH42" i="111"/>
  <c r="Y43" i="111"/>
  <c r="AG43" i="111"/>
  <c r="AC47" i="111"/>
  <c r="AK47" i="111"/>
  <c r="W50" i="111"/>
  <c r="Z52" i="111"/>
  <c r="AH52" i="111"/>
  <c r="Y56" i="111"/>
  <c r="AG56" i="111"/>
  <c r="X57" i="111"/>
  <c r="AF57" i="111"/>
  <c r="X62" i="111"/>
  <c r="AF62" i="111"/>
  <c r="AA65" i="111"/>
  <c r="Y66" i="111"/>
  <c r="AG66" i="111"/>
  <c r="Z12" i="111"/>
  <c r="AH12" i="111"/>
  <c r="Z24" i="111"/>
  <c r="AH24" i="111"/>
  <c r="W26" i="111"/>
  <c r="AA31" i="111"/>
  <c r="AI31" i="111"/>
  <c r="AG32" i="111"/>
  <c r="AA34" i="111"/>
  <c r="AI34" i="111"/>
  <c r="AA42" i="111"/>
  <c r="AI42" i="111"/>
  <c r="AH43" i="111"/>
  <c r="Z46" i="111"/>
  <c r="AH46" i="111"/>
  <c r="Z48" i="111"/>
  <c r="AH48" i="111"/>
  <c r="AA52" i="111"/>
  <c r="AI52" i="111"/>
  <c r="Z61" i="111"/>
  <c r="AH61" i="111"/>
  <c r="Y62" i="111"/>
  <c r="AG62" i="111"/>
  <c r="AB65" i="111"/>
  <c r="AJ65" i="111"/>
  <c r="Z8" i="111"/>
  <c r="AH8" i="111"/>
  <c r="AA12" i="111"/>
  <c r="AI12" i="111"/>
  <c r="AE14" i="111"/>
  <c r="AA24" i="111"/>
  <c r="AI24" i="111"/>
  <c r="W27" i="111"/>
  <c r="AE30" i="111"/>
  <c r="AB31" i="111"/>
  <c r="AJ31" i="111"/>
  <c r="AB34" i="111"/>
  <c r="AJ34" i="111"/>
  <c r="AK41" i="111"/>
  <c r="AA43" i="111"/>
  <c r="AI43" i="111"/>
  <c r="AG44" i="111"/>
  <c r="AA48" i="111"/>
  <c r="AI48" i="111"/>
  <c r="Y49" i="111"/>
  <c r="AG49" i="111"/>
  <c r="W51" i="111"/>
  <c r="Z57" i="111"/>
  <c r="AH57" i="111"/>
  <c r="AA61" i="111"/>
  <c r="AI61" i="111"/>
  <c r="AA63" i="111"/>
  <c r="AI63" i="111"/>
  <c r="AG64" i="111"/>
  <c r="Z18" i="111"/>
  <c r="AH18" i="111"/>
  <c r="Z25" i="111"/>
  <c r="AH25" i="111"/>
  <c r="Z29" i="111"/>
  <c r="AH29" i="111"/>
  <c r="AC31" i="111"/>
  <c r="AK31" i="111"/>
  <c r="AH35" i="111"/>
  <c r="AC42" i="111"/>
  <c r="AK42" i="111"/>
  <c r="Z67" i="111"/>
  <c r="AC61" i="111"/>
  <c r="AK61" i="111"/>
  <c r="AC66" i="111"/>
  <c r="AK66" i="111"/>
  <c r="AG68" i="111"/>
  <c r="F12" i="114"/>
  <c r="D12" i="98"/>
  <c r="K13" i="117"/>
  <c r="E9" i="84"/>
  <c r="F9" i="84" s="1"/>
  <c r="E17" i="84"/>
  <c r="F17" i="84" s="1"/>
  <c r="N6" i="88"/>
  <c r="L11" i="115"/>
  <c r="K12" i="95"/>
  <c r="K16" i="95"/>
  <c r="N7" i="88"/>
  <c r="N8" i="88"/>
  <c r="N10" i="88"/>
  <c r="E28" i="95"/>
  <c r="S16" i="79"/>
  <c r="S52" i="79"/>
  <c r="S72" i="79"/>
  <c r="S88" i="79"/>
  <c r="S140" i="79"/>
  <c r="K7" i="88"/>
  <c r="K8" i="88"/>
  <c r="K12" i="88"/>
  <c r="E11" i="101"/>
  <c r="L13" i="117"/>
  <c r="E15" i="84"/>
  <c r="F15" i="84" s="1"/>
  <c r="N12" i="88"/>
  <c r="E20" i="117"/>
  <c r="D26" i="117"/>
  <c r="C32" i="117"/>
  <c r="S15" i="79"/>
  <c r="S23" i="79"/>
  <c r="S31" i="79"/>
  <c r="S39" i="79"/>
  <c r="S55" i="79"/>
  <c r="S63" i="79"/>
  <c r="S71" i="79"/>
  <c r="S91" i="79"/>
  <c r="S107" i="79"/>
  <c r="S109" i="79"/>
  <c r="S111" i="79"/>
  <c r="S123" i="79"/>
  <c r="S125" i="79"/>
  <c r="S127" i="79"/>
  <c r="S137" i="79"/>
  <c r="S139" i="79"/>
  <c r="E9" i="88"/>
  <c r="E10" i="88"/>
  <c r="E17" i="88"/>
  <c r="E18" i="88"/>
  <c r="H67" i="81"/>
  <c r="K131" i="87"/>
  <c r="H8" i="88"/>
  <c r="H13" i="88"/>
  <c r="K17" i="95"/>
  <c r="E6" i="84"/>
  <c r="F6" i="84" s="1"/>
  <c r="S141" i="79"/>
  <c r="S143" i="79"/>
  <c r="N11" i="88"/>
  <c r="K13" i="88"/>
  <c r="K14" i="88"/>
  <c r="K15" i="88"/>
  <c r="J131" i="87"/>
  <c r="N14" i="88"/>
  <c r="N15" i="88"/>
  <c r="N16" i="88"/>
  <c r="N18" i="88"/>
  <c r="S4" i="79"/>
  <c r="S6" i="79"/>
  <c r="S8" i="79"/>
  <c r="S96" i="79"/>
  <c r="S98" i="79"/>
  <c r="S100" i="79"/>
  <c r="S108" i="79"/>
  <c r="S110" i="79"/>
  <c r="S116" i="79"/>
  <c r="S132" i="79"/>
  <c r="K27" i="95"/>
  <c r="H9" i="88"/>
  <c r="K26" i="95"/>
  <c r="H16" i="88"/>
  <c r="I11" i="115"/>
  <c r="K34" i="95"/>
  <c r="K10" i="88"/>
  <c r="E13" i="84"/>
  <c r="F13" i="84" s="1"/>
  <c r="E6" i="88"/>
  <c r="S41" i="79"/>
  <c r="S73" i="79"/>
  <c r="K29" i="101"/>
  <c r="G41" i="114"/>
  <c r="S93" i="79"/>
  <c r="S105" i="79"/>
  <c r="S121" i="79"/>
  <c r="S22" i="79"/>
  <c r="S24" i="79"/>
  <c r="S28" i="79"/>
  <c r="S30" i="79"/>
  <c r="S32" i="79"/>
  <c r="S36" i="79"/>
  <c r="S38" i="79"/>
  <c r="S40" i="79"/>
  <c r="S44" i="79"/>
  <c r="S46" i="79"/>
  <c r="S48" i="79"/>
  <c r="S76" i="79"/>
  <c r="S78" i="79"/>
  <c r="S80" i="79"/>
  <c r="S86" i="79"/>
  <c r="F26" i="117"/>
  <c r="E32" i="117"/>
  <c r="G41" i="98"/>
  <c r="J37" i="81"/>
  <c r="E13" i="95"/>
  <c r="K15" i="95"/>
  <c r="E17" i="95"/>
  <c r="E24" i="95"/>
  <c r="E12" i="88"/>
  <c r="K29" i="95"/>
  <c r="E33" i="95"/>
  <c r="E14" i="84"/>
  <c r="F14" i="84" s="1"/>
  <c r="K9" i="95"/>
  <c r="E30" i="95"/>
  <c r="E7" i="84"/>
  <c r="F7" i="84" s="1"/>
  <c r="E12" i="84"/>
  <c r="F12" i="84" s="1"/>
  <c r="K6" i="88"/>
  <c r="K9" i="88"/>
  <c r="K7" i="95"/>
  <c r="G36" i="101"/>
  <c r="S92" i="79"/>
  <c r="C24" i="115"/>
  <c r="H16" i="98"/>
  <c r="H28" i="98"/>
  <c r="E12" i="95"/>
  <c r="K13" i="95"/>
  <c r="E16" i="95"/>
  <c r="E23" i="95"/>
  <c r="K25" i="95"/>
  <c r="E32" i="95"/>
  <c r="N9" i="88"/>
  <c r="K11" i="88"/>
  <c r="K16" i="88"/>
  <c r="K32" i="95"/>
  <c r="E11" i="84"/>
  <c r="F11" i="84" s="1"/>
  <c r="E16" i="84"/>
  <c r="F16" i="84" s="1"/>
  <c r="E18" i="84"/>
  <c r="F18" i="84" s="1"/>
  <c r="I131" i="87"/>
  <c r="F13" i="89"/>
  <c r="F14" i="89" s="1"/>
  <c r="H14" i="88"/>
  <c r="E15" i="88"/>
  <c r="K17" i="88"/>
  <c r="K18" i="88"/>
  <c r="I11" i="101"/>
  <c r="S20" i="79"/>
  <c r="S81" i="79"/>
  <c r="S9" i="79"/>
  <c r="E29" i="101"/>
  <c r="F32" i="117"/>
  <c r="E16" i="98"/>
  <c r="K29" i="114"/>
  <c r="N17" i="88"/>
  <c r="C11" i="101"/>
  <c r="S17" i="79"/>
  <c r="S25" i="79"/>
  <c r="S33" i="79"/>
  <c r="S47" i="79"/>
  <c r="S119" i="79"/>
  <c r="S136" i="79"/>
  <c r="J16" i="98"/>
  <c r="H97" i="81"/>
  <c r="I97" i="81" s="1"/>
  <c r="K31" i="95"/>
  <c r="H15" i="88"/>
  <c r="E16" i="88"/>
  <c r="H6" i="88"/>
  <c r="E7" i="88"/>
  <c r="H10" i="88"/>
  <c r="E11" i="88"/>
  <c r="N13" i="88"/>
  <c r="S12" i="79"/>
  <c r="S14" i="79"/>
  <c r="S49" i="79"/>
  <c r="S57" i="79"/>
  <c r="S65" i="79"/>
  <c r="S79" i="79"/>
  <c r="S104" i="79"/>
  <c r="S144" i="79"/>
  <c r="S148" i="79"/>
  <c r="C11" i="115"/>
  <c r="E13" i="117"/>
  <c r="K29" i="98"/>
  <c r="E7" i="95"/>
  <c r="E27" i="95"/>
  <c r="E35" i="95"/>
  <c r="E131" i="87"/>
  <c r="M131" i="87"/>
  <c r="E31" i="95"/>
  <c r="F131" i="87"/>
  <c r="N131" i="87"/>
  <c r="H7" i="88"/>
  <c r="E8" i="88"/>
  <c r="H11" i="88"/>
  <c r="E13" i="88"/>
  <c r="E34" i="95"/>
  <c r="E8" i="84"/>
  <c r="F8" i="84" s="1"/>
  <c r="E10" i="84"/>
  <c r="F10" i="84" s="1"/>
  <c r="H12" i="88"/>
  <c r="E14" i="88"/>
  <c r="H17" i="88"/>
  <c r="H18" i="88"/>
  <c r="S85" i="79"/>
  <c r="S133" i="79"/>
  <c r="S7" i="79"/>
  <c r="S54" i="79"/>
  <c r="S56" i="79"/>
  <c r="S60" i="79"/>
  <c r="S62" i="79"/>
  <c r="S64" i="79"/>
  <c r="S68" i="79"/>
  <c r="S70" i="79"/>
  <c r="S99" i="79"/>
  <c r="S103" i="79"/>
  <c r="S120" i="79"/>
  <c r="S124" i="79"/>
  <c r="S149" i="79"/>
  <c r="S151" i="79"/>
  <c r="S153" i="79"/>
  <c r="E14" i="95"/>
  <c r="E18" i="95"/>
  <c r="K23" i="95"/>
  <c r="E25" i="95"/>
  <c r="K28" i="95"/>
  <c r="G74" i="105"/>
  <c r="S5" i="79"/>
  <c r="S11" i="79"/>
  <c r="S26" i="79"/>
  <c r="S37" i="79"/>
  <c r="S43" i="79"/>
  <c r="S58" i="79"/>
  <c r="S94" i="79"/>
  <c r="S135" i="79"/>
  <c r="S13" i="79"/>
  <c r="S19" i="79"/>
  <c r="S34" i="79"/>
  <c r="S45" i="79"/>
  <c r="S51" i="79"/>
  <c r="S66" i="79"/>
  <c r="S77" i="79"/>
  <c r="S83" i="79"/>
  <c r="S87" i="79"/>
  <c r="S102" i="79"/>
  <c r="S113" i="79"/>
  <c r="S115" i="79"/>
  <c r="S126" i="79"/>
  <c r="S152" i="79"/>
  <c r="S10" i="79"/>
  <c r="S21" i="79"/>
  <c r="S27" i="79"/>
  <c r="S42" i="79"/>
  <c r="S53" i="79"/>
  <c r="S59" i="79"/>
  <c r="S74" i="79"/>
  <c r="S89" i="79"/>
  <c r="S95" i="79"/>
  <c r="S117" i="79"/>
  <c r="S128" i="79"/>
  <c r="S134" i="79"/>
  <c r="S145" i="79"/>
  <c r="S147" i="79"/>
  <c r="S3" i="79"/>
  <c r="S18" i="79"/>
  <c r="S29" i="79"/>
  <c r="S35" i="79"/>
  <c r="S50" i="79"/>
  <c r="S61" i="79"/>
  <c r="S67" i="79"/>
  <c r="S82" i="79"/>
  <c r="S84" i="79"/>
  <c r="S97" i="79"/>
  <c r="C13" i="117"/>
  <c r="AK33" i="111"/>
  <c r="Y35" i="111"/>
  <c r="AG35" i="111"/>
  <c r="X51" i="111"/>
  <c r="AF51" i="111"/>
  <c r="E22" i="114"/>
  <c r="G22" i="114" s="1"/>
  <c r="Z35" i="111"/>
  <c r="D24" i="115"/>
  <c r="C30" i="115"/>
  <c r="C20" i="117"/>
  <c r="W11" i="111"/>
  <c r="W16" i="111"/>
  <c r="AE16" i="111"/>
  <c r="AA26" i="111"/>
  <c r="W28" i="111"/>
  <c r="AE28" i="111"/>
  <c r="AA35" i="111"/>
  <c r="AI35" i="111"/>
  <c r="AH51" i="111"/>
  <c r="AG52" i="111"/>
  <c r="M37" i="81"/>
  <c r="D11" i="115"/>
  <c r="E24" i="115"/>
  <c r="D30" i="115"/>
  <c r="F13" i="117"/>
  <c r="D20" i="117"/>
  <c r="C26" i="117"/>
  <c r="E22" i="98"/>
  <c r="G22" i="98" s="1"/>
  <c r="X11" i="111"/>
  <c r="AF11" i="111"/>
  <c r="AE11" i="111"/>
  <c r="X26" i="111"/>
  <c r="AF26" i="111"/>
  <c r="AE26" i="111"/>
  <c r="AA51" i="111"/>
  <c r="AI51" i="111"/>
  <c r="Z58" i="111"/>
  <c r="AH58" i="111"/>
  <c r="W59" i="111"/>
  <c r="AE59" i="111"/>
  <c r="AA67" i="111"/>
  <c r="AI67" i="111"/>
  <c r="E11" i="115"/>
  <c r="F24" i="115"/>
  <c r="E30" i="115"/>
  <c r="AE6" i="111"/>
  <c r="AH11" i="111"/>
  <c r="Y26" i="111"/>
  <c r="AG26" i="111"/>
  <c r="AI26" i="111"/>
  <c r="AA58" i="111"/>
  <c r="AI58" i="111"/>
  <c r="AG60" i="111"/>
  <c r="F30" i="115"/>
  <c r="F20" i="117"/>
  <c r="E26" i="117"/>
  <c r="D32" i="117"/>
  <c r="M15" i="98"/>
  <c r="H199" i="100"/>
  <c r="H198" i="100"/>
  <c r="S69" i="79"/>
  <c r="S75" i="79"/>
  <c r="S90" i="79"/>
  <c r="S101" i="79"/>
  <c r="S112" i="79"/>
  <c r="S118" i="79"/>
  <c r="S129" i="79"/>
  <c r="S131" i="79"/>
  <c r="S142" i="79"/>
  <c r="AA11" i="111"/>
  <c r="AI11" i="111"/>
  <c r="AA16" i="111"/>
  <c r="AI16" i="111"/>
  <c r="W35" i="111"/>
  <c r="AA59" i="111"/>
  <c r="AI59" i="111"/>
  <c r="AC6" i="111"/>
  <c r="AK6" i="111"/>
  <c r="AB11" i="111"/>
  <c r="AJ11" i="111"/>
  <c r="Z26" i="111"/>
  <c r="AH26" i="111"/>
  <c r="Y51" i="111"/>
  <c r="AG51" i="111"/>
  <c r="AC58" i="111"/>
  <c r="AK58" i="111"/>
  <c r="AC26" i="111"/>
  <c r="AK26" i="111"/>
  <c r="AE50" i="111"/>
  <c r="W52" i="111"/>
  <c r="AE52" i="111"/>
  <c r="X58" i="111"/>
  <c r="AF58" i="111"/>
  <c r="F198" i="100"/>
  <c r="G204" i="100"/>
  <c r="G203" i="100"/>
  <c r="P204" i="100"/>
  <c r="AK204" i="100" s="1"/>
  <c r="P203" i="100"/>
  <c r="AG67" i="111"/>
  <c r="AH67" i="111"/>
  <c r="Z6" i="111"/>
  <c r="AH6" i="111"/>
  <c r="AC9" i="111"/>
  <c r="AB10" i="111"/>
  <c r="AJ10" i="111"/>
  <c r="Y11" i="111"/>
  <c r="AG11" i="111"/>
  <c r="Z15" i="111"/>
  <c r="AH15" i="111"/>
  <c r="Y18" i="111"/>
  <c r="AG18" i="111"/>
  <c r="AC23" i="111"/>
  <c r="AK23" i="111"/>
  <c r="Z28" i="111"/>
  <c r="AH28" i="111"/>
  <c r="AA32" i="111"/>
  <c r="AI32" i="111"/>
  <c r="X34" i="111"/>
  <c r="AF34" i="111"/>
  <c r="AB35" i="111"/>
  <c r="AJ35" i="111"/>
  <c r="AC43" i="111"/>
  <c r="AK43" i="111"/>
  <c r="AF45" i="111"/>
  <c r="AC46" i="111"/>
  <c r="AK46" i="111"/>
  <c r="Y47" i="111"/>
  <c r="AG47" i="111"/>
  <c r="AC51" i="111"/>
  <c r="AK51" i="111"/>
  <c r="AF56" i="111"/>
  <c r="AC57" i="111"/>
  <c r="AK57" i="111"/>
  <c r="Y58" i="111"/>
  <c r="AG58" i="111"/>
  <c r="AC62" i="111"/>
  <c r="AK62" i="111"/>
  <c r="AB66" i="111"/>
  <c r="AJ66" i="111"/>
  <c r="E10" i="95"/>
  <c r="W8" i="111"/>
  <c r="AE8" i="111"/>
  <c r="Z10" i="111"/>
  <c r="AH10" i="111"/>
  <c r="AC11" i="111"/>
  <c r="AK11" i="111"/>
  <c r="AG12" i="111"/>
  <c r="Y14" i="111"/>
  <c r="AG14" i="111"/>
  <c r="AB15" i="111"/>
  <c r="AJ15" i="111"/>
  <c r="Z17" i="111"/>
  <c r="AH17" i="111"/>
  <c r="X18" i="111"/>
  <c r="AF18" i="111"/>
  <c r="AA23" i="111"/>
  <c r="AI23" i="111"/>
  <c r="AA28" i="111"/>
  <c r="AI28" i="111"/>
  <c r="Y31" i="111"/>
  <c r="AG31" i="111"/>
  <c r="Z32" i="111"/>
  <c r="AH32" i="111"/>
  <c r="AC34" i="111"/>
  <c r="AK34" i="111"/>
  <c r="X35" i="111"/>
  <c r="AF35" i="111"/>
  <c r="AC41" i="111"/>
  <c r="AB42" i="111"/>
  <c r="AJ42" i="111"/>
  <c r="AB46" i="111"/>
  <c r="AJ46" i="111"/>
  <c r="AB50" i="111"/>
  <c r="AJ50" i="111"/>
  <c r="AB57" i="111"/>
  <c r="AJ57" i="111"/>
  <c r="AB61" i="111"/>
  <c r="AJ61" i="111"/>
  <c r="AG63" i="111"/>
  <c r="X65" i="111"/>
  <c r="AF65" i="111"/>
  <c r="H37" i="81"/>
  <c r="E67" i="81"/>
  <c r="E8" i="95"/>
  <c r="K11" i="95"/>
  <c r="K8" i="95"/>
  <c r="X6" i="111"/>
  <c r="AF6" i="111"/>
  <c r="Y15" i="111"/>
  <c r="AG15" i="111"/>
  <c r="Z16" i="111"/>
  <c r="AH16" i="111"/>
  <c r="AC18" i="111"/>
  <c r="AK18" i="111"/>
  <c r="X23" i="111"/>
  <c r="AF23" i="111"/>
  <c r="AB26" i="111"/>
  <c r="AJ26" i="111"/>
  <c r="W32" i="111"/>
  <c r="AE32" i="111"/>
  <c r="Z34" i="111"/>
  <c r="AH34" i="111"/>
  <c r="AC35" i="111"/>
  <c r="AK35" i="111"/>
  <c r="Y42" i="111"/>
  <c r="AG42" i="111"/>
  <c r="AB43" i="111"/>
  <c r="AJ43" i="111"/>
  <c r="Z45" i="111"/>
  <c r="AH45" i="111"/>
  <c r="Y46" i="111"/>
  <c r="AG46" i="111"/>
  <c r="AB47" i="111"/>
  <c r="AJ47" i="111"/>
  <c r="Z49" i="111"/>
  <c r="AH49" i="111"/>
  <c r="Y50" i="111"/>
  <c r="AG50" i="111"/>
  <c r="AB51" i="111"/>
  <c r="AJ51" i="111"/>
  <c r="Z56" i="111"/>
  <c r="AH56" i="111"/>
  <c r="Y57" i="111"/>
  <c r="AG57" i="111"/>
  <c r="AB58" i="111"/>
  <c r="AJ58" i="111"/>
  <c r="Z60" i="111"/>
  <c r="AH60" i="111"/>
  <c r="Y61" i="111"/>
  <c r="AG61" i="111"/>
  <c r="AB62" i="111"/>
  <c r="AJ62" i="111"/>
  <c r="AC65" i="111"/>
  <c r="AK65" i="111"/>
  <c r="X66" i="111"/>
  <c r="AF66" i="111"/>
  <c r="W67" i="111"/>
  <c r="AE67" i="111"/>
  <c r="Z68" i="111"/>
  <c r="AH68" i="111"/>
  <c r="E37" i="81"/>
  <c r="K67" i="81"/>
  <c r="E16" i="114"/>
  <c r="J16" i="114"/>
  <c r="H29" i="114"/>
  <c r="J198" i="100"/>
  <c r="AE198" i="100" s="1"/>
  <c r="P198" i="100"/>
  <c r="AK198" i="100" s="1"/>
  <c r="Q199" i="100"/>
  <c r="AL199" i="100" s="1"/>
  <c r="H203" i="100"/>
  <c r="AC203" i="100" s="1"/>
  <c r="L198" i="100"/>
  <c r="AG198" i="100" s="1"/>
  <c r="F199" i="100"/>
  <c r="R199" i="100"/>
  <c r="AM199" i="100" s="1"/>
  <c r="N198" i="100"/>
  <c r="AI198" i="100" s="1"/>
  <c r="L203" i="100"/>
  <c r="AG203" i="100" s="1"/>
  <c r="J15" i="114"/>
  <c r="K28" i="114"/>
  <c r="G131" i="87"/>
  <c r="O130" i="87"/>
  <c r="O131" i="87" s="1"/>
  <c r="C131" i="87"/>
  <c r="E15" i="101"/>
  <c r="M16" i="101"/>
  <c r="H15" i="101"/>
  <c r="E16" i="101"/>
  <c r="J16" i="101"/>
  <c r="H16" i="101"/>
  <c r="E22" i="101"/>
  <c r="G22" i="101" s="1"/>
  <c r="H29" i="101"/>
  <c r="H55" i="106"/>
  <c r="E26" i="95"/>
  <c r="K33" i="95"/>
  <c r="E6" i="95"/>
  <c r="E9" i="95"/>
  <c r="E29" i="95"/>
  <c r="AE12" i="102"/>
  <c r="AH8" i="102"/>
  <c r="J91" i="98"/>
  <c r="J98" i="98" s="1"/>
  <c r="M88" i="98"/>
  <c r="L89" i="98"/>
  <c r="K90" i="98"/>
  <c r="E29" i="98"/>
  <c r="H104" i="98"/>
  <c r="C105" i="98"/>
  <c r="N105" i="98"/>
  <c r="N106" i="98"/>
  <c r="Q111" i="98"/>
  <c r="F113" i="98"/>
  <c r="L114" i="98"/>
  <c r="C118" i="98"/>
  <c r="H119" i="98"/>
  <c r="N120" i="98"/>
  <c r="O88" i="98"/>
  <c r="N89" i="98"/>
  <c r="M90" i="98"/>
  <c r="L91" i="98"/>
  <c r="L98" i="98" s="1"/>
  <c r="J104" i="98"/>
  <c r="D105" i="98"/>
  <c r="O105" i="98"/>
  <c r="C107" i="98"/>
  <c r="F112" i="98"/>
  <c r="L113" i="98"/>
  <c r="Q114" i="98"/>
  <c r="H118" i="98"/>
  <c r="N119" i="98"/>
  <c r="C121" i="98"/>
  <c r="E28" i="98"/>
  <c r="K28" i="98"/>
  <c r="H29" i="98"/>
  <c r="E88" i="98"/>
  <c r="D89" i="98"/>
  <c r="C90" i="98"/>
  <c r="S90" i="98"/>
  <c r="K97" i="98" s="1"/>
  <c r="R91" i="98"/>
  <c r="R98" i="98" s="1"/>
  <c r="C104" i="98"/>
  <c r="N104" i="98"/>
  <c r="H105" i="98"/>
  <c r="C106" i="98"/>
  <c r="H107" i="98"/>
  <c r="F111" i="98"/>
  <c r="L112" i="98"/>
  <c r="Q113" i="98"/>
  <c r="N118" i="98"/>
  <c r="C120" i="98"/>
  <c r="H121" i="98"/>
  <c r="G88" i="98"/>
  <c r="F89" i="98"/>
  <c r="E90" i="98"/>
  <c r="D91" i="98"/>
  <c r="D104" i="98"/>
  <c r="O104" i="98"/>
  <c r="J105" i="98"/>
  <c r="H106" i="98"/>
  <c r="N107" i="98"/>
  <c r="L111" i="98"/>
  <c r="Q112" i="98"/>
  <c r="F114" i="98"/>
  <c r="C119" i="98"/>
  <c r="H120" i="98"/>
  <c r="N121" i="98"/>
  <c r="H125" i="98"/>
  <c r="P125" i="98"/>
  <c r="H126" i="98"/>
  <c r="P126" i="98"/>
  <c r="H127" i="98"/>
  <c r="P127" i="98"/>
  <c r="H128" i="98"/>
  <c r="P128" i="98"/>
  <c r="J15" i="98"/>
  <c r="H15" i="98"/>
  <c r="E21" i="98"/>
  <c r="G21" i="98" s="1"/>
  <c r="D106" i="98"/>
  <c r="J106" i="98"/>
  <c r="O106" i="98"/>
  <c r="D107" i="98"/>
  <c r="J107" i="98"/>
  <c r="O107" i="98"/>
  <c r="H111" i="98"/>
  <c r="M111" i="98"/>
  <c r="R111" i="98"/>
  <c r="H112" i="98"/>
  <c r="M112" i="98"/>
  <c r="R112" i="98"/>
  <c r="H113" i="98"/>
  <c r="M113" i="98"/>
  <c r="R113" i="98"/>
  <c r="H114" i="98"/>
  <c r="M114" i="98"/>
  <c r="R114" i="98"/>
  <c r="D118" i="98"/>
  <c r="J118" i="98"/>
  <c r="O118" i="98"/>
  <c r="D119" i="98"/>
  <c r="J119" i="98"/>
  <c r="O119" i="98"/>
  <c r="D120" i="98"/>
  <c r="J120" i="98"/>
  <c r="O120" i="98"/>
  <c r="D121" i="98"/>
  <c r="J121" i="98"/>
  <c r="O121" i="98"/>
  <c r="J125" i="98"/>
  <c r="R125" i="98"/>
  <c r="J126" i="98"/>
  <c r="R126" i="98"/>
  <c r="J127" i="98"/>
  <c r="R127" i="98"/>
  <c r="J128" i="98"/>
  <c r="R128" i="98"/>
  <c r="I88" i="98"/>
  <c r="Q88" i="98"/>
  <c r="H89" i="98"/>
  <c r="P89" i="98"/>
  <c r="G90" i="98"/>
  <c r="O90" i="98"/>
  <c r="O97" i="98" s="1"/>
  <c r="F91" i="98"/>
  <c r="F98" i="98" s="1"/>
  <c r="N91" i="98"/>
  <c r="N98" i="98" s="1"/>
  <c r="F104" i="98"/>
  <c r="K104" i="98"/>
  <c r="P104" i="98"/>
  <c r="F105" i="98"/>
  <c r="K105" i="98"/>
  <c r="P105" i="98"/>
  <c r="F106" i="98"/>
  <c r="K106" i="98"/>
  <c r="P106" i="98"/>
  <c r="F107" i="98"/>
  <c r="K107" i="98"/>
  <c r="P107" i="98"/>
  <c r="D111" i="98"/>
  <c r="I111" i="98"/>
  <c r="N111" i="98"/>
  <c r="D112" i="98"/>
  <c r="I112" i="98"/>
  <c r="N112" i="98"/>
  <c r="D113" i="98"/>
  <c r="I113" i="98"/>
  <c r="N113" i="98"/>
  <c r="D114" i="98"/>
  <c r="I114" i="98"/>
  <c r="N114" i="98"/>
  <c r="F118" i="98"/>
  <c r="K118" i="98"/>
  <c r="P118" i="98"/>
  <c r="F119" i="98"/>
  <c r="K119" i="98"/>
  <c r="P119" i="98"/>
  <c r="F120" i="98"/>
  <c r="K120" i="98"/>
  <c r="P120" i="98"/>
  <c r="F121" i="98"/>
  <c r="K121" i="98"/>
  <c r="P121" i="98"/>
  <c r="D125" i="98"/>
  <c r="L125" i="98"/>
  <c r="D126" i="98"/>
  <c r="L126" i="98"/>
  <c r="D127" i="98"/>
  <c r="L127" i="98"/>
  <c r="D128" i="98"/>
  <c r="L128" i="98"/>
  <c r="E15" i="98"/>
  <c r="M16" i="98"/>
  <c r="C88" i="98"/>
  <c r="K88" i="98"/>
  <c r="S88" i="98"/>
  <c r="J89" i="98"/>
  <c r="R89" i="98"/>
  <c r="I90" i="98"/>
  <c r="I97" i="98" s="1"/>
  <c r="Q90" i="98"/>
  <c r="Q97" i="98" s="1"/>
  <c r="H91" i="98"/>
  <c r="H98" i="98" s="1"/>
  <c r="P91" i="98"/>
  <c r="P98" i="98" s="1"/>
  <c r="G104" i="98"/>
  <c r="L104" i="98"/>
  <c r="R104" i="98"/>
  <c r="G105" i="98"/>
  <c r="L105" i="98"/>
  <c r="R105" i="98"/>
  <c r="G106" i="98"/>
  <c r="L106" i="98"/>
  <c r="R106" i="98"/>
  <c r="G107" i="98"/>
  <c r="L107" i="98"/>
  <c r="R107" i="98"/>
  <c r="E111" i="98"/>
  <c r="J111" i="98"/>
  <c r="P111" i="98"/>
  <c r="E112" i="98"/>
  <c r="J112" i="98"/>
  <c r="P112" i="98"/>
  <c r="E113" i="98"/>
  <c r="J113" i="98"/>
  <c r="P113" i="98"/>
  <c r="E114" i="98"/>
  <c r="J114" i="98"/>
  <c r="P114" i="98"/>
  <c r="G118" i="98"/>
  <c r="L118" i="98"/>
  <c r="R118" i="98"/>
  <c r="G119" i="98"/>
  <c r="L119" i="98"/>
  <c r="R119" i="98"/>
  <c r="G120" i="98"/>
  <c r="L120" i="98"/>
  <c r="R120" i="98"/>
  <c r="G121" i="98"/>
  <c r="L121" i="98"/>
  <c r="R121" i="98"/>
  <c r="F125" i="98"/>
  <c r="N125" i="98"/>
  <c r="F126" i="98"/>
  <c r="N126" i="98"/>
  <c r="F127" i="98"/>
  <c r="N127" i="98"/>
  <c r="F128" i="98"/>
  <c r="N128" i="98"/>
  <c r="H16" i="114"/>
  <c r="M16" i="114"/>
  <c r="E29" i="114"/>
  <c r="D131" i="87"/>
  <c r="H131" i="87"/>
  <c r="L131" i="87"/>
  <c r="D55" i="106"/>
  <c r="M15" i="114"/>
  <c r="E28" i="114"/>
  <c r="D10" i="109"/>
  <c r="E73" i="109"/>
  <c r="D86" i="81"/>
  <c r="AD31" i="102"/>
  <c r="I24" i="102"/>
  <c r="AF34" i="102"/>
  <c r="E99" i="81"/>
  <c r="P85" i="109"/>
  <c r="F52" i="109"/>
  <c r="X87" i="108" a="1"/>
  <c r="X87" i="108" s="1"/>
  <c r="X90" i="108" a="1"/>
  <c r="X90" i="108" s="1"/>
  <c r="J32" i="110"/>
  <c r="P22" i="105"/>
  <c r="N87" i="109"/>
  <c r="AD45" i="108"/>
  <c r="AF10" i="110"/>
  <c r="AF45" i="110"/>
  <c r="AJ52" i="110"/>
  <c r="R25" i="105"/>
  <c r="Y46" i="110"/>
  <c r="F38" i="102"/>
  <c r="P39" i="102"/>
  <c r="J26" i="105"/>
  <c r="AF31" i="105"/>
  <c r="L60" i="105"/>
  <c r="H13" i="81"/>
  <c r="P36" i="102"/>
  <c r="L41" i="102"/>
  <c r="AC19" i="105"/>
  <c r="G24" i="105"/>
  <c r="D27" i="105"/>
  <c r="Y32" i="105"/>
  <c r="AH54" i="105"/>
  <c r="R61" i="105"/>
  <c r="D85" i="81"/>
  <c r="E109" i="81"/>
  <c r="U34" i="107"/>
  <c r="K41" i="109"/>
  <c r="D59" i="109"/>
  <c r="Q89" i="109"/>
  <c r="F26" i="108"/>
  <c r="AC74" i="108" a="1"/>
  <c r="AC74" i="108" s="1"/>
  <c r="V89" i="108" a="1"/>
  <c r="V89" i="108" s="1"/>
  <c r="L95" i="108" a="1"/>
  <c r="L95" i="108" s="1"/>
  <c r="H31" i="110"/>
  <c r="X66" i="110"/>
  <c r="F25" i="105"/>
  <c r="Z33" i="105"/>
  <c r="AG74" i="108" a="1"/>
  <c r="AG74" i="108" s="1"/>
  <c r="C61" i="110"/>
  <c r="AJ66" i="110"/>
  <c r="AD59" i="107"/>
  <c r="W52" i="108"/>
  <c r="AD73" i="108" a="1"/>
  <c r="AD73" i="108" s="1"/>
  <c r="AB75" i="108" a="1"/>
  <c r="AB75" i="108" s="1"/>
  <c r="N104" i="108" a="1"/>
  <c r="AF40" i="107"/>
  <c r="AF62" i="107"/>
  <c r="J25" i="109"/>
  <c r="D95" i="109"/>
  <c r="D69" i="108"/>
  <c r="AF73" i="108" a="1"/>
  <c r="AF73" i="108" s="1"/>
  <c r="R10" i="102"/>
  <c r="O27" i="102"/>
  <c r="R40" i="102"/>
  <c r="AG66" i="102"/>
  <c r="AF68" i="102"/>
  <c r="V81" i="102"/>
  <c r="X83" i="102"/>
  <c r="X87" i="102"/>
  <c r="X89" i="102"/>
  <c r="X96" i="102"/>
  <c r="AG97" i="102"/>
  <c r="V18" i="105"/>
  <c r="K25" i="105"/>
  <c r="R26" i="105"/>
  <c r="AB34" i="105"/>
  <c r="F39" i="105"/>
  <c r="L59" i="105"/>
  <c r="D62" i="105"/>
  <c r="AF81" i="105"/>
  <c r="X87" i="105"/>
  <c r="F94" i="105"/>
  <c r="J96" i="105"/>
  <c r="P97" i="105"/>
  <c r="I39" i="81"/>
  <c r="C57" i="81"/>
  <c r="E115" i="81"/>
  <c r="U60" i="107"/>
  <c r="D87" i="107"/>
  <c r="L102" i="107"/>
  <c r="M104" i="107"/>
  <c r="C11" i="109"/>
  <c r="F26" i="109"/>
  <c r="U32" i="109"/>
  <c r="R38" i="109"/>
  <c r="AE47" i="109"/>
  <c r="P90" i="109"/>
  <c r="Y48" i="108"/>
  <c r="AD53" i="108"/>
  <c r="P71" i="108" a="1"/>
  <c r="P71" i="108" s="1"/>
  <c r="AF12" i="110"/>
  <c r="AD39" i="110"/>
  <c r="K62" i="110"/>
  <c r="Y96" i="102"/>
  <c r="Z61" i="107"/>
  <c r="D101" i="107"/>
  <c r="R102" i="107"/>
  <c r="D12" i="109"/>
  <c r="H27" i="109"/>
  <c r="AF34" i="109"/>
  <c r="U55" i="108"/>
  <c r="Y74" i="108" a="1"/>
  <c r="Y74" i="108" s="1"/>
  <c r="AI76" i="108" a="1"/>
  <c r="AI76" i="108" s="1"/>
  <c r="N101" i="108" a="1"/>
  <c r="Q10" i="110"/>
  <c r="G33" i="110"/>
  <c r="AI67" i="110"/>
  <c r="AF67" i="102"/>
  <c r="AB69" i="102"/>
  <c r="Z81" i="102"/>
  <c r="AB83" i="102"/>
  <c r="AH87" i="102"/>
  <c r="Y89" i="102"/>
  <c r="P94" i="105"/>
  <c r="P96" i="105"/>
  <c r="J24" i="102"/>
  <c r="K39" i="102"/>
  <c r="AH64" i="102"/>
  <c r="AG67" i="102"/>
  <c r="AD69" i="102"/>
  <c r="AJ81" i="102"/>
  <c r="U88" i="102"/>
  <c r="V90" i="102"/>
  <c r="AC94" i="102"/>
  <c r="AF96" i="102"/>
  <c r="P24" i="105"/>
  <c r="F26" i="105"/>
  <c r="P36" i="105"/>
  <c r="L40" i="105"/>
  <c r="D76" i="105"/>
  <c r="AH78" i="105"/>
  <c r="P92" i="105"/>
  <c r="D95" i="105"/>
  <c r="R96" i="105"/>
  <c r="K48" i="81"/>
  <c r="AB31" i="107"/>
  <c r="AC38" i="107"/>
  <c r="V59" i="107"/>
  <c r="AG61" i="107"/>
  <c r="H101" i="107"/>
  <c r="L103" i="107"/>
  <c r="C13" i="109"/>
  <c r="H89" i="109"/>
  <c r="F73" i="108"/>
  <c r="P59" i="110"/>
  <c r="R39" i="105"/>
  <c r="AB83" i="105"/>
  <c r="O26" i="102"/>
  <c r="X66" i="102"/>
  <c r="X68" i="102"/>
  <c r="U80" i="102"/>
  <c r="AC82" i="102"/>
  <c r="AD88" i="102"/>
  <c r="AC90" i="102"/>
  <c r="Y95" i="102"/>
  <c r="AD97" i="102"/>
  <c r="AG80" i="105"/>
  <c r="F95" i="105"/>
  <c r="G97" i="105"/>
  <c r="E102" i="107"/>
  <c r="I104" i="107"/>
  <c r="F61" i="81"/>
  <c r="I61" i="81"/>
  <c r="L34" i="105"/>
  <c r="G32" i="105"/>
  <c r="L48" i="105"/>
  <c r="O45" i="105"/>
  <c r="K47" i="105"/>
  <c r="J11" i="102"/>
  <c r="AB73" i="102"/>
  <c r="R32" i="105"/>
  <c r="O34" i="105"/>
  <c r="D48" i="105"/>
  <c r="H25" i="81"/>
  <c r="J90" i="102"/>
  <c r="O90" i="105"/>
  <c r="P85" i="105"/>
  <c r="L88" i="105"/>
  <c r="R102" i="105"/>
  <c r="P99" i="105"/>
  <c r="P103" i="105"/>
  <c r="M12" i="102"/>
  <c r="AB20" i="102"/>
  <c r="F52" i="102"/>
  <c r="AG74" i="102"/>
  <c r="AD20" i="105"/>
  <c r="F31" i="105"/>
  <c r="F45" i="105"/>
  <c r="L62" i="105"/>
  <c r="J62" i="105"/>
  <c r="J61" i="105"/>
  <c r="G60" i="105"/>
  <c r="F59" i="105"/>
  <c r="O59" i="105"/>
  <c r="F61" i="105"/>
  <c r="O62" i="105"/>
  <c r="R75" i="105"/>
  <c r="J73" i="105"/>
  <c r="K74" i="105"/>
  <c r="J89" i="105"/>
  <c r="K104" i="105"/>
  <c r="F10" i="102"/>
  <c r="N13" i="102"/>
  <c r="F26" i="102"/>
  <c r="R38" i="102"/>
  <c r="V67" i="102"/>
  <c r="AD68" i="102"/>
  <c r="AC80" i="102"/>
  <c r="U82" i="102"/>
  <c r="AH83" i="102"/>
  <c r="AF87" i="102"/>
  <c r="AB88" i="102"/>
  <c r="AF89" i="102"/>
  <c r="Z95" i="102"/>
  <c r="X97" i="102"/>
  <c r="X17" i="105"/>
  <c r="L27" i="105"/>
  <c r="G27" i="105"/>
  <c r="L24" i="105"/>
  <c r="O25" i="105"/>
  <c r="L26" i="105"/>
  <c r="P27" i="105"/>
  <c r="O31" i="105"/>
  <c r="K33" i="105"/>
  <c r="L41" i="105"/>
  <c r="R41" i="105"/>
  <c r="D40" i="105"/>
  <c r="J38" i="105"/>
  <c r="G39" i="105"/>
  <c r="P41" i="105"/>
  <c r="R46" i="105"/>
  <c r="AD55" i="105"/>
  <c r="X55" i="105"/>
  <c r="P57" i="105"/>
  <c r="D60" i="105"/>
  <c r="K61" i="105"/>
  <c r="R62" i="105"/>
  <c r="P71" i="105"/>
  <c r="F75" i="105"/>
  <c r="L87" i="105"/>
  <c r="K90" i="105"/>
  <c r="J101" i="105"/>
  <c r="H9" i="81"/>
  <c r="D9" i="81"/>
  <c r="F68" i="81"/>
  <c r="I85" i="81"/>
  <c r="AD19" i="107"/>
  <c r="AF32" i="107"/>
  <c r="Y74" i="107"/>
  <c r="L89" i="107"/>
  <c r="D94" i="107"/>
  <c r="P95" i="107"/>
  <c r="I97" i="107"/>
  <c r="N10" i="109"/>
  <c r="L11" i="109"/>
  <c r="L12" i="109"/>
  <c r="N13" i="109"/>
  <c r="P24" i="109"/>
  <c r="P25" i="109"/>
  <c r="R26" i="109"/>
  <c r="N61" i="109"/>
  <c r="I66" i="109"/>
  <c r="F76" i="109"/>
  <c r="AJ13" i="108"/>
  <c r="Z47" i="108"/>
  <c r="U53" i="108"/>
  <c r="Z54" i="108"/>
  <c r="AC55" i="108"/>
  <c r="AC62" i="108"/>
  <c r="E80" i="108" a="1"/>
  <c r="E80" i="108" s="1"/>
  <c r="K103" i="108" a="1"/>
  <c r="Z13" i="110"/>
  <c r="AD17" i="110"/>
  <c r="J25" i="110"/>
  <c r="L45" i="110"/>
  <c r="Z31" i="107"/>
  <c r="AD33" i="107"/>
  <c r="AC41" i="107"/>
  <c r="V76" i="107"/>
  <c r="I90" i="107"/>
  <c r="L94" i="107"/>
  <c r="E96" i="107"/>
  <c r="P97" i="107"/>
  <c r="Q10" i="109"/>
  <c r="P11" i="109"/>
  <c r="R12" i="109"/>
  <c r="R13" i="109"/>
  <c r="P22" i="109"/>
  <c r="Q24" i="109"/>
  <c r="E26" i="109"/>
  <c r="F27" i="109"/>
  <c r="Q40" i="109"/>
  <c r="AA45" i="109"/>
  <c r="P62" i="109"/>
  <c r="C67" i="109"/>
  <c r="AA94" i="109"/>
  <c r="Z45" i="108"/>
  <c r="AH47" i="108"/>
  <c r="U52" i="108"/>
  <c r="W53" i="108"/>
  <c r="AC54" i="108"/>
  <c r="G101" i="108" a="1"/>
  <c r="G101" i="108" s="1"/>
  <c r="M103" i="108" a="1"/>
  <c r="X12" i="110"/>
  <c r="C19" i="110"/>
  <c r="X40" i="110"/>
  <c r="P43" i="110" a="1"/>
  <c r="P43" i="110" s="1"/>
  <c r="D47" i="110"/>
  <c r="AE53" i="110"/>
  <c r="AF73" i="110" a="1"/>
  <c r="AF73" i="110" s="1"/>
  <c r="E95" i="107"/>
  <c r="L96" i="107"/>
  <c r="R97" i="107"/>
  <c r="N68" i="109"/>
  <c r="P31" i="110"/>
  <c r="O33" i="110"/>
  <c r="AH36" i="110" a="1"/>
  <c r="AH36" i="110" s="1"/>
  <c r="V41" i="110"/>
  <c r="D46" i="110"/>
  <c r="U47" i="110"/>
  <c r="AH50" i="110" a="1"/>
  <c r="R59" i="110"/>
  <c r="Y33" i="105"/>
  <c r="AG34" i="105"/>
  <c r="O94" i="105"/>
  <c r="L95" i="105"/>
  <c r="D97" i="105"/>
  <c r="D68" i="81"/>
  <c r="F85" i="81"/>
  <c r="J86" i="81"/>
  <c r="K86" i="81" s="1"/>
  <c r="E117" i="81"/>
  <c r="X17" i="107"/>
  <c r="Z32" i="107"/>
  <c r="AJ60" i="107"/>
  <c r="L95" i="107"/>
  <c r="P96" i="107"/>
  <c r="R101" i="107"/>
  <c r="I103" i="107"/>
  <c r="P104" i="107"/>
  <c r="H10" i="109"/>
  <c r="K11" i="109"/>
  <c r="H12" i="109"/>
  <c r="J13" i="109"/>
  <c r="H24" i="109"/>
  <c r="K25" i="109"/>
  <c r="L26" i="109"/>
  <c r="O27" i="109"/>
  <c r="H38" i="109"/>
  <c r="Y48" i="109"/>
  <c r="J69" i="109"/>
  <c r="AC52" i="108"/>
  <c r="AI53" i="108"/>
  <c r="H67" i="108"/>
  <c r="O74" i="108"/>
  <c r="I97" i="108" a="1"/>
  <c r="X11" i="110"/>
  <c r="X13" i="110"/>
  <c r="N17" i="110"/>
  <c r="P29" i="110" a="1"/>
  <c r="P29" i="110" s="1"/>
  <c r="H32" i="110"/>
  <c r="H34" i="110"/>
  <c r="AF38" i="110"/>
  <c r="AI41" i="110"/>
  <c r="D45" i="110"/>
  <c r="U46" i="110"/>
  <c r="AE52" i="110"/>
  <c r="P57" i="110" a="1"/>
  <c r="P57" i="110" s="1"/>
  <c r="L60" i="110"/>
  <c r="P78" i="110" a="1"/>
  <c r="H88" i="110" a="1"/>
  <c r="H88" i="110" s="1"/>
  <c r="L90" i="102"/>
  <c r="P90" i="102"/>
  <c r="P89" i="102"/>
  <c r="D89" i="102"/>
  <c r="R88" i="102"/>
  <c r="F88" i="102"/>
  <c r="F87" i="102"/>
  <c r="L87" i="102"/>
  <c r="K89" i="102"/>
  <c r="R90" i="102"/>
  <c r="AG95" i="105"/>
  <c r="AJ96" i="105"/>
  <c r="F56" i="81"/>
  <c r="I56" i="81"/>
  <c r="D56" i="81"/>
  <c r="AC48" i="102"/>
  <c r="U46" i="102"/>
  <c r="L55" i="102"/>
  <c r="G55" i="102"/>
  <c r="P53" i="102"/>
  <c r="F53" i="102"/>
  <c r="K67" i="102"/>
  <c r="J68" i="102"/>
  <c r="P69" i="102"/>
  <c r="AH76" i="102"/>
  <c r="AJ76" i="102"/>
  <c r="AF75" i="102"/>
  <c r="AF74" i="102"/>
  <c r="AF73" i="102"/>
  <c r="U74" i="102"/>
  <c r="AC75" i="102"/>
  <c r="L13" i="105"/>
  <c r="K13" i="105"/>
  <c r="J12" i="105"/>
  <c r="F11" i="105"/>
  <c r="J13" i="105"/>
  <c r="F12" i="105"/>
  <c r="D11" i="105"/>
  <c r="L10" i="105"/>
  <c r="R12" i="105"/>
  <c r="L17" i="105"/>
  <c r="U38" i="105"/>
  <c r="O53" i="105"/>
  <c r="AC97" i="105"/>
  <c r="AJ97" i="105"/>
  <c r="U96" i="105"/>
  <c r="AH94" i="105"/>
  <c r="AH97" i="105"/>
  <c r="AJ95" i="105"/>
  <c r="U94" i="105"/>
  <c r="AF17" i="102"/>
  <c r="V45" i="102"/>
  <c r="R53" i="102"/>
  <c r="U73" i="102"/>
  <c r="Z74" i="102"/>
  <c r="Y76" i="102"/>
  <c r="P85" i="102"/>
  <c r="O87" i="102"/>
  <c r="G88" i="102"/>
  <c r="L89" i="102"/>
  <c r="G90" i="102"/>
  <c r="AG104" i="102"/>
  <c r="AG102" i="102"/>
  <c r="P8" i="105"/>
  <c r="L11" i="105"/>
  <c r="R13" i="105"/>
  <c r="J52" i="105"/>
  <c r="D54" i="105"/>
  <c r="AH83" i="105"/>
  <c r="AG83" i="105"/>
  <c r="AH82" i="105"/>
  <c r="X82" i="105"/>
  <c r="Y81" i="105"/>
  <c r="Z80" i="105"/>
  <c r="AD83" i="105"/>
  <c r="AF82" i="105"/>
  <c r="AG81" i="105"/>
  <c r="V81" i="105"/>
  <c r="X80" i="105"/>
  <c r="Z81" i="105"/>
  <c r="X83" i="105"/>
  <c r="L104" i="105"/>
  <c r="J104" i="105"/>
  <c r="K103" i="105"/>
  <c r="O102" i="105"/>
  <c r="D102" i="105"/>
  <c r="F101" i="105"/>
  <c r="R104" i="105"/>
  <c r="D104" i="105"/>
  <c r="J103" i="105"/>
  <c r="L102" i="105"/>
  <c r="O101" i="105"/>
  <c r="L101" i="105"/>
  <c r="F103" i="105"/>
  <c r="O104" i="105"/>
  <c r="F40" i="81"/>
  <c r="H40" i="81" s="1"/>
  <c r="D40" i="81"/>
  <c r="C40" i="81"/>
  <c r="K46" i="81"/>
  <c r="I46" i="81"/>
  <c r="C46" i="81"/>
  <c r="F51" i="81"/>
  <c r="K51" i="81"/>
  <c r="D51" i="81"/>
  <c r="AE10" i="102"/>
  <c r="W12" i="102"/>
  <c r="W10" i="102"/>
  <c r="AE11" i="102"/>
  <c r="AE13" i="102"/>
  <c r="L69" i="102"/>
  <c r="G69" i="102"/>
  <c r="R68" i="102"/>
  <c r="L20" i="105"/>
  <c r="G20" i="105"/>
  <c r="D19" i="105"/>
  <c r="D18" i="105"/>
  <c r="L18" i="105"/>
  <c r="P20" i="105"/>
  <c r="AC41" i="105"/>
  <c r="AJ41" i="105"/>
  <c r="L55" i="105"/>
  <c r="K55" i="105"/>
  <c r="P54" i="105"/>
  <c r="F53" i="105"/>
  <c r="G52" i="105"/>
  <c r="D55" i="105"/>
  <c r="L54" i="105"/>
  <c r="R53" i="105"/>
  <c r="P52" i="105"/>
  <c r="F54" i="105"/>
  <c r="F52" i="81"/>
  <c r="G52" i="81"/>
  <c r="D52" i="81"/>
  <c r="AC34" i="102"/>
  <c r="AD33" i="102"/>
  <c r="K40" i="102"/>
  <c r="P41" i="102"/>
  <c r="P40" i="102"/>
  <c r="F39" i="102"/>
  <c r="O38" i="102"/>
  <c r="G40" i="102"/>
  <c r="AF48" i="102"/>
  <c r="O52" i="102"/>
  <c r="R54" i="102"/>
  <c r="AH73" i="102"/>
  <c r="Z75" i="102"/>
  <c r="AG76" i="102"/>
  <c r="J87" i="102"/>
  <c r="O88" i="102"/>
  <c r="F89" i="102"/>
  <c r="K90" i="102"/>
  <c r="AB104" i="102"/>
  <c r="J10" i="105"/>
  <c r="P12" i="105"/>
  <c r="U40" i="105"/>
  <c r="P50" i="105"/>
  <c r="G53" i="105"/>
  <c r="L76" i="105"/>
  <c r="J76" i="105"/>
  <c r="P75" i="105"/>
  <c r="R74" i="105"/>
  <c r="D74" i="105"/>
  <c r="F73" i="105"/>
  <c r="R76" i="105"/>
  <c r="G76" i="105"/>
  <c r="K75" i="105"/>
  <c r="L74" i="105"/>
  <c r="O73" i="105"/>
  <c r="L73" i="105"/>
  <c r="J75" i="105"/>
  <c r="P76" i="105"/>
  <c r="AC80" i="105"/>
  <c r="Y82" i="105"/>
  <c r="R90" i="105"/>
  <c r="F89" i="105"/>
  <c r="F88" i="105"/>
  <c r="J87" i="105"/>
  <c r="R89" i="105"/>
  <c r="D88" i="105"/>
  <c r="P89" i="105"/>
  <c r="U95" i="105"/>
  <c r="G102" i="105"/>
  <c r="R103" i="105"/>
  <c r="L40" i="81"/>
  <c r="D47" i="81"/>
  <c r="C52" i="81"/>
  <c r="Y27" i="107"/>
  <c r="AH27" i="107"/>
  <c r="AC25" i="107"/>
  <c r="AF20" i="109"/>
  <c r="X19" i="109"/>
  <c r="W17" i="109"/>
  <c r="AD18" i="109"/>
  <c r="L48" i="109"/>
  <c r="F48" i="109"/>
  <c r="R46" i="109"/>
  <c r="Q45" i="109"/>
  <c r="E47" i="109"/>
  <c r="G83" i="109"/>
  <c r="Q82" i="109"/>
  <c r="K81" i="109"/>
  <c r="R104" i="109"/>
  <c r="I104" i="109"/>
  <c r="C103" i="109"/>
  <c r="K101" i="109"/>
  <c r="F103" i="109"/>
  <c r="F101" i="109"/>
  <c r="I102" i="109"/>
  <c r="AH83" i="108" a="1"/>
  <c r="AH83" i="108" s="1"/>
  <c r="AG83" i="108" a="1"/>
  <c r="AG83" i="108" s="1"/>
  <c r="AJ82" i="108" a="1"/>
  <c r="AJ82" i="108" s="1"/>
  <c r="X82" i="108" a="1"/>
  <c r="X82" i="108" s="1"/>
  <c r="AB81" i="108" a="1"/>
  <c r="AB81" i="108" s="1"/>
  <c r="AH80" i="108" a="1"/>
  <c r="AH80" i="108" s="1"/>
  <c r="U80" i="108" a="1"/>
  <c r="U80" i="108" s="1"/>
  <c r="Y83" i="108" a="1"/>
  <c r="Y83" i="108" s="1"/>
  <c r="AJ81" i="108" a="1"/>
  <c r="AJ81" i="108" s="1"/>
  <c r="U81" i="108" a="1"/>
  <c r="U81" i="108" s="1"/>
  <c r="W80" i="108" a="1"/>
  <c r="W80" i="108" s="1"/>
  <c r="AE83" i="108" a="1"/>
  <c r="AE83" i="108" s="1"/>
  <c r="AC82" i="108" a="1"/>
  <c r="AC82" i="108" s="1"/>
  <c r="AC81" i="108" a="1"/>
  <c r="AC81" i="108" s="1"/>
  <c r="AC80" i="108" a="1"/>
  <c r="AC80" i="108" s="1"/>
  <c r="AJ80" i="108" a="1"/>
  <c r="AJ80" i="108" s="1"/>
  <c r="AE82" i="108" a="1"/>
  <c r="AE82" i="108" s="1"/>
  <c r="AB17" i="105"/>
  <c r="AB18" i="105"/>
  <c r="AD19" i="105"/>
  <c r="AJ20" i="105"/>
  <c r="D57" i="81"/>
  <c r="E57" i="81" s="1"/>
  <c r="D64" i="81"/>
  <c r="E103" i="81"/>
  <c r="AH17" i="107"/>
  <c r="X20" i="107"/>
  <c r="U24" i="107"/>
  <c r="Z26" i="107"/>
  <c r="AI34" i="107"/>
  <c r="AD34" i="107"/>
  <c r="AF33" i="107"/>
  <c r="AG32" i="107"/>
  <c r="AJ31" i="107"/>
  <c r="U31" i="107"/>
  <c r="AG31" i="107"/>
  <c r="V33" i="107"/>
  <c r="V34" i="107"/>
  <c r="X41" i="107"/>
  <c r="U41" i="107"/>
  <c r="AB39" i="107"/>
  <c r="U38" i="107"/>
  <c r="AG39" i="107"/>
  <c r="AH41" i="107"/>
  <c r="R90" i="107"/>
  <c r="I89" i="107"/>
  <c r="N87" i="107"/>
  <c r="L88" i="107"/>
  <c r="M90" i="107"/>
  <c r="AC13" i="109"/>
  <c r="AB13" i="109"/>
  <c r="AG11" i="109"/>
  <c r="AF15" i="109"/>
  <c r="AF19" i="109"/>
  <c r="J47" i="109"/>
  <c r="L55" i="109"/>
  <c r="O55" i="109"/>
  <c r="P54" i="109"/>
  <c r="P78" i="109"/>
  <c r="L82" i="109"/>
  <c r="C101" i="109"/>
  <c r="M103" i="109"/>
  <c r="AE13" i="108"/>
  <c r="AF10" i="108"/>
  <c r="AF12" i="108"/>
  <c r="AH32" i="108"/>
  <c r="E61" i="108"/>
  <c r="F60" i="108"/>
  <c r="C62" i="108"/>
  <c r="W81" i="108" a="1"/>
  <c r="W81" i="108" s="1"/>
  <c r="Z83" i="108" a="1"/>
  <c r="Z83" i="108" s="1"/>
  <c r="E94" i="108" a="1"/>
  <c r="R95" i="108" a="1"/>
  <c r="R95" i="108" s="1"/>
  <c r="R97" i="108" a="1"/>
  <c r="R97" i="108" s="1"/>
  <c r="Q13" i="110"/>
  <c r="E10" i="110"/>
  <c r="AC52" i="105"/>
  <c r="AG55" i="105"/>
  <c r="Z88" i="105"/>
  <c r="AB90" i="105"/>
  <c r="J25" i="102"/>
  <c r="Z66" i="102"/>
  <c r="Y67" i="102"/>
  <c r="AB80" i="102"/>
  <c r="AG81" i="102"/>
  <c r="AD82" i="102"/>
  <c r="AJ83" i="102"/>
  <c r="V87" i="102"/>
  <c r="AJ89" i="102"/>
  <c r="AD90" i="102"/>
  <c r="Z94" i="102"/>
  <c r="AG95" i="102"/>
  <c r="AH96" i="102"/>
  <c r="AH15" i="105"/>
  <c r="J24" i="105"/>
  <c r="G25" i="105"/>
  <c r="D26" i="105"/>
  <c r="P26" i="105"/>
  <c r="K27" i="105"/>
  <c r="AG31" i="105"/>
  <c r="AG32" i="105"/>
  <c r="D34" i="105"/>
  <c r="L38" i="105"/>
  <c r="O39" i="105"/>
  <c r="K40" i="105"/>
  <c r="J41" i="105"/>
  <c r="G46" i="105"/>
  <c r="O48" i="105"/>
  <c r="Z53" i="105"/>
  <c r="J59" i="105"/>
  <c r="F60" i="105"/>
  <c r="R60" i="105"/>
  <c r="P61" i="105"/>
  <c r="K62" i="105"/>
  <c r="AF89" i="105"/>
  <c r="J94" i="105"/>
  <c r="O95" i="105"/>
  <c r="F96" i="105"/>
  <c r="D39" i="81"/>
  <c r="G49" i="81"/>
  <c r="H49" i="81" s="1"/>
  <c r="I57" i="81"/>
  <c r="G63" i="81"/>
  <c r="H63" i="81" s="1"/>
  <c r="I64" i="81"/>
  <c r="I77" i="81"/>
  <c r="E101" i="81"/>
  <c r="E107" i="81"/>
  <c r="E123" i="81"/>
  <c r="AB18" i="107"/>
  <c r="AG20" i="107"/>
  <c r="Y24" i="107"/>
  <c r="AF26" i="107"/>
  <c r="AH29" i="107"/>
  <c r="Y32" i="107"/>
  <c r="Y33" i="107"/>
  <c r="AB34" i="107"/>
  <c r="Z38" i="107"/>
  <c r="Z40" i="107"/>
  <c r="AD76" i="107"/>
  <c r="X75" i="107"/>
  <c r="AJ76" i="107"/>
  <c r="P88" i="107"/>
  <c r="Z12" i="109"/>
  <c r="AE17" i="109"/>
  <c r="U20" i="109"/>
  <c r="AF24" i="109"/>
  <c r="Y34" i="109"/>
  <c r="X31" i="109"/>
  <c r="D45" i="109"/>
  <c r="F46" i="109"/>
  <c r="D61" i="109"/>
  <c r="G62" i="109"/>
  <c r="L59" i="109"/>
  <c r="K60" i="109"/>
  <c r="O97" i="109"/>
  <c r="F95" i="109"/>
  <c r="D94" i="109"/>
  <c r="L96" i="109"/>
  <c r="J94" i="109"/>
  <c r="E96" i="109"/>
  <c r="R101" i="109"/>
  <c r="F104" i="109"/>
  <c r="AJ10" i="108"/>
  <c r="AJ19" i="108"/>
  <c r="AF17" i="108"/>
  <c r="AD34" i="108"/>
  <c r="AC48" i="108"/>
  <c r="AE48" i="108"/>
  <c r="AD47" i="108"/>
  <c r="AC46" i="108"/>
  <c r="W45" i="108"/>
  <c r="W48" i="108"/>
  <c r="AE46" i="108"/>
  <c r="AH43" i="108" a="1"/>
  <c r="AH43" i="108" s="1"/>
  <c r="U47" i="108"/>
  <c r="AI48" i="108"/>
  <c r="AH81" i="108" a="1"/>
  <c r="AH81" i="108" s="1"/>
  <c r="L94" i="108" a="1"/>
  <c r="L94" i="108" s="1"/>
  <c r="P11" i="110"/>
  <c r="R27" i="110"/>
  <c r="N26" i="110"/>
  <c r="E25" i="110"/>
  <c r="P22" i="110" a="1"/>
  <c r="P22" i="110" s="1"/>
  <c r="N27" i="110"/>
  <c r="D26" i="110"/>
  <c r="R26" i="110"/>
  <c r="M24" i="110"/>
  <c r="E26" i="110"/>
  <c r="J24" i="110"/>
  <c r="L63" i="81"/>
  <c r="AJ18" i="107"/>
  <c r="X25" i="107"/>
  <c r="AD27" i="107"/>
  <c r="AB18" i="109"/>
  <c r="AC20" i="109"/>
  <c r="E45" i="109"/>
  <c r="K46" i="109"/>
  <c r="N48" i="109"/>
  <c r="P80" i="109"/>
  <c r="C102" i="109"/>
  <c r="Q104" i="109"/>
  <c r="AB80" i="108" a="1"/>
  <c r="AB80" i="108" s="1"/>
  <c r="Y82" i="108" a="1"/>
  <c r="Y82" i="108" s="1"/>
  <c r="O97" i="108" a="1"/>
  <c r="Q96" i="108" a="1"/>
  <c r="D96" i="108" a="1"/>
  <c r="D96" i="108" s="1"/>
  <c r="F95" i="108" a="1"/>
  <c r="F95" i="108" s="1"/>
  <c r="M94" i="108" a="1"/>
  <c r="Q97" i="108" a="1"/>
  <c r="M96" i="108" a="1"/>
  <c r="M96" i="108" s="1"/>
  <c r="M95" i="108" a="1"/>
  <c r="O94" i="108" a="1"/>
  <c r="F97" i="108" a="1"/>
  <c r="F97" i="108" s="1"/>
  <c r="E96" i="108" a="1"/>
  <c r="E96" i="108" s="1"/>
  <c r="D95" i="108" a="1"/>
  <c r="D95" i="108" s="1"/>
  <c r="F94" i="108" a="1"/>
  <c r="F94" i="108" s="1"/>
  <c r="D97" i="108" a="1"/>
  <c r="D97" i="108" s="1"/>
  <c r="C10" i="110"/>
  <c r="V81" i="110" a="1"/>
  <c r="AE83" i="110" a="1"/>
  <c r="AB60" i="107"/>
  <c r="Y62" i="107"/>
  <c r="N94" i="107"/>
  <c r="D96" i="107"/>
  <c r="E97" i="107"/>
  <c r="N101" i="107"/>
  <c r="P102" i="107"/>
  <c r="P103" i="107"/>
  <c r="L10" i="109"/>
  <c r="F11" i="109"/>
  <c r="M12" i="109"/>
  <c r="H13" i="109"/>
  <c r="J24" i="109"/>
  <c r="D25" i="109"/>
  <c r="R25" i="109"/>
  <c r="M26" i="109"/>
  <c r="N27" i="109"/>
  <c r="N39" i="109"/>
  <c r="X45" i="109"/>
  <c r="N76" i="109"/>
  <c r="P75" i="109"/>
  <c r="O74" i="109"/>
  <c r="G90" i="109"/>
  <c r="N90" i="109"/>
  <c r="D89" i="109"/>
  <c r="L87" i="109"/>
  <c r="H88" i="109"/>
  <c r="F90" i="109"/>
  <c r="R27" i="108"/>
  <c r="K25" i="108"/>
  <c r="AE55" i="108"/>
  <c r="AD55" i="108"/>
  <c r="AI54" i="108"/>
  <c r="W54" i="108"/>
  <c r="Z53" i="108"/>
  <c r="AD52" i="108"/>
  <c r="AH50" i="108" a="1"/>
  <c r="AH50" i="108" s="1"/>
  <c r="AH52" i="108"/>
  <c r="AH53" i="108"/>
  <c r="AH54" i="108"/>
  <c r="AI55" i="108"/>
  <c r="AG75" i="108" a="1"/>
  <c r="AG75" i="108" s="1"/>
  <c r="W74" i="108" a="1"/>
  <c r="W74" i="108" s="1"/>
  <c r="AA76" i="108" a="1"/>
  <c r="AA76" i="108" s="1"/>
  <c r="V88" i="108" a="1"/>
  <c r="V88" i="108" s="1"/>
  <c r="G104" i="108" a="1"/>
  <c r="G104" i="108" s="1"/>
  <c r="C104" i="108" a="1"/>
  <c r="K102" i="108" a="1"/>
  <c r="F101" i="108" a="1"/>
  <c r="R102" i="108" a="1"/>
  <c r="R102" i="108" s="1"/>
  <c r="Q104" i="108" a="1"/>
  <c r="AG19" i="110"/>
  <c r="X38" i="110"/>
  <c r="AF39" i="110"/>
  <c r="E52" i="110"/>
  <c r="P54" i="110"/>
  <c r="R53" i="110"/>
  <c r="H52" i="110"/>
  <c r="P50" i="110" a="1"/>
  <c r="P50" i="110" s="1"/>
  <c r="M55" i="110"/>
  <c r="Z60" i="110"/>
  <c r="U61" i="110"/>
  <c r="AF59" i="110"/>
  <c r="AH57" i="110" a="1"/>
  <c r="AJ83" i="110" a="1"/>
  <c r="AJ83" i="110" s="1"/>
  <c r="Z83" i="110" a="1"/>
  <c r="Z83" i="110" s="1"/>
  <c r="AD82" i="110" a="1"/>
  <c r="AD82" i="110" s="1"/>
  <c r="U82" i="110" a="1"/>
  <c r="AA81" i="110" a="1"/>
  <c r="AE80" i="110" a="1"/>
  <c r="AE80" i="110" s="1"/>
  <c r="V80" i="110" a="1"/>
  <c r="AH83" i="110" a="1"/>
  <c r="V83" i="110" a="1"/>
  <c r="AC82" i="110" a="1"/>
  <c r="AH81" i="110" a="1"/>
  <c r="W81" i="110" a="1"/>
  <c r="AD80" i="110" a="1"/>
  <c r="AD80" i="110" s="1"/>
  <c r="U80" i="110" a="1"/>
  <c r="U80" i="110" s="1"/>
  <c r="AA83" i="110" a="1"/>
  <c r="AH82" i="110" a="1"/>
  <c r="X82" i="110" a="1"/>
  <c r="X82" i="110" s="1"/>
  <c r="AC81" i="110" a="1"/>
  <c r="AC81" i="110" s="1"/>
  <c r="AI80" i="110" a="1"/>
  <c r="Y80" i="110" a="1"/>
  <c r="Y82" i="110" a="1"/>
  <c r="AB89" i="108" a="1"/>
  <c r="AB89" i="108" s="1"/>
  <c r="V90" i="108" a="1"/>
  <c r="V90" i="108" s="1"/>
  <c r="Z87" i="108" a="1"/>
  <c r="Z87" i="108" s="1"/>
  <c r="X89" i="108" a="1"/>
  <c r="X89" i="108" s="1"/>
  <c r="AD41" i="110"/>
  <c r="AF41" i="110"/>
  <c r="AD40" i="110"/>
  <c r="V39" i="110"/>
  <c r="V38" i="110"/>
  <c r="AI38" i="110"/>
  <c r="AI40" i="110"/>
  <c r="F48" i="110"/>
  <c r="L48" i="110"/>
  <c r="L47" i="110"/>
  <c r="H48" i="110"/>
  <c r="H47" i="110"/>
  <c r="N46" i="110"/>
  <c r="R45" i="110"/>
  <c r="K45" i="110"/>
  <c r="H46" i="110"/>
  <c r="R55" i="110"/>
  <c r="AA80" i="110" a="1"/>
  <c r="AI82" i="110" a="1"/>
  <c r="M73" i="108"/>
  <c r="Q75" i="108"/>
  <c r="AB10" i="110"/>
  <c r="AI11" i="110"/>
  <c r="AI12" i="110"/>
  <c r="H18" i="110"/>
  <c r="J31" i="110"/>
  <c r="P32" i="110"/>
  <c r="K34" i="110"/>
  <c r="AJ55" i="110"/>
  <c r="R61" i="110"/>
  <c r="Z69" i="110"/>
  <c r="Y75" i="110" a="1"/>
  <c r="Y75" i="110" s="1"/>
  <c r="X88" i="110" a="1"/>
  <c r="X88" i="110" s="1"/>
  <c r="AB52" i="110"/>
  <c r="Z53" i="110"/>
  <c r="Z54" i="110"/>
  <c r="J59" i="110"/>
  <c r="J89" i="110" a="1"/>
  <c r="AH39" i="102"/>
  <c r="G47" i="102"/>
  <c r="AG62" i="102"/>
  <c r="G74" i="102"/>
  <c r="R74" i="102"/>
  <c r="D95" i="102"/>
  <c r="L95" i="102"/>
  <c r="K96" i="102"/>
  <c r="J97" i="102"/>
  <c r="R97" i="102"/>
  <c r="J103" i="102"/>
  <c r="R103" i="102"/>
  <c r="D104" i="102"/>
  <c r="O104" i="102"/>
  <c r="AD25" i="105"/>
  <c r="Z26" i="105"/>
  <c r="Y27" i="105"/>
  <c r="AH27" i="105"/>
  <c r="AH61" i="105"/>
  <c r="AB74" i="105"/>
  <c r="D81" i="105"/>
  <c r="L81" i="105"/>
  <c r="K82" i="105"/>
  <c r="J83" i="105"/>
  <c r="R83" i="105"/>
  <c r="J18" i="102"/>
  <c r="AB19" i="102"/>
  <c r="AF20" i="102"/>
  <c r="Y38" i="102"/>
  <c r="D67" i="102"/>
  <c r="L67" i="102"/>
  <c r="J75" i="102"/>
  <c r="R75" i="102"/>
  <c r="F81" i="102"/>
  <c r="O81" i="102"/>
  <c r="F95" i="102"/>
  <c r="O95" i="102"/>
  <c r="K97" i="102"/>
  <c r="F19" i="105"/>
  <c r="P19" i="105"/>
  <c r="X24" i="105"/>
  <c r="AG24" i="105"/>
  <c r="AB27" i="105"/>
  <c r="AH40" i="105"/>
  <c r="G45" i="105"/>
  <c r="P45" i="105"/>
  <c r="K46" i="105"/>
  <c r="D47" i="105"/>
  <c r="L47" i="105"/>
  <c r="G48" i="105"/>
  <c r="P48" i="105"/>
  <c r="V52" i="105"/>
  <c r="AF52" i="105"/>
  <c r="AD53" i="105"/>
  <c r="Z54" i="105"/>
  <c r="AG60" i="105"/>
  <c r="AB62" i="105"/>
  <c r="P64" i="105"/>
  <c r="J66" i="105"/>
  <c r="D67" i="105"/>
  <c r="L67" i="105"/>
  <c r="F68" i="105"/>
  <c r="P68" i="105"/>
  <c r="J69" i="105"/>
  <c r="R69" i="105"/>
  <c r="AC75" i="105"/>
  <c r="D82" i="105"/>
  <c r="L82" i="105"/>
  <c r="K83" i="105"/>
  <c r="Z87" i="105"/>
  <c r="AF88" i="105"/>
  <c r="AH89" i="105"/>
  <c r="F44" i="81"/>
  <c r="D44" i="81"/>
  <c r="L44" i="81"/>
  <c r="M44" i="81" s="1"/>
  <c r="F55" i="81"/>
  <c r="D55" i="81"/>
  <c r="C55" i="81"/>
  <c r="I19" i="102"/>
  <c r="P33" i="102"/>
  <c r="F75" i="102"/>
  <c r="P75" i="102"/>
  <c r="G80" i="102"/>
  <c r="P80" i="102"/>
  <c r="J82" i="102"/>
  <c r="R82" i="102"/>
  <c r="J101" i="102"/>
  <c r="V24" i="105"/>
  <c r="AF24" i="105"/>
  <c r="AF60" i="105"/>
  <c r="Y62" i="105"/>
  <c r="F80" i="105"/>
  <c r="O80" i="105"/>
  <c r="J10" i="102"/>
  <c r="Y40" i="102"/>
  <c r="Y59" i="102"/>
  <c r="J69" i="102"/>
  <c r="R69" i="102"/>
  <c r="K74" i="102"/>
  <c r="J76" i="102"/>
  <c r="R76" i="102"/>
  <c r="P78" i="102"/>
  <c r="J80" i="102"/>
  <c r="G83" i="102"/>
  <c r="P83" i="102"/>
  <c r="D96" i="102"/>
  <c r="L96" i="102"/>
  <c r="L101" i="102"/>
  <c r="AB101" i="102"/>
  <c r="G102" i="102"/>
  <c r="R102" i="102"/>
  <c r="AJ102" i="102"/>
  <c r="K103" i="102"/>
  <c r="U103" i="102"/>
  <c r="G104" i="102"/>
  <c r="P104" i="102"/>
  <c r="AH104" i="102"/>
  <c r="F18" i="105"/>
  <c r="O18" i="105"/>
  <c r="AH22" i="105"/>
  <c r="K32" i="105"/>
  <c r="G34" i="105"/>
  <c r="P34" i="105"/>
  <c r="AG38" i="105"/>
  <c r="Y55" i="105"/>
  <c r="AH55" i="105"/>
  <c r="AD74" i="105"/>
  <c r="F81" i="105"/>
  <c r="O81" i="105"/>
  <c r="M10" i="102"/>
  <c r="F11" i="102"/>
  <c r="Q11" i="102"/>
  <c r="F12" i="102"/>
  <c r="R12" i="102"/>
  <c r="I13" i="102"/>
  <c r="R13" i="102"/>
  <c r="I17" i="102"/>
  <c r="AB18" i="102"/>
  <c r="AF19" i="102"/>
  <c r="E25" i="102"/>
  <c r="K27" i="102"/>
  <c r="D31" i="102"/>
  <c r="V31" i="102"/>
  <c r="D32" i="102"/>
  <c r="X32" i="102"/>
  <c r="D33" i="102"/>
  <c r="X33" i="102"/>
  <c r="F34" i="102"/>
  <c r="X34" i="102"/>
  <c r="K38" i="102"/>
  <c r="AG38" i="102"/>
  <c r="R39" i="102"/>
  <c r="AH40" i="102"/>
  <c r="Z41" i="102"/>
  <c r="F45" i="102"/>
  <c r="AF45" i="102"/>
  <c r="AD46" i="102"/>
  <c r="X47" i="102"/>
  <c r="V48" i="102"/>
  <c r="R52" i="102"/>
  <c r="G54" i="102"/>
  <c r="P55" i="102"/>
  <c r="Y60" i="102"/>
  <c r="P64" i="102"/>
  <c r="G66" i="102"/>
  <c r="P66" i="102"/>
  <c r="AC66" i="102"/>
  <c r="F67" i="102"/>
  <c r="O67" i="102"/>
  <c r="Z67" i="102"/>
  <c r="D68" i="102"/>
  <c r="L68" i="102"/>
  <c r="Y68" i="102"/>
  <c r="AH68" i="102"/>
  <c r="K69" i="102"/>
  <c r="X69" i="102"/>
  <c r="AG69" i="102"/>
  <c r="L73" i="102"/>
  <c r="Z73" i="102"/>
  <c r="D74" i="102"/>
  <c r="L74" i="102"/>
  <c r="Y74" i="102"/>
  <c r="AJ74" i="102"/>
  <c r="K75" i="102"/>
  <c r="U75" i="102"/>
  <c r="AJ75" i="102"/>
  <c r="K76" i="102"/>
  <c r="V76" i="102"/>
  <c r="L80" i="102"/>
  <c r="V80" i="102"/>
  <c r="AG80" i="102"/>
  <c r="G81" i="102"/>
  <c r="R81" i="102"/>
  <c r="AB81" i="102"/>
  <c r="D82" i="102"/>
  <c r="L82" i="102"/>
  <c r="X82" i="102"/>
  <c r="AH82" i="102"/>
  <c r="J83" i="102"/>
  <c r="R83" i="102"/>
  <c r="AC83" i="102"/>
  <c r="G87" i="102"/>
  <c r="P87" i="102"/>
  <c r="AB87" i="102"/>
  <c r="D88" i="102"/>
  <c r="L88" i="102"/>
  <c r="V88" i="102"/>
  <c r="AF88" i="102"/>
  <c r="J89" i="102"/>
  <c r="R89" i="102"/>
  <c r="AC89" i="102"/>
  <c r="D90" i="102"/>
  <c r="O90" i="102"/>
  <c r="X90" i="102"/>
  <c r="AG90" i="102"/>
  <c r="J94" i="102"/>
  <c r="V94" i="102"/>
  <c r="AF94" i="102"/>
  <c r="G95" i="102"/>
  <c r="R95" i="102"/>
  <c r="AD95" i="102"/>
  <c r="F96" i="102"/>
  <c r="P96" i="102"/>
  <c r="Z96" i="102"/>
  <c r="D97" i="102"/>
  <c r="O97" i="102"/>
  <c r="Y97" i="102"/>
  <c r="AH97" i="102"/>
  <c r="F101" i="102"/>
  <c r="O101" i="102"/>
  <c r="AF101" i="102"/>
  <c r="K102" i="102"/>
  <c r="Y102" i="102"/>
  <c r="D103" i="102"/>
  <c r="L103" i="102"/>
  <c r="AC103" i="102"/>
  <c r="J104" i="102"/>
  <c r="R104" i="102"/>
  <c r="AJ104" i="102"/>
  <c r="F10" i="105"/>
  <c r="O10" i="105"/>
  <c r="G11" i="105"/>
  <c r="R11" i="105"/>
  <c r="K12" i="105"/>
  <c r="D13" i="105"/>
  <c r="O13" i="105"/>
  <c r="P15" i="105"/>
  <c r="G17" i="105"/>
  <c r="P17" i="105"/>
  <c r="AF17" i="105"/>
  <c r="G18" i="105"/>
  <c r="R18" i="105"/>
  <c r="AD18" i="105"/>
  <c r="J19" i="105"/>
  <c r="R19" i="105"/>
  <c r="AJ19" i="105"/>
  <c r="K20" i="105"/>
  <c r="V20" i="105"/>
  <c r="F24" i="105"/>
  <c r="O24" i="105"/>
  <c r="Z24" i="105"/>
  <c r="D25" i="105"/>
  <c r="L25" i="105"/>
  <c r="Y25" i="105"/>
  <c r="AG25" i="105"/>
  <c r="K26" i="105"/>
  <c r="X26" i="105"/>
  <c r="AF26" i="105"/>
  <c r="J27" i="105"/>
  <c r="R27" i="105"/>
  <c r="AD27" i="105"/>
  <c r="P29" i="105"/>
  <c r="J31" i="105"/>
  <c r="X31" i="105"/>
  <c r="D32" i="105"/>
  <c r="L32" i="105"/>
  <c r="Z32" i="105"/>
  <c r="F33" i="105"/>
  <c r="P33" i="105"/>
  <c r="AF33" i="105"/>
  <c r="J34" i="105"/>
  <c r="R34" i="105"/>
  <c r="AH34" i="105"/>
  <c r="F38" i="105"/>
  <c r="O38" i="105"/>
  <c r="AH38" i="105"/>
  <c r="K39" i="105"/>
  <c r="U39" i="105"/>
  <c r="F40" i="105"/>
  <c r="P40" i="105"/>
  <c r="AJ40" i="105"/>
  <c r="K41" i="105"/>
  <c r="V41" i="105"/>
  <c r="P43" i="105"/>
  <c r="J45" i="105"/>
  <c r="D46" i="105"/>
  <c r="L46" i="105"/>
  <c r="F47" i="105"/>
  <c r="P47" i="105"/>
  <c r="J48" i="105"/>
  <c r="R48" i="105"/>
  <c r="AH50" i="105"/>
  <c r="L52" i="105"/>
  <c r="X52" i="105"/>
  <c r="AG52" i="105"/>
  <c r="K53" i="105"/>
  <c r="V53" i="105"/>
  <c r="AF53" i="105"/>
  <c r="J54" i="105"/>
  <c r="R54" i="105"/>
  <c r="AD54" i="105"/>
  <c r="G55" i="105"/>
  <c r="P55" i="105"/>
  <c r="AB55" i="105"/>
  <c r="G59" i="105"/>
  <c r="P59" i="105"/>
  <c r="AG59" i="105"/>
  <c r="K60" i="105"/>
  <c r="Y60" i="105"/>
  <c r="D61" i="105"/>
  <c r="L61" i="105"/>
  <c r="Z61" i="105"/>
  <c r="G62" i="105"/>
  <c r="P62" i="105"/>
  <c r="AG62" i="105"/>
  <c r="L66" i="105"/>
  <c r="F67" i="105"/>
  <c r="O67" i="105"/>
  <c r="J68" i="105"/>
  <c r="R68" i="105"/>
  <c r="K69" i="105"/>
  <c r="G73" i="105"/>
  <c r="P73" i="105"/>
  <c r="F74" i="105"/>
  <c r="O74" i="105"/>
  <c r="D75" i="105"/>
  <c r="L75" i="105"/>
  <c r="AD75" i="105"/>
  <c r="K76" i="105"/>
  <c r="AC76" i="105"/>
  <c r="J80" i="105"/>
  <c r="V80" i="105"/>
  <c r="AF80" i="105"/>
  <c r="G81" i="105"/>
  <c r="R81" i="105"/>
  <c r="AD81" i="105"/>
  <c r="F82" i="105"/>
  <c r="P82" i="105"/>
  <c r="Z82" i="105"/>
  <c r="D83" i="105"/>
  <c r="O83" i="105"/>
  <c r="Y83" i="105"/>
  <c r="F87" i="105"/>
  <c r="O87" i="105"/>
  <c r="AF87" i="105"/>
  <c r="G88" i="105"/>
  <c r="R88" i="105"/>
  <c r="AG88" i="105"/>
  <c r="K89" i="105"/>
  <c r="Y89" i="105"/>
  <c r="D90" i="105"/>
  <c r="L97" i="105"/>
  <c r="R97" i="105"/>
  <c r="J97" i="105"/>
  <c r="L96" i="105"/>
  <c r="D96" i="105"/>
  <c r="R95" i="105"/>
  <c r="G95" i="105"/>
  <c r="L94" i="105"/>
  <c r="G94" i="105"/>
  <c r="K95" i="105"/>
  <c r="K96" i="105"/>
  <c r="O97" i="105"/>
  <c r="D21" i="81"/>
  <c r="C42" i="81"/>
  <c r="C44" i="81"/>
  <c r="F47" i="81"/>
  <c r="K47" i="81"/>
  <c r="F48" i="81"/>
  <c r="D48" i="81"/>
  <c r="L48" i="81"/>
  <c r="M48" i="81" s="1"/>
  <c r="F53" i="81"/>
  <c r="G53" i="81"/>
  <c r="K55" i="81"/>
  <c r="O31" i="102"/>
  <c r="P34" i="102"/>
  <c r="N11" i="102"/>
  <c r="E12" i="102"/>
  <c r="N12" i="102"/>
  <c r="F13" i="102"/>
  <c r="Q13" i="102"/>
  <c r="U31" i="102"/>
  <c r="AF31" i="102"/>
  <c r="U32" i="102"/>
  <c r="AF32" i="102"/>
  <c r="V33" i="102"/>
  <c r="AG33" i="102"/>
  <c r="V34" i="102"/>
  <c r="AG34" i="102"/>
  <c r="AD45" i="102"/>
  <c r="X46" i="102"/>
  <c r="V47" i="102"/>
  <c r="G48" i="102"/>
  <c r="AG48" i="102"/>
  <c r="F66" i="102"/>
  <c r="O66" i="102"/>
  <c r="K68" i="102"/>
  <c r="P71" i="102"/>
  <c r="J73" i="102"/>
  <c r="K82" i="102"/>
  <c r="P92" i="102"/>
  <c r="G94" i="102"/>
  <c r="P94" i="102"/>
  <c r="F17" i="105"/>
  <c r="O17" i="105"/>
  <c r="J20" i="105"/>
  <c r="R20" i="105"/>
  <c r="V25" i="105"/>
  <c r="AF25" i="105"/>
  <c r="AD26" i="105"/>
  <c r="G31" i="105"/>
  <c r="P31" i="105"/>
  <c r="D33" i="105"/>
  <c r="L33" i="105"/>
  <c r="AF59" i="105"/>
  <c r="Y61" i="105"/>
  <c r="P78" i="105"/>
  <c r="G80" i="105"/>
  <c r="P80" i="105"/>
  <c r="AH90" i="105"/>
  <c r="E10" i="102"/>
  <c r="N10" i="102"/>
  <c r="I11" i="102"/>
  <c r="R11" i="102"/>
  <c r="J12" i="102"/>
  <c r="J13" i="102"/>
  <c r="X17" i="102"/>
  <c r="AE18" i="102"/>
  <c r="F31" i="102"/>
  <c r="AB31" i="102"/>
  <c r="F32" i="102"/>
  <c r="AC32" i="102"/>
  <c r="G33" i="102"/>
  <c r="AC33" i="102"/>
  <c r="G34" i="102"/>
  <c r="Y39" i="102"/>
  <c r="AH41" i="102"/>
  <c r="U45" i="102"/>
  <c r="AF46" i="102"/>
  <c r="AD47" i="102"/>
  <c r="X48" i="102"/>
  <c r="J66" i="102"/>
  <c r="V66" i="102"/>
  <c r="AF66" i="102"/>
  <c r="G67" i="102"/>
  <c r="R67" i="102"/>
  <c r="AD67" i="102"/>
  <c r="F68" i="102"/>
  <c r="P68" i="102"/>
  <c r="Z68" i="102"/>
  <c r="D69" i="102"/>
  <c r="O69" i="102"/>
  <c r="Y69" i="102"/>
  <c r="AH69" i="102"/>
  <c r="F73" i="102"/>
  <c r="O73" i="102"/>
  <c r="F74" i="102"/>
  <c r="O74" i="102"/>
  <c r="D75" i="102"/>
  <c r="L75" i="102"/>
  <c r="D76" i="102"/>
  <c r="O76" i="102"/>
  <c r="F80" i="102"/>
  <c r="O80" i="102"/>
  <c r="Z80" i="102"/>
  <c r="AH80" i="102"/>
  <c r="K81" i="102"/>
  <c r="U81" i="102"/>
  <c r="AD81" i="102"/>
  <c r="F82" i="102"/>
  <c r="P82" i="102"/>
  <c r="Z82" i="102"/>
  <c r="AJ82" i="102"/>
  <c r="K83" i="102"/>
  <c r="V83" i="102"/>
  <c r="AD83" i="102"/>
  <c r="U87" i="102"/>
  <c r="AC87" i="102"/>
  <c r="Y88" i="102"/>
  <c r="AJ88" i="102"/>
  <c r="U89" i="102"/>
  <c r="AD89" i="102"/>
  <c r="Y90" i="102"/>
  <c r="AJ90" i="102"/>
  <c r="L94" i="102"/>
  <c r="X94" i="102"/>
  <c r="AG94" i="102"/>
  <c r="K95" i="102"/>
  <c r="V95" i="102"/>
  <c r="AF95" i="102"/>
  <c r="J96" i="102"/>
  <c r="R96" i="102"/>
  <c r="AD96" i="102"/>
  <c r="G97" i="102"/>
  <c r="P97" i="102"/>
  <c r="G101" i="102"/>
  <c r="P101" i="102"/>
  <c r="D102" i="102"/>
  <c r="L102" i="102"/>
  <c r="Z102" i="102"/>
  <c r="F103" i="102"/>
  <c r="P103" i="102"/>
  <c r="AF103" i="102"/>
  <c r="K104" i="102"/>
  <c r="Y104" i="102"/>
  <c r="G10" i="105"/>
  <c r="P10" i="105"/>
  <c r="K11" i="105"/>
  <c r="D12" i="105"/>
  <c r="L12" i="105"/>
  <c r="G13" i="105"/>
  <c r="P13" i="105"/>
  <c r="J17" i="105"/>
  <c r="V17" i="105"/>
  <c r="AH17" i="105"/>
  <c r="K18" i="105"/>
  <c r="U18" i="105"/>
  <c r="AJ18" i="105"/>
  <c r="K19" i="105"/>
  <c r="U19" i="105"/>
  <c r="D20" i="105"/>
  <c r="O20" i="105"/>
  <c r="AC24" i="105"/>
  <c r="Z25" i="105"/>
  <c r="Y26" i="105"/>
  <c r="AH26" i="105"/>
  <c r="X27" i="105"/>
  <c r="L31" i="105"/>
  <c r="Z31" i="105"/>
  <c r="F32" i="105"/>
  <c r="O32" i="105"/>
  <c r="AF32" i="105"/>
  <c r="J33" i="105"/>
  <c r="R33" i="105"/>
  <c r="AH33" i="105"/>
  <c r="K34" i="105"/>
  <c r="Y34" i="105"/>
  <c r="G38" i="105"/>
  <c r="P38" i="105"/>
  <c r="D39" i="105"/>
  <c r="L39" i="105"/>
  <c r="AG39" i="105"/>
  <c r="J40" i="105"/>
  <c r="R40" i="105"/>
  <c r="D41" i="105"/>
  <c r="O41" i="105"/>
  <c r="AH41" i="105"/>
  <c r="AD48" i="105"/>
  <c r="L45" i="105"/>
  <c r="F46" i="105"/>
  <c r="O46" i="105"/>
  <c r="J47" i="105"/>
  <c r="R47" i="105"/>
  <c r="K48" i="105"/>
  <c r="F52" i="105"/>
  <c r="O52" i="105"/>
  <c r="Z52" i="105"/>
  <c r="D53" i="105"/>
  <c r="L53" i="105"/>
  <c r="Y53" i="105"/>
  <c r="AG53" i="105"/>
  <c r="K54" i="105"/>
  <c r="X54" i="105"/>
  <c r="AF54" i="105"/>
  <c r="J55" i="105"/>
  <c r="R55" i="105"/>
  <c r="X59" i="105"/>
  <c r="Z60" i="105"/>
  <c r="AF61" i="105"/>
  <c r="AH62" i="105"/>
  <c r="F66" i="105"/>
  <c r="O66" i="105"/>
  <c r="G67" i="105"/>
  <c r="R67" i="105"/>
  <c r="K68" i="105"/>
  <c r="D69" i="105"/>
  <c r="O69" i="105"/>
  <c r="AB73" i="105"/>
  <c r="AD76" i="105"/>
  <c r="L80" i="105"/>
  <c r="K81" i="105"/>
  <c r="J82" i="105"/>
  <c r="R82" i="105"/>
  <c r="G83" i="105"/>
  <c r="P83" i="105"/>
  <c r="L90" i="105"/>
  <c r="P90" i="105"/>
  <c r="G90" i="105"/>
  <c r="G87" i="105"/>
  <c r="P87" i="105"/>
  <c r="AG87" i="105"/>
  <c r="K88" i="105"/>
  <c r="Y88" i="105"/>
  <c r="D89" i="105"/>
  <c r="L89" i="105"/>
  <c r="Z89" i="105"/>
  <c r="J90" i="105"/>
  <c r="Y90" i="105"/>
  <c r="D41" i="81"/>
  <c r="I41" i="81"/>
  <c r="G42" i="81"/>
  <c r="G44" i="81"/>
  <c r="C47" i="81"/>
  <c r="C48" i="81"/>
  <c r="L55" i="81"/>
  <c r="P32" i="102"/>
  <c r="G73" i="102"/>
  <c r="P73" i="102"/>
  <c r="G76" i="102"/>
  <c r="P76" i="102"/>
  <c r="D81" i="102"/>
  <c r="L81" i="102"/>
  <c r="D83" i="102"/>
  <c r="O83" i="102"/>
  <c r="F94" i="102"/>
  <c r="O94" i="102"/>
  <c r="F102" i="102"/>
  <c r="O102" i="102"/>
  <c r="G66" i="105"/>
  <c r="P66" i="105"/>
  <c r="K67" i="105"/>
  <c r="D68" i="105"/>
  <c r="L68" i="105"/>
  <c r="G69" i="105"/>
  <c r="P69" i="105"/>
  <c r="AC73" i="105"/>
  <c r="H48" i="81"/>
  <c r="C60" i="81"/>
  <c r="K61" i="81"/>
  <c r="I73" i="81"/>
  <c r="C76" i="81"/>
  <c r="D81" i="81"/>
  <c r="D93" i="81"/>
  <c r="E124" i="81"/>
  <c r="AB17" i="107"/>
  <c r="AJ17" i="107"/>
  <c r="AC18" i="107"/>
  <c r="X19" i="107"/>
  <c r="AG19" i="107"/>
  <c r="Y20" i="107"/>
  <c r="AJ20" i="107"/>
  <c r="AH50" i="107"/>
  <c r="U53" i="107"/>
  <c r="X54" i="107"/>
  <c r="AC55" i="107"/>
  <c r="Y59" i="107"/>
  <c r="AF59" i="107"/>
  <c r="V60" i="107"/>
  <c r="AD60" i="107"/>
  <c r="U61" i="107"/>
  <c r="AB61" i="107"/>
  <c r="AJ61" i="107"/>
  <c r="Z62" i="107"/>
  <c r="AG62" i="107"/>
  <c r="U66" i="107"/>
  <c r="AC66" i="107"/>
  <c r="V67" i="107"/>
  <c r="AG67" i="107"/>
  <c r="Z68" i="107"/>
  <c r="AH68" i="107"/>
  <c r="AC69" i="107"/>
  <c r="AD73" i="107"/>
  <c r="AC74" i="107"/>
  <c r="AB75" i="107"/>
  <c r="Y76" i="107"/>
  <c r="AA26" i="109"/>
  <c r="M31" i="109"/>
  <c r="AD31" i="109"/>
  <c r="K32" i="109"/>
  <c r="AB32" i="109"/>
  <c r="J33" i="109"/>
  <c r="AE33" i="109"/>
  <c r="P34" i="109"/>
  <c r="I38" i="109"/>
  <c r="D39" i="109"/>
  <c r="H40" i="109"/>
  <c r="C41" i="109"/>
  <c r="P41" i="109"/>
  <c r="M52" i="109"/>
  <c r="P53" i="109"/>
  <c r="Q54" i="109"/>
  <c r="Q62" i="109"/>
  <c r="R62" i="109"/>
  <c r="K62" i="109"/>
  <c r="C62" i="109"/>
  <c r="M61" i="109"/>
  <c r="F61" i="109"/>
  <c r="N60" i="109"/>
  <c r="G60" i="109"/>
  <c r="F59" i="109"/>
  <c r="M59" i="109"/>
  <c r="C60" i="109"/>
  <c r="L60" i="109"/>
  <c r="H61" i="109"/>
  <c r="Q61" i="109"/>
  <c r="H62" i="109"/>
  <c r="N69" i="109"/>
  <c r="D69" i="109"/>
  <c r="M68" i="109"/>
  <c r="R67" i="109"/>
  <c r="H67" i="109"/>
  <c r="P66" i="109"/>
  <c r="E66" i="109"/>
  <c r="J66" i="109"/>
  <c r="G67" i="109"/>
  <c r="E68" i="109"/>
  <c r="P68" i="109"/>
  <c r="L69" i="109"/>
  <c r="AE18" i="108"/>
  <c r="AH22" i="108" a="1"/>
  <c r="AH22" i="108" s="1"/>
  <c r="AF24" i="108"/>
  <c r="AE25" i="108"/>
  <c r="U27" i="108"/>
  <c r="AH33" i="108"/>
  <c r="W32" i="108"/>
  <c r="AH29" i="108" a="1"/>
  <c r="AH29" i="108" s="1"/>
  <c r="AD33" i="108"/>
  <c r="Y31" i="108"/>
  <c r="AI32" i="108"/>
  <c r="E39" i="108"/>
  <c r="J40" i="108"/>
  <c r="P43" i="108" a="1"/>
  <c r="M45" i="108"/>
  <c r="E46" i="108"/>
  <c r="L51" i="81"/>
  <c r="K56" i="81"/>
  <c r="G59" i="81"/>
  <c r="H59" i="81" s="1"/>
  <c r="D60" i="81"/>
  <c r="C61" i="81"/>
  <c r="K64" i="81"/>
  <c r="C72" i="81"/>
  <c r="D76" i="81"/>
  <c r="D78" i="81"/>
  <c r="C80" i="81"/>
  <c r="F81" i="81"/>
  <c r="D89" i="81"/>
  <c r="F93" i="81"/>
  <c r="E119" i="81"/>
  <c r="AH15" i="107"/>
  <c r="AC17" i="107"/>
  <c r="V18" i="107"/>
  <c r="AG18" i="107"/>
  <c r="Y19" i="107"/>
  <c r="AH19" i="107"/>
  <c r="AC20" i="107"/>
  <c r="AD24" i="107"/>
  <c r="AH25" i="107"/>
  <c r="AJ26" i="107"/>
  <c r="V31" i="107"/>
  <c r="AD31" i="107"/>
  <c r="U32" i="107"/>
  <c r="AB32" i="107"/>
  <c r="AJ32" i="107"/>
  <c r="Z33" i="107"/>
  <c r="AG33" i="107"/>
  <c r="Y34" i="107"/>
  <c r="AF34" i="107"/>
  <c r="AH38" i="107"/>
  <c r="V40" i="107"/>
  <c r="X52" i="107"/>
  <c r="Y53" i="107"/>
  <c r="AD54" i="107"/>
  <c r="AF55" i="107"/>
  <c r="AH57" i="107"/>
  <c r="Z59" i="107"/>
  <c r="AG59" i="107"/>
  <c r="Y60" i="107"/>
  <c r="AF60" i="107"/>
  <c r="V61" i="107"/>
  <c r="AD61" i="107"/>
  <c r="U62" i="107"/>
  <c r="AB62" i="107"/>
  <c r="AJ62" i="107"/>
  <c r="V66" i="107"/>
  <c r="AF66" i="107"/>
  <c r="Z67" i="107"/>
  <c r="AH67" i="107"/>
  <c r="AB68" i="107"/>
  <c r="V69" i="107"/>
  <c r="AF69" i="107"/>
  <c r="AH71" i="107"/>
  <c r="AH73" i="107"/>
  <c r="AG74" i="107"/>
  <c r="AD75" i="107"/>
  <c r="AC76" i="107"/>
  <c r="H87" i="107"/>
  <c r="E88" i="107"/>
  <c r="R88" i="107"/>
  <c r="P89" i="107"/>
  <c r="P90" i="107"/>
  <c r="H94" i="107"/>
  <c r="Q94" i="107"/>
  <c r="H95" i="107"/>
  <c r="Q95" i="107"/>
  <c r="I96" i="107"/>
  <c r="Q96" i="107"/>
  <c r="J97" i="107"/>
  <c r="L101" i="107"/>
  <c r="H102" i="107"/>
  <c r="E103" i="107"/>
  <c r="E104" i="107"/>
  <c r="I10" i="109"/>
  <c r="R10" i="109"/>
  <c r="H11" i="109"/>
  <c r="R11" i="109"/>
  <c r="F12" i="109"/>
  <c r="N12" i="109"/>
  <c r="G13" i="109"/>
  <c r="AH17" i="109"/>
  <c r="AA19" i="109"/>
  <c r="E24" i="109"/>
  <c r="L24" i="109"/>
  <c r="R24" i="109"/>
  <c r="F25" i="109"/>
  <c r="L25" i="109"/>
  <c r="X25" i="109"/>
  <c r="H26" i="109"/>
  <c r="P26" i="109"/>
  <c r="C27" i="109"/>
  <c r="J27" i="109"/>
  <c r="P27" i="109"/>
  <c r="AF29" i="109"/>
  <c r="N31" i="109"/>
  <c r="AE31" i="109"/>
  <c r="P32" i="109"/>
  <c r="AF32" i="109"/>
  <c r="L33" i="109"/>
  <c r="F34" i="109"/>
  <c r="U34" i="109"/>
  <c r="M38" i="109"/>
  <c r="F39" i="109"/>
  <c r="I40" i="109"/>
  <c r="D41" i="109"/>
  <c r="L45" i="109"/>
  <c r="D46" i="109"/>
  <c r="X46" i="109"/>
  <c r="L47" i="109"/>
  <c r="R52" i="109"/>
  <c r="R53" i="109"/>
  <c r="G55" i="109"/>
  <c r="P57" i="109"/>
  <c r="H59" i="109"/>
  <c r="N59" i="109"/>
  <c r="F60" i="109"/>
  <c r="P60" i="109"/>
  <c r="I61" i="109"/>
  <c r="R61" i="109"/>
  <c r="L62" i="109"/>
  <c r="M66" i="109"/>
  <c r="J67" i="109"/>
  <c r="H68" i="109"/>
  <c r="C69" i="109"/>
  <c r="R69" i="109"/>
  <c r="L73" i="109"/>
  <c r="P74" i="109"/>
  <c r="F80" i="109"/>
  <c r="L81" i="109"/>
  <c r="F87" i="109"/>
  <c r="R87" i="109"/>
  <c r="L88" i="109"/>
  <c r="L89" i="109"/>
  <c r="H97" i="109"/>
  <c r="J96" i="109"/>
  <c r="K95" i="109"/>
  <c r="E94" i="109"/>
  <c r="P97" i="109"/>
  <c r="Q96" i="109"/>
  <c r="N95" i="109"/>
  <c r="R94" i="109"/>
  <c r="M94" i="109"/>
  <c r="D96" i="109"/>
  <c r="J97" i="109"/>
  <c r="AI13" i="108"/>
  <c r="AJ12" i="108"/>
  <c r="AG11" i="108"/>
  <c r="U10" i="108"/>
  <c r="AF13" i="108"/>
  <c r="AI11" i="108"/>
  <c r="AH8" i="108"/>
  <c r="AE12" i="108"/>
  <c r="X27" i="108"/>
  <c r="W31" i="108"/>
  <c r="AC34" i="108"/>
  <c r="E38" i="108"/>
  <c r="G39" i="108"/>
  <c r="R40" i="108"/>
  <c r="P46" i="108"/>
  <c r="E47" i="108"/>
  <c r="AI62" i="108"/>
  <c r="AE61" i="108"/>
  <c r="AA59" i="108"/>
  <c r="U62" i="108"/>
  <c r="AJ76" i="108" a="1"/>
  <c r="AJ76" i="108" s="1"/>
  <c r="W76" i="108" a="1"/>
  <c r="W76" i="108" s="1"/>
  <c r="AI75" i="108" a="1"/>
  <c r="AI75" i="108" s="1"/>
  <c r="AF75" i="108" a="1"/>
  <c r="AF75" i="108" s="1"/>
  <c r="AC75" i="108" a="1"/>
  <c r="AC75" i="108" s="1"/>
  <c r="W75" i="108" a="1"/>
  <c r="W75" i="108" s="1"/>
  <c r="AH74" i="108" a="1"/>
  <c r="AH74" i="108" s="1"/>
  <c r="AE74" i="108" a="1"/>
  <c r="AE74" i="108" s="1"/>
  <c r="AA74" i="108" a="1"/>
  <c r="AA74" i="108" s="1"/>
  <c r="X74" i="108" a="1"/>
  <c r="X74" i="108" s="1"/>
  <c r="AH73" i="108" a="1"/>
  <c r="AH73" i="108" s="1"/>
  <c r="X73" i="108" a="1"/>
  <c r="X73" i="108" s="1"/>
  <c r="AH71" i="108" a="1"/>
  <c r="AH71" i="108" s="1"/>
  <c r="AE76" i="108" a="1"/>
  <c r="AE76" i="108" s="1"/>
  <c r="Y76" i="108" a="1"/>
  <c r="Y76" i="108" s="1"/>
  <c r="AH75" i="108" a="1"/>
  <c r="AH75" i="108" s="1"/>
  <c r="AE75" i="108" a="1"/>
  <c r="AE75" i="108" s="1"/>
  <c r="Z75" i="108" a="1"/>
  <c r="Z75" i="108" s="1"/>
  <c r="V75" i="108" a="1"/>
  <c r="V75" i="108" s="1"/>
  <c r="AF74" i="108" a="1"/>
  <c r="AF74" i="108" s="1"/>
  <c r="Z74" i="108" a="1"/>
  <c r="Z74" i="108" s="1"/>
  <c r="V74" i="108" a="1"/>
  <c r="V74" i="108" s="1"/>
  <c r="AB73" i="108" a="1"/>
  <c r="AB73" i="108" s="1"/>
  <c r="AC76" i="108" a="1"/>
  <c r="AC76" i="108" s="1"/>
  <c r="U76" i="108" a="1"/>
  <c r="U76" i="108" s="1"/>
  <c r="AD75" i="108" a="1"/>
  <c r="AD75" i="108" s="1"/>
  <c r="Y75" i="108" a="1"/>
  <c r="Y75" i="108" s="1"/>
  <c r="U75" i="108" a="1"/>
  <c r="U75" i="108" s="1"/>
  <c r="AI74" i="108" a="1"/>
  <c r="AI74" i="108" s="1"/>
  <c r="AD74" i="108" a="1"/>
  <c r="AD74" i="108" s="1"/>
  <c r="U74" i="108" a="1"/>
  <c r="U74" i="108" s="1"/>
  <c r="Z73" i="108" a="1"/>
  <c r="Z73" i="108" s="1"/>
  <c r="V73" i="108" a="1"/>
  <c r="V73" i="108" s="1"/>
  <c r="AJ73" i="108" a="1"/>
  <c r="AJ73" i="108" s="1"/>
  <c r="AB74" i="108" a="1"/>
  <c r="AB74" i="108" s="1"/>
  <c r="AJ74" i="108" a="1"/>
  <c r="AJ74" i="108" s="1"/>
  <c r="AA75" i="108" a="1"/>
  <c r="AA75" i="108" s="1"/>
  <c r="AJ75" i="108" a="1"/>
  <c r="AJ75" i="108" s="1"/>
  <c r="AG76" i="108" a="1"/>
  <c r="AG76" i="108" s="1"/>
  <c r="AD87" i="108" a="1"/>
  <c r="AD87" i="108" s="1"/>
  <c r="AD88" i="108" a="1"/>
  <c r="AD88" i="108" s="1"/>
  <c r="AG94" i="105"/>
  <c r="AH96" i="105"/>
  <c r="G101" i="105"/>
  <c r="P101" i="105"/>
  <c r="K102" i="105"/>
  <c r="D103" i="105"/>
  <c r="L103" i="105"/>
  <c r="G104" i="105"/>
  <c r="P104" i="105"/>
  <c r="K40" i="81"/>
  <c r="M40" i="81" s="1"/>
  <c r="C51" i="81"/>
  <c r="K52" i="81"/>
  <c r="M52" i="81" s="1"/>
  <c r="C56" i="81"/>
  <c r="E56" i="81" s="1"/>
  <c r="K57" i="81"/>
  <c r="L59" i="81"/>
  <c r="I60" i="81"/>
  <c r="D61" i="81"/>
  <c r="C64" i="81"/>
  <c r="E64" i="81" s="1"/>
  <c r="C68" i="81"/>
  <c r="F72" i="81"/>
  <c r="J78" i="81"/>
  <c r="K78" i="81" s="1"/>
  <c r="F80" i="81"/>
  <c r="J87" i="81"/>
  <c r="F89" i="81"/>
  <c r="F92" i="81"/>
  <c r="E111" i="81"/>
  <c r="V17" i="107"/>
  <c r="AD17" i="107"/>
  <c r="Y18" i="107"/>
  <c r="AH18" i="107"/>
  <c r="AB19" i="107"/>
  <c r="V20" i="107"/>
  <c r="AJ24" i="107"/>
  <c r="U26" i="107"/>
  <c r="Y31" i="107"/>
  <c r="AF31" i="107"/>
  <c r="V32" i="107"/>
  <c r="AD32" i="107"/>
  <c r="U33" i="107"/>
  <c r="AB33" i="107"/>
  <c r="AJ33" i="107"/>
  <c r="Z34" i="107"/>
  <c r="AG34" i="107"/>
  <c r="Z52" i="107"/>
  <c r="AF53" i="107"/>
  <c r="AH54" i="107"/>
  <c r="AJ55" i="107"/>
  <c r="U59" i="107"/>
  <c r="AB59" i="107"/>
  <c r="AJ59" i="107"/>
  <c r="Z60" i="107"/>
  <c r="AG60" i="107"/>
  <c r="Y61" i="107"/>
  <c r="AF61" i="107"/>
  <c r="V62" i="107"/>
  <c r="AD62" i="107"/>
  <c r="X66" i="107"/>
  <c r="AH66" i="107"/>
  <c r="AB67" i="107"/>
  <c r="U68" i="107"/>
  <c r="AF68" i="107"/>
  <c r="X69" i="107"/>
  <c r="AG69" i="107"/>
  <c r="X73" i="107"/>
  <c r="V74" i="107"/>
  <c r="AJ74" i="107"/>
  <c r="AH75" i="107"/>
  <c r="AG76" i="107"/>
  <c r="L87" i="107"/>
  <c r="H88" i="107"/>
  <c r="E89" i="107"/>
  <c r="E90" i="107"/>
  <c r="I94" i="107"/>
  <c r="R94" i="107"/>
  <c r="J95" i="107"/>
  <c r="R95" i="107"/>
  <c r="J96" i="107"/>
  <c r="D97" i="107"/>
  <c r="AB10" i="109"/>
  <c r="V11" i="109"/>
  <c r="F24" i="109"/>
  <c r="M24" i="109"/>
  <c r="Z24" i="109"/>
  <c r="G25" i="109"/>
  <c r="O25" i="109"/>
  <c r="AD25" i="109"/>
  <c r="J26" i="109"/>
  <c r="Q26" i="109"/>
  <c r="D27" i="109"/>
  <c r="K27" i="109"/>
  <c r="AH27" i="109"/>
  <c r="D31" i="109"/>
  <c r="V31" i="109"/>
  <c r="F32" i="109"/>
  <c r="R32" i="109"/>
  <c r="AH32" i="109"/>
  <c r="P33" i="109"/>
  <c r="K34" i="109"/>
  <c r="AB34" i="109"/>
  <c r="D38" i="109"/>
  <c r="N38" i="109"/>
  <c r="K39" i="109"/>
  <c r="N40" i="109"/>
  <c r="AB46" i="109"/>
  <c r="E52" i="109"/>
  <c r="D53" i="109"/>
  <c r="J54" i="109"/>
  <c r="I59" i="109"/>
  <c r="Q59" i="109"/>
  <c r="H60" i="109"/>
  <c r="R60" i="109"/>
  <c r="L61" i="109"/>
  <c r="F62" i="109"/>
  <c r="N62" i="109"/>
  <c r="D66" i="109"/>
  <c r="R66" i="109"/>
  <c r="N67" i="109"/>
  <c r="I68" i="109"/>
  <c r="G69" i="109"/>
  <c r="K76" i="109"/>
  <c r="I75" i="109"/>
  <c r="C74" i="109"/>
  <c r="D73" i="109"/>
  <c r="Q73" i="109"/>
  <c r="N75" i="109"/>
  <c r="J83" i="109"/>
  <c r="J82" i="109"/>
  <c r="D81" i="109"/>
  <c r="O83" i="109"/>
  <c r="M80" i="109"/>
  <c r="R81" i="109"/>
  <c r="Q90" i="109"/>
  <c r="R90" i="109"/>
  <c r="K90" i="109"/>
  <c r="C90" i="109"/>
  <c r="M89" i="109"/>
  <c r="F89" i="109"/>
  <c r="N88" i="109"/>
  <c r="G88" i="109"/>
  <c r="Q87" i="109"/>
  <c r="I87" i="109"/>
  <c r="L90" i="109"/>
  <c r="R89" i="109"/>
  <c r="I89" i="109"/>
  <c r="P88" i="109"/>
  <c r="F88" i="109"/>
  <c r="M87" i="109"/>
  <c r="D87" i="109"/>
  <c r="H87" i="109"/>
  <c r="C88" i="109"/>
  <c r="R88" i="109"/>
  <c r="N89" i="109"/>
  <c r="H90" i="109"/>
  <c r="AE20" i="108"/>
  <c r="AJ17" i="108"/>
  <c r="AH20" i="108"/>
  <c r="AH15" i="108" a="1"/>
  <c r="AH15" i="108" s="1"/>
  <c r="Y24" i="108"/>
  <c r="U25" i="108"/>
  <c r="Y26" i="108"/>
  <c r="G38" i="108"/>
  <c r="N39" i="108"/>
  <c r="AI90" i="108" a="1"/>
  <c r="AI90" i="108" s="1"/>
  <c r="AF90" i="108" a="1"/>
  <c r="AF90" i="108" s="1"/>
  <c r="Z90" i="108" a="1"/>
  <c r="Z90" i="108" s="1"/>
  <c r="AJ89" i="108" a="1"/>
  <c r="AJ89" i="108" s="1"/>
  <c r="AD89" i="108" a="1"/>
  <c r="AD89" i="108" s="1"/>
  <c r="AH88" i="108" a="1"/>
  <c r="AH88" i="108" s="1"/>
  <c r="AB88" i="108" a="1"/>
  <c r="AB88" i="108" s="1"/>
  <c r="X88" i="108" a="1"/>
  <c r="X88" i="108" s="1"/>
  <c r="AH87" i="108" a="1"/>
  <c r="AH87" i="108" s="1"/>
  <c r="AB87" i="108" a="1"/>
  <c r="AB87" i="108" s="1"/>
  <c r="V87" i="108" a="1"/>
  <c r="V87" i="108" s="1"/>
  <c r="AH90" i="108" a="1"/>
  <c r="AH90" i="108" s="1"/>
  <c r="AB90" i="108" a="1"/>
  <c r="AB90" i="108" s="1"/>
  <c r="AH89" i="108" a="1"/>
  <c r="AH89" i="108" s="1"/>
  <c r="AJ88" i="108" a="1"/>
  <c r="AJ88" i="108" s="1"/>
  <c r="Z89" i="108" a="1"/>
  <c r="Z89" i="108" s="1"/>
  <c r="Z88" i="108" a="1"/>
  <c r="Z88" i="108" s="1"/>
  <c r="AJ87" i="108" a="1"/>
  <c r="AJ87" i="108" s="1"/>
  <c r="AH85" i="108" a="1"/>
  <c r="AH85" i="108" s="1"/>
  <c r="AF87" i="108" a="1"/>
  <c r="AF87" i="108" s="1"/>
  <c r="AF88" i="108" a="1"/>
  <c r="AF88" i="108" s="1"/>
  <c r="AF89" i="108" a="1"/>
  <c r="AF89" i="108" s="1"/>
  <c r="AD90" i="108" a="1"/>
  <c r="AD90" i="108" s="1"/>
  <c r="K60" i="81"/>
  <c r="AH52" i="107"/>
  <c r="AJ53" i="107"/>
  <c r="AB66" i="107"/>
  <c r="U67" i="107"/>
  <c r="AC67" i="107"/>
  <c r="X68" i="107"/>
  <c r="AG68" i="107"/>
  <c r="AH94" i="107"/>
  <c r="I31" i="109"/>
  <c r="G32" i="109"/>
  <c r="E33" i="109"/>
  <c r="AE27" i="108"/>
  <c r="AI26" i="108"/>
  <c r="AB25" i="108"/>
  <c r="AI24" i="108"/>
  <c r="AJ27" i="108"/>
  <c r="AG26" i="108"/>
  <c r="AJ25" i="108"/>
  <c r="AA24" i="108"/>
  <c r="W25" i="108"/>
  <c r="AB26" i="108"/>
  <c r="I41" i="108"/>
  <c r="I40" i="108"/>
  <c r="J39" i="108"/>
  <c r="N38" i="108"/>
  <c r="E41" i="108"/>
  <c r="R39" i="108"/>
  <c r="O38" i="108"/>
  <c r="I38" i="108"/>
  <c r="E40" i="108"/>
  <c r="K48" i="108"/>
  <c r="P45" i="108"/>
  <c r="H46" i="108"/>
  <c r="E45" i="108"/>
  <c r="H48" i="108"/>
  <c r="X34" i="110"/>
  <c r="Y32" i="110"/>
  <c r="X31" i="110"/>
  <c r="Z31" i="110"/>
  <c r="U32" i="110"/>
  <c r="M83" i="108" a="1"/>
  <c r="M83" i="108" s="1"/>
  <c r="R81" i="108" a="1"/>
  <c r="R81" i="108" s="1"/>
  <c r="R80" i="108" a="1"/>
  <c r="R80" i="108" s="1"/>
  <c r="P80" i="108" a="1"/>
  <c r="P80" i="108" s="1"/>
  <c r="Y80" i="108" a="1"/>
  <c r="Y80" i="108" s="1"/>
  <c r="AE80" i="108" a="1"/>
  <c r="AE80" i="108" s="1"/>
  <c r="G81" i="108" a="1"/>
  <c r="G81" i="108" s="1"/>
  <c r="Y81" i="108" a="1"/>
  <c r="Y81" i="108" s="1"/>
  <c r="AE81" i="108" a="1"/>
  <c r="AE81" i="108" s="1"/>
  <c r="AB82" i="108" a="1"/>
  <c r="AB82" i="108" s="1"/>
  <c r="AF82" i="108" a="1"/>
  <c r="AF82" i="108" s="1"/>
  <c r="U83" i="108" a="1"/>
  <c r="U83" i="108" s="1"/>
  <c r="M97" i="108" a="1"/>
  <c r="M97" i="108" s="1"/>
  <c r="E97" i="108" a="1"/>
  <c r="O96" i="108" a="1"/>
  <c r="F96" i="108" a="1"/>
  <c r="F96" i="108" s="1"/>
  <c r="Q95" i="108" a="1"/>
  <c r="Q95" i="108" s="1"/>
  <c r="I95" i="108" a="1"/>
  <c r="Q94" i="108" a="1"/>
  <c r="D94" i="108" a="1"/>
  <c r="D94" i="108" s="1"/>
  <c r="I94" i="108" a="1"/>
  <c r="I94" i="108" s="1"/>
  <c r="R94" i="108" a="1"/>
  <c r="R94" i="108" s="1"/>
  <c r="E95" i="108" a="1"/>
  <c r="O95" i="108" a="1"/>
  <c r="I96" i="108" a="1"/>
  <c r="R96" i="108" a="1"/>
  <c r="R96" i="108" s="1"/>
  <c r="L97" i="108" a="1"/>
  <c r="L97" i="108" s="1"/>
  <c r="I13" i="110"/>
  <c r="P10" i="110"/>
  <c r="L10" i="110"/>
  <c r="I11" i="110"/>
  <c r="I12" i="110"/>
  <c r="D24" i="110"/>
  <c r="R24" i="110"/>
  <c r="M25" i="110"/>
  <c r="H26" i="110"/>
  <c r="E27" i="110"/>
  <c r="C31" i="110"/>
  <c r="N31" i="110"/>
  <c r="C32" i="110"/>
  <c r="K32" i="110"/>
  <c r="C33" i="110"/>
  <c r="P33" i="110"/>
  <c r="AI83" i="108" a="1"/>
  <c r="AI83" i="108" s="1"/>
  <c r="AF83" i="108" a="1"/>
  <c r="AF83" i="108" s="1"/>
  <c r="AB83" i="108" a="1"/>
  <c r="AB83" i="108" s="1"/>
  <c r="W83" i="108" a="1"/>
  <c r="W83" i="108" s="1"/>
  <c r="AH82" i="108" a="1"/>
  <c r="AH82" i="108" s="1"/>
  <c r="Z82" i="108" a="1"/>
  <c r="Z82" i="108" s="1"/>
  <c r="U82" i="108" a="1"/>
  <c r="U82" i="108" s="1"/>
  <c r="AG81" i="108" a="1"/>
  <c r="AG81" i="108" s="1"/>
  <c r="X81" i="108" a="1"/>
  <c r="X81" i="108" s="1"/>
  <c r="AG80" i="108" a="1"/>
  <c r="AG80" i="108" s="1"/>
  <c r="X80" i="108" a="1"/>
  <c r="X80" i="108" s="1"/>
  <c r="AH78" i="108" a="1"/>
  <c r="AH78" i="108" s="1"/>
  <c r="Z80" i="108" a="1"/>
  <c r="Z80" i="108" s="1"/>
  <c r="AF80" i="108" a="1"/>
  <c r="AF80" i="108" s="1"/>
  <c r="Z81" i="108" a="1"/>
  <c r="Z81" i="108" s="1"/>
  <c r="AF81" i="108" a="1"/>
  <c r="AF81" i="108" s="1"/>
  <c r="W82" i="108" a="1"/>
  <c r="W82" i="108" s="1"/>
  <c r="AG82" i="108" a="1"/>
  <c r="AG82" i="108" s="1"/>
  <c r="X83" i="108" a="1"/>
  <c r="X83" i="108" s="1"/>
  <c r="AC83" i="108" a="1"/>
  <c r="AC83" i="108" s="1"/>
  <c r="AJ83" i="108" a="1"/>
  <c r="AJ83" i="108" s="1"/>
  <c r="AC97" i="108" a="1"/>
  <c r="AC97" i="108" s="1"/>
  <c r="AJ94" i="108" a="1"/>
  <c r="AJ94" i="108" s="1"/>
  <c r="V94" i="108" a="1"/>
  <c r="V94" i="108" s="1"/>
  <c r="AG20" i="110"/>
  <c r="Y19" i="110"/>
  <c r="AJ17" i="110"/>
  <c r="Y18" i="110"/>
  <c r="P27" i="110"/>
  <c r="M27" i="110"/>
  <c r="D27" i="110"/>
  <c r="J26" i="110"/>
  <c r="R25" i="110"/>
  <c r="H25" i="110"/>
  <c r="N24" i="110"/>
  <c r="E24" i="110"/>
  <c r="H24" i="110"/>
  <c r="D25" i="110"/>
  <c r="N25" i="110"/>
  <c r="M26" i="110"/>
  <c r="H27" i="110"/>
  <c r="L34" i="110"/>
  <c r="C34" i="110"/>
  <c r="K33" i="110"/>
  <c r="R34" i="110"/>
  <c r="F34" i="110"/>
  <c r="J33" i="110"/>
  <c r="N32" i="110"/>
  <c r="F32" i="110"/>
  <c r="K31" i="110"/>
  <c r="D31" i="110"/>
  <c r="F31" i="110"/>
  <c r="O31" i="110"/>
  <c r="D32" i="110"/>
  <c r="O32" i="110"/>
  <c r="D33" i="110"/>
  <c r="R33" i="110"/>
  <c r="R76" i="110"/>
  <c r="F76" i="110"/>
  <c r="P75" i="110"/>
  <c r="H74" i="110"/>
  <c r="N73" i="110"/>
  <c r="F73" i="110"/>
  <c r="P76" i="110"/>
  <c r="C76" i="110"/>
  <c r="K75" i="110"/>
  <c r="R74" i="110"/>
  <c r="C74" i="110"/>
  <c r="L73" i="110"/>
  <c r="P73" i="110"/>
  <c r="F75" i="110"/>
  <c r="H76" i="110"/>
  <c r="L101" i="109"/>
  <c r="M102" i="109"/>
  <c r="N103" i="109"/>
  <c r="R24" i="108"/>
  <c r="Q26" i="108"/>
  <c r="AE45" i="108"/>
  <c r="U46" i="108"/>
  <c r="AH46" i="108"/>
  <c r="W47" i="108"/>
  <c r="AI47" i="108"/>
  <c r="Z52" i="108"/>
  <c r="AI52" i="108"/>
  <c r="AC53" i="108"/>
  <c r="U54" i="108"/>
  <c r="AD54" i="108"/>
  <c r="W55" i="108"/>
  <c r="AH55" i="108"/>
  <c r="R74" i="108"/>
  <c r="M75" i="108"/>
  <c r="Q101" i="108" a="1"/>
  <c r="C103" i="108" a="1"/>
  <c r="AH10" i="110"/>
  <c r="AD11" i="110"/>
  <c r="V48" i="110"/>
  <c r="AF46" i="110"/>
  <c r="Y45" i="110"/>
  <c r="AG47" i="110"/>
  <c r="H54" i="110"/>
  <c r="J53" i="110"/>
  <c r="P52" i="110"/>
  <c r="E55" i="110"/>
  <c r="H62" i="110"/>
  <c r="L61" i="110"/>
  <c r="G60" i="110"/>
  <c r="K59" i="110"/>
  <c r="D62" i="110"/>
  <c r="K61" i="110"/>
  <c r="O60" i="110"/>
  <c r="F59" i="110"/>
  <c r="H61" i="110"/>
  <c r="N62" i="110"/>
  <c r="H75" i="110"/>
  <c r="L76" i="110"/>
  <c r="C80" i="110" a="1"/>
  <c r="P82" i="110" a="1"/>
  <c r="E87" i="110" a="1"/>
  <c r="E87" i="110" s="1"/>
  <c r="Q89" i="110" a="1"/>
  <c r="Q89" i="110" s="1"/>
  <c r="G73" i="110"/>
  <c r="K74" i="110"/>
  <c r="R75" i="110"/>
  <c r="K83" i="110" a="1"/>
  <c r="F82" i="110" a="1"/>
  <c r="F82" i="110" s="1"/>
  <c r="Q81" i="110" a="1"/>
  <c r="Q80" i="110" a="1"/>
  <c r="Q80" i="110" s="1"/>
  <c r="F83" i="110" a="1"/>
  <c r="F83" i="110" s="1"/>
  <c r="G81" i="110" a="1"/>
  <c r="L80" i="110" a="1"/>
  <c r="L80" i="110" s="1"/>
  <c r="H80" i="110" a="1"/>
  <c r="H80" i="110" s="1"/>
  <c r="C81" i="110" a="1"/>
  <c r="L87" i="110" a="1"/>
  <c r="H73" i="110"/>
  <c r="L74" i="110"/>
  <c r="R90" i="110" a="1"/>
  <c r="F90" i="110" a="1"/>
  <c r="R89" i="110" a="1"/>
  <c r="O88" i="110" a="1"/>
  <c r="O88" i="110" s="1"/>
  <c r="J88" i="110" a="1"/>
  <c r="G87" i="110" a="1"/>
  <c r="G87" i="110" s="1"/>
  <c r="K90" i="110" a="1"/>
  <c r="K90" i="110" s="1"/>
  <c r="P89" i="110" a="1"/>
  <c r="P89" i="110" s="1"/>
  <c r="I89" i="110" a="1"/>
  <c r="I89" i="110" s="1"/>
  <c r="D89" i="110" a="1"/>
  <c r="R88" i="110" a="1"/>
  <c r="M88" i="110" a="1"/>
  <c r="M88" i="110" s="1"/>
  <c r="G88" i="110" a="1"/>
  <c r="G88" i="110" s="1"/>
  <c r="P87" i="110" a="1"/>
  <c r="I87" i="110" a="1"/>
  <c r="I87" i="110" s="1"/>
  <c r="I90" i="110" a="1"/>
  <c r="I90" i="110" s="1"/>
  <c r="M89" i="110" a="1"/>
  <c r="M89" i="110" s="1"/>
  <c r="G89" i="110" a="1"/>
  <c r="G89" i="110" s="1"/>
  <c r="Q88" i="110" a="1"/>
  <c r="Q88" i="110" s="1"/>
  <c r="L88" i="110" a="1"/>
  <c r="L88" i="110" s="1"/>
  <c r="D88" i="110" a="1"/>
  <c r="O87" i="110" a="1"/>
  <c r="O87" i="110" s="1"/>
  <c r="H87" i="110" a="1"/>
  <c r="D87" i="110" a="1"/>
  <c r="D87" i="110" s="1"/>
  <c r="R87" i="110" a="1"/>
  <c r="E89" i="110" a="1"/>
  <c r="E89" i="110" s="1"/>
  <c r="O90" i="110" a="1"/>
  <c r="O90" i="110" s="1"/>
  <c r="AB80" i="110" a="1"/>
  <c r="AB80" i="110" s="1"/>
  <c r="AF80" i="110" a="1"/>
  <c r="Y81" i="110" a="1"/>
  <c r="AD81" i="110" a="1"/>
  <c r="AD81" i="110" s="1"/>
  <c r="AJ81" i="110" a="1"/>
  <c r="AJ81" i="110" s="1"/>
  <c r="V82" i="110" a="1"/>
  <c r="AA82" i="110" a="1"/>
  <c r="AE82" i="110" a="1"/>
  <c r="W83" i="110" a="1"/>
  <c r="W83" i="110" s="1"/>
  <c r="AI83" i="110" a="1"/>
  <c r="AJ88" i="110" a="1"/>
  <c r="W89" i="110" a="1"/>
  <c r="W89" i="110" s="1"/>
  <c r="C94" i="110" a="1"/>
  <c r="C94" i="110" s="1"/>
  <c r="H94" i="110" a="1"/>
  <c r="L94" i="110" a="1"/>
  <c r="Q94" i="110" a="1"/>
  <c r="Q94" i="110" s="1"/>
  <c r="AD94" i="110" a="1"/>
  <c r="AD94" i="110" s="1"/>
  <c r="H95" i="110" a="1"/>
  <c r="M95" i="110" a="1"/>
  <c r="M95" i="110" s="1"/>
  <c r="R95" i="110" a="1"/>
  <c r="AB95" i="110" a="1"/>
  <c r="AB95" i="110" s="1"/>
  <c r="D96" i="110" a="1"/>
  <c r="J96" i="110" a="1"/>
  <c r="O96" i="110" a="1"/>
  <c r="V96" i="110" a="1"/>
  <c r="V96" i="110" s="1"/>
  <c r="AG96" i="110" a="1"/>
  <c r="G97" i="110" a="1"/>
  <c r="L97" i="110" a="1"/>
  <c r="R97" i="110" a="1"/>
  <c r="R97" i="110" s="1"/>
  <c r="O101" i="110" a="1"/>
  <c r="AB101" i="110" a="1"/>
  <c r="J102" i="110" a="1"/>
  <c r="AA102" i="110" a="1"/>
  <c r="AA102" i="110" s="1"/>
  <c r="U103" i="110" a="1"/>
  <c r="AF103" i="110" a="1"/>
  <c r="AA104" i="110" a="1"/>
  <c r="AD38" i="110"/>
  <c r="AA39" i="110"/>
  <c r="AA40" i="110"/>
  <c r="X41" i="110"/>
  <c r="G45" i="110"/>
  <c r="K46" i="110"/>
  <c r="N47" i="110"/>
  <c r="AJ54" i="110"/>
  <c r="AE55" i="110"/>
  <c r="AE68" i="110"/>
  <c r="AE74" i="110" a="1"/>
  <c r="AH78" i="110" a="1"/>
  <c r="AH78" i="110" s="1"/>
  <c r="X80" i="110" a="1"/>
  <c r="X80" i="110" s="1"/>
  <c r="AC80" i="110" a="1"/>
  <c r="AH80" i="110" a="1"/>
  <c r="Z81" i="110" a="1"/>
  <c r="AF81" i="110" a="1"/>
  <c r="AF81" i="110" s="1"/>
  <c r="AB82" i="110" a="1"/>
  <c r="AF82" i="110" a="1"/>
  <c r="Y83" i="110" a="1"/>
  <c r="AD83" i="110" a="1"/>
  <c r="AD83" i="110" s="1"/>
  <c r="AD89" i="110" a="1"/>
  <c r="P92" i="110" a="1"/>
  <c r="P92" i="110" s="1"/>
  <c r="D94" i="110" a="1"/>
  <c r="I94" i="110" a="1"/>
  <c r="I94" i="110" s="1"/>
  <c r="M94" i="110" a="1"/>
  <c r="M94" i="110" s="1"/>
  <c r="X94" i="110" a="1"/>
  <c r="AH94" i="110" a="1"/>
  <c r="E95" i="110" a="1"/>
  <c r="E95" i="110" s="1"/>
  <c r="J95" i="110" a="1"/>
  <c r="N95" i="110" a="1"/>
  <c r="U95" i="110" a="1"/>
  <c r="AF95" i="110" a="1"/>
  <c r="F96" i="110" a="1"/>
  <c r="K96" i="110" a="1"/>
  <c r="P96" i="110" a="1"/>
  <c r="Z96" i="110" a="1"/>
  <c r="Z96" i="110" s="1"/>
  <c r="C97" i="110" a="1"/>
  <c r="H97" i="110" a="1"/>
  <c r="N97" i="110" a="1"/>
  <c r="V97" i="110" a="1"/>
  <c r="V97" i="110" s="1"/>
  <c r="U101" i="110" a="1"/>
  <c r="AF101" i="110" a="1"/>
  <c r="O102" i="110" a="1"/>
  <c r="AB102" i="110" a="1"/>
  <c r="AB102" i="110" s="1"/>
  <c r="W103" i="110" a="1"/>
  <c r="AG103" i="110" a="1"/>
  <c r="AB104" i="110" a="1"/>
  <c r="E94" i="110" a="1"/>
  <c r="E94" i="110" s="1"/>
  <c r="N94" i="110" a="1"/>
  <c r="Y94" i="110" a="1"/>
  <c r="AJ94" i="110" a="1"/>
  <c r="F95" i="110" a="1"/>
  <c r="F95" i="110" s="1"/>
  <c r="K95" i="110" a="1"/>
  <c r="K95" i="110" s="1"/>
  <c r="O95" i="110" a="1"/>
  <c r="O95" i="110" s="1"/>
  <c r="V95" i="110" a="1"/>
  <c r="AG95" i="110" a="1"/>
  <c r="AG95" i="110" s="1"/>
  <c r="G96" i="110" a="1"/>
  <c r="L96" i="110" a="1"/>
  <c r="R96" i="110" a="1"/>
  <c r="AB96" i="110" a="1"/>
  <c r="AB96" i="110" s="1"/>
  <c r="D97" i="110" a="1"/>
  <c r="J97" i="110" a="1"/>
  <c r="O97" i="110" a="1"/>
  <c r="AB97" i="110" a="1"/>
  <c r="AB97" i="110" s="1"/>
  <c r="E101" i="110" a="1"/>
  <c r="W101" i="110" a="1"/>
  <c r="AG101" i="110" a="1"/>
  <c r="U102" i="110" a="1"/>
  <c r="U102" i="110" s="1"/>
  <c r="AF102" i="110" a="1"/>
  <c r="AA103" i="110" a="1"/>
  <c r="U104" i="110" a="1"/>
  <c r="AF104" i="110" a="1"/>
  <c r="AF104" i="110" s="1"/>
  <c r="Z87" i="110" a="1"/>
  <c r="AD88" i="110" a="1"/>
  <c r="F94" i="110" a="1"/>
  <c r="K94" i="110" a="1"/>
  <c r="K94" i="110" s="1"/>
  <c r="P94" i="110" a="1"/>
  <c r="AC94" i="110" a="1"/>
  <c r="C95" i="110" a="1"/>
  <c r="C95" i="110" s="1"/>
  <c r="G95" i="110" a="1"/>
  <c r="G95" i="110" s="1"/>
  <c r="P95" i="110" a="1"/>
  <c r="Z95" i="110" a="1"/>
  <c r="C96" i="110" a="1"/>
  <c r="H96" i="110" a="1"/>
  <c r="H96" i="110" s="1"/>
  <c r="N96" i="110" a="1"/>
  <c r="U96" i="110" a="1"/>
  <c r="AF96" i="110" a="1"/>
  <c r="F97" i="110" a="1"/>
  <c r="F97" i="110" s="1"/>
  <c r="K97" i="110" a="1"/>
  <c r="AG97" i="110" a="1"/>
  <c r="J101" i="110" a="1"/>
  <c r="AA101" i="110" a="1"/>
  <c r="W102" i="110" a="1"/>
  <c r="AG102" i="110" a="1"/>
  <c r="AB103" i="110" a="1"/>
  <c r="W104" i="110" a="1"/>
  <c r="W104" i="110" s="1"/>
  <c r="T41" i="117"/>
  <c r="T42" i="117"/>
  <c r="T63" i="117"/>
  <c r="T66" i="117"/>
  <c r="T49" i="117"/>
  <c r="T50" i="117"/>
  <c r="T56" i="117"/>
  <c r="T57" i="117"/>
  <c r="D13" i="117"/>
  <c r="T39" i="117"/>
  <c r="T40" i="117"/>
  <c r="T64" i="117"/>
  <c r="T65" i="117"/>
  <c r="T47" i="117"/>
  <c r="T48" i="117"/>
  <c r="T55" i="117"/>
  <c r="T58" i="117"/>
  <c r="T37" i="115"/>
  <c r="T38" i="115"/>
  <c r="T62" i="115"/>
  <c r="T63" i="115"/>
  <c r="F11" i="115"/>
  <c r="T45" i="115"/>
  <c r="T46" i="115"/>
  <c r="T52" i="115"/>
  <c r="T53" i="115"/>
  <c r="T36" i="115"/>
  <c r="T39" i="115"/>
  <c r="T60" i="115"/>
  <c r="T61" i="115"/>
  <c r="T44" i="115"/>
  <c r="T47" i="115"/>
  <c r="T54" i="115"/>
  <c r="T55" i="115"/>
  <c r="H88" i="101"/>
  <c r="S89" i="101"/>
  <c r="E87" i="101"/>
  <c r="L88" i="101"/>
  <c r="F90" i="101"/>
  <c r="I87" i="101"/>
  <c r="C89" i="101"/>
  <c r="R90" i="101"/>
  <c r="M87" i="101"/>
  <c r="K89" i="101"/>
  <c r="D122" i="101"/>
  <c r="D88" i="101"/>
  <c r="G89" i="101"/>
  <c r="J90" i="101"/>
  <c r="D123" i="101"/>
  <c r="M15" i="101"/>
  <c r="D124" i="101"/>
  <c r="C28" i="101"/>
  <c r="E28" i="101" s="1"/>
  <c r="F101" i="101"/>
  <c r="K101" i="101"/>
  <c r="P101" i="101"/>
  <c r="F102" i="101"/>
  <c r="K102" i="101"/>
  <c r="P102" i="101"/>
  <c r="F103" i="101"/>
  <c r="K103" i="101"/>
  <c r="P103" i="101"/>
  <c r="F104" i="101"/>
  <c r="K104" i="101"/>
  <c r="P104" i="101"/>
  <c r="D108" i="101"/>
  <c r="I108" i="101"/>
  <c r="N108" i="101"/>
  <c r="D109" i="101"/>
  <c r="I109" i="101"/>
  <c r="N109" i="101"/>
  <c r="D110" i="101"/>
  <c r="I110" i="101"/>
  <c r="N110" i="101"/>
  <c r="D111" i="101"/>
  <c r="I111" i="101"/>
  <c r="N111" i="101"/>
  <c r="F115" i="101"/>
  <c r="K115" i="101"/>
  <c r="P115" i="101"/>
  <c r="F116" i="101"/>
  <c r="K116" i="101"/>
  <c r="P116" i="101"/>
  <c r="F117" i="101"/>
  <c r="K117" i="101"/>
  <c r="P117" i="101"/>
  <c r="F118" i="101"/>
  <c r="K118" i="101"/>
  <c r="P118" i="101"/>
  <c r="D125" i="101"/>
  <c r="I125" i="101"/>
  <c r="N125" i="101"/>
  <c r="Q87" i="101"/>
  <c r="P88" i="101"/>
  <c r="O89" i="101"/>
  <c r="N90" i="101"/>
  <c r="G101" i="101"/>
  <c r="L101" i="101"/>
  <c r="R101" i="101"/>
  <c r="G102" i="101"/>
  <c r="L102" i="101"/>
  <c r="R102" i="101"/>
  <c r="G103" i="101"/>
  <c r="L103" i="101"/>
  <c r="R103" i="101"/>
  <c r="G104" i="101"/>
  <c r="L104" i="101"/>
  <c r="R104" i="101"/>
  <c r="E108" i="101"/>
  <c r="J108" i="101"/>
  <c r="P108" i="101"/>
  <c r="E109" i="101"/>
  <c r="J109" i="101"/>
  <c r="P109" i="101"/>
  <c r="E110" i="101"/>
  <c r="J110" i="101"/>
  <c r="P110" i="101"/>
  <c r="E111" i="101"/>
  <c r="J111" i="101"/>
  <c r="P111" i="101"/>
  <c r="G115" i="101"/>
  <c r="L115" i="101"/>
  <c r="R115" i="101"/>
  <c r="G116" i="101"/>
  <c r="L116" i="101"/>
  <c r="R116" i="101"/>
  <c r="G117" i="101"/>
  <c r="L117" i="101"/>
  <c r="R117" i="101"/>
  <c r="G118" i="101"/>
  <c r="L118" i="101"/>
  <c r="R118" i="101"/>
  <c r="H122" i="101"/>
  <c r="H123" i="101"/>
  <c r="H124" i="101"/>
  <c r="E125" i="101"/>
  <c r="J125" i="101"/>
  <c r="P125" i="101"/>
  <c r="J15" i="101"/>
  <c r="J17" i="101" s="1"/>
  <c r="G28" i="101"/>
  <c r="C101" i="101"/>
  <c r="H101" i="101"/>
  <c r="N101" i="101"/>
  <c r="C102" i="101"/>
  <c r="H102" i="101"/>
  <c r="N102" i="101"/>
  <c r="C103" i="101"/>
  <c r="H103" i="101"/>
  <c r="N103" i="101"/>
  <c r="C104" i="101"/>
  <c r="H104" i="101"/>
  <c r="N104" i="101"/>
  <c r="F108" i="101"/>
  <c r="L108" i="101"/>
  <c r="Q108" i="101"/>
  <c r="F109" i="101"/>
  <c r="L109" i="101"/>
  <c r="Q109" i="101"/>
  <c r="F110" i="101"/>
  <c r="L110" i="101"/>
  <c r="Q110" i="101"/>
  <c r="F111" i="101"/>
  <c r="L111" i="101"/>
  <c r="Q111" i="101"/>
  <c r="C115" i="101"/>
  <c r="H115" i="101"/>
  <c r="N115" i="101"/>
  <c r="C116" i="101"/>
  <c r="H116" i="101"/>
  <c r="N116" i="101"/>
  <c r="C117" i="101"/>
  <c r="H117" i="101"/>
  <c r="N117" i="101"/>
  <c r="C118" i="101"/>
  <c r="H118" i="101"/>
  <c r="N118" i="101"/>
  <c r="L122" i="101"/>
  <c r="L123" i="101"/>
  <c r="L124" i="101"/>
  <c r="F125" i="101"/>
  <c r="L125" i="101"/>
  <c r="Q125" i="101"/>
  <c r="I28" i="101"/>
  <c r="K28" i="101" s="1"/>
  <c r="K30" i="101" s="1"/>
  <c r="D101" i="101"/>
  <c r="J101" i="101"/>
  <c r="O101" i="101"/>
  <c r="D102" i="101"/>
  <c r="J102" i="101"/>
  <c r="O102" i="101"/>
  <c r="D103" i="101"/>
  <c r="J103" i="101"/>
  <c r="O103" i="101"/>
  <c r="D104" i="101"/>
  <c r="J104" i="101"/>
  <c r="O104" i="101"/>
  <c r="H108" i="101"/>
  <c r="M108" i="101"/>
  <c r="R108" i="101"/>
  <c r="H109" i="101"/>
  <c r="M109" i="101"/>
  <c r="R109" i="101"/>
  <c r="H110" i="101"/>
  <c r="M110" i="101"/>
  <c r="R110" i="101"/>
  <c r="H111" i="101"/>
  <c r="M111" i="101"/>
  <c r="R111" i="101"/>
  <c r="D115" i="101"/>
  <c r="J115" i="101"/>
  <c r="O115" i="101"/>
  <c r="D116" i="101"/>
  <c r="J116" i="101"/>
  <c r="O116" i="101"/>
  <c r="D117" i="101"/>
  <c r="J117" i="101"/>
  <c r="O117" i="101"/>
  <c r="D118" i="101"/>
  <c r="J118" i="101"/>
  <c r="O118" i="101"/>
  <c r="P122" i="101"/>
  <c r="P123" i="101"/>
  <c r="P124" i="101"/>
  <c r="H125" i="101"/>
  <c r="M125" i="101"/>
  <c r="R125" i="101"/>
  <c r="Z53" i="102"/>
  <c r="AJ53" i="102"/>
  <c r="D61" i="102"/>
  <c r="R61" i="102"/>
  <c r="U10" i="105"/>
  <c r="AC10" i="105"/>
  <c r="Z11" i="105"/>
  <c r="AJ11" i="105"/>
  <c r="U101" i="105"/>
  <c r="AH101" i="105"/>
  <c r="P20" i="102"/>
  <c r="N20" i="102"/>
  <c r="F20" i="102"/>
  <c r="R19" i="102"/>
  <c r="J19" i="102"/>
  <c r="N18" i="102"/>
  <c r="F18" i="102"/>
  <c r="R17" i="102"/>
  <c r="J17" i="102"/>
  <c r="Q20" i="102"/>
  <c r="E20" i="102"/>
  <c r="M19" i="102"/>
  <c r="R18" i="102"/>
  <c r="I18" i="102"/>
  <c r="N17" i="102"/>
  <c r="E17" i="102"/>
  <c r="M17" i="102"/>
  <c r="M20" i="102"/>
  <c r="Z38" i="102"/>
  <c r="AJ38" i="102"/>
  <c r="AB41" i="102"/>
  <c r="R48" i="102"/>
  <c r="K48" i="102"/>
  <c r="D48" i="102"/>
  <c r="L47" i="102"/>
  <c r="F47" i="102"/>
  <c r="O46" i="102"/>
  <c r="G46" i="102"/>
  <c r="P45" i="102"/>
  <c r="J45" i="102"/>
  <c r="J48" i="102"/>
  <c r="R47" i="102"/>
  <c r="J47" i="102"/>
  <c r="R46" i="102"/>
  <c r="J46" i="102"/>
  <c r="R45" i="102"/>
  <c r="G45" i="102"/>
  <c r="P43" i="102"/>
  <c r="K45" i="102"/>
  <c r="AC53" i="102"/>
  <c r="U55" i="102"/>
  <c r="AC55" i="102"/>
  <c r="AD62" i="102"/>
  <c r="X62" i="102"/>
  <c r="AJ61" i="102"/>
  <c r="AC61" i="102"/>
  <c r="V61" i="102"/>
  <c r="AJ60" i="102"/>
  <c r="AC60" i="102"/>
  <c r="V60" i="102"/>
  <c r="AH59" i="102"/>
  <c r="AB59" i="102"/>
  <c r="AH57" i="102"/>
  <c r="AH62" i="102"/>
  <c r="Y62" i="102"/>
  <c r="AG61" i="102"/>
  <c r="X61" i="102"/>
  <c r="AG60" i="102"/>
  <c r="X60" i="102"/>
  <c r="AD59" i="102"/>
  <c r="V59" i="102"/>
  <c r="L59" i="102"/>
  <c r="AC59" i="102"/>
  <c r="L60" i="102"/>
  <c r="AB60" i="102"/>
  <c r="F61" i="102"/>
  <c r="Y61" i="102"/>
  <c r="F62" i="102"/>
  <c r="V62" i="102"/>
  <c r="AJ62" i="102"/>
  <c r="X12" i="105"/>
  <c r="AH12" i="105"/>
  <c r="AH43" i="105"/>
  <c r="AB66" i="105"/>
  <c r="AB67" i="105"/>
  <c r="AC68" i="105"/>
  <c r="AC69" i="105"/>
  <c r="AH99" i="105"/>
  <c r="AB38" i="102"/>
  <c r="AC39" i="102"/>
  <c r="AC40" i="102"/>
  <c r="F17" i="102"/>
  <c r="W17" i="102"/>
  <c r="E18" i="102"/>
  <c r="W18" i="102"/>
  <c r="F19" i="102"/>
  <c r="W19" i="102"/>
  <c r="I20" i="102"/>
  <c r="R24" i="102"/>
  <c r="D26" i="102"/>
  <c r="AI34" i="102"/>
  <c r="AJ34" i="102"/>
  <c r="AD34" i="102"/>
  <c r="Y34" i="102"/>
  <c r="AF33" i="102"/>
  <c r="Z33" i="102"/>
  <c r="U33" i="102"/>
  <c r="AG32" i="102"/>
  <c r="AB32" i="102"/>
  <c r="V32" i="102"/>
  <c r="AH31" i="102"/>
  <c r="AC31" i="102"/>
  <c r="X31" i="102"/>
  <c r="AH29" i="102"/>
  <c r="AH34" i="102"/>
  <c r="AB34" i="102"/>
  <c r="U34" i="102"/>
  <c r="AH33" i="102"/>
  <c r="AB33" i="102"/>
  <c r="AH32" i="102"/>
  <c r="Z32" i="102"/>
  <c r="AG31" i="102"/>
  <c r="Z31" i="102"/>
  <c r="L31" i="102"/>
  <c r="Y31" i="102"/>
  <c r="AJ31" i="102"/>
  <c r="L32" i="102"/>
  <c r="Y32" i="102"/>
  <c r="AJ32" i="102"/>
  <c r="O33" i="102"/>
  <c r="Y33" i="102"/>
  <c r="AJ33" i="102"/>
  <c r="Z34" i="102"/>
  <c r="R41" i="102"/>
  <c r="K41" i="102"/>
  <c r="D41" i="102"/>
  <c r="L40" i="102"/>
  <c r="F40" i="102"/>
  <c r="O39" i="102"/>
  <c r="G39" i="102"/>
  <c r="P38" i="102"/>
  <c r="J38" i="102"/>
  <c r="O41" i="102"/>
  <c r="F41" i="102"/>
  <c r="O40" i="102"/>
  <c r="D40" i="102"/>
  <c r="L39" i="102"/>
  <c r="D39" i="102"/>
  <c r="L38" i="102"/>
  <c r="D38" i="102"/>
  <c r="G38" i="102"/>
  <c r="U38" i="102"/>
  <c r="AF38" i="102"/>
  <c r="J39" i="102"/>
  <c r="U39" i="102"/>
  <c r="AF39" i="102"/>
  <c r="J40" i="102"/>
  <c r="V40" i="102"/>
  <c r="AG40" i="102"/>
  <c r="J41" i="102"/>
  <c r="V41" i="102"/>
  <c r="AG41" i="102"/>
  <c r="D45" i="102"/>
  <c r="O45" i="102"/>
  <c r="AB45" i="102"/>
  <c r="D46" i="102"/>
  <c r="P46" i="102"/>
  <c r="AC46" i="102"/>
  <c r="D47" i="102"/>
  <c r="P47" i="102"/>
  <c r="AC47" i="102"/>
  <c r="F48" i="102"/>
  <c r="P48" i="102"/>
  <c r="P50" i="102"/>
  <c r="K52" i="102"/>
  <c r="Y52" i="102"/>
  <c r="AG52" i="102"/>
  <c r="K53" i="102"/>
  <c r="Y53" i="102"/>
  <c r="AH53" i="102"/>
  <c r="K54" i="102"/>
  <c r="Y54" i="102"/>
  <c r="AH54" i="102"/>
  <c r="Z55" i="102"/>
  <c r="F59" i="102"/>
  <c r="X59" i="102"/>
  <c r="AJ59" i="102"/>
  <c r="P60" i="102"/>
  <c r="AH60" i="102"/>
  <c r="P61" i="102"/>
  <c r="AD61" i="102"/>
  <c r="AC62" i="102"/>
  <c r="AI76" i="102"/>
  <c r="AF76" i="102"/>
  <c r="Z76" i="102"/>
  <c r="U76" i="102"/>
  <c r="AG75" i="102"/>
  <c r="AB75" i="102"/>
  <c r="V75" i="102"/>
  <c r="AH74" i="102"/>
  <c r="AC74" i="102"/>
  <c r="X74" i="102"/>
  <c r="AJ73" i="102"/>
  <c r="AD73" i="102"/>
  <c r="Y73" i="102"/>
  <c r="AD76" i="102"/>
  <c r="X76" i="102"/>
  <c r="AD75" i="102"/>
  <c r="X75" i="102"/>
  <c r="AD74" i="102"/>
  <c r="V74" i="102"/>
  <c r="AC73" i="102"/>
  <c r="V73" i="102"/>
  <c r="AH71" i="102"/>
  <c r="X73" i="102"/>
  <c r="AG73" i="102"/>
  <c r="AB74" i="102"/>
  <c r="Y75" i="102"/>
  <c r="AH75" i="102"/>
  <c r="AC76" i="102"/>
  <c r="Z101" i="102"/>
  <c r="AH101" i="102"/>
  <c r="U102" i="102"/>
  <c r="AF102" i="102"/>
  <c r="Z103" i="102"/>
  <c r="AJ103" i="102"/>
  <c r="V104" i="102"/>
  <c r="AB10" i="105"/>
  <c r="V11" i="105"/>
  <c r="AG11" i="105"/>
  <c r="AC12" i="105"/>
  <c r="X13" i="105"/>
  <c r="AI20" i="105"/>
  <c r="AF20" i="105"/>
  <c r="Z20" i="105"/>
  <c r="U20" i="105"/>
  <c r="AG19" i="105"/>
  <c r="AB19" i="105"/>
  <c r="V19" i="105"/>
  <c r="AH18" i="105"/>
  <c r="AC18" i="105"/>
  <c r="X18" i="105"/>
  <c r="AJ17" i="105"/>
  <c r="AD17" i="105"/>
  <c r="Y17" i="105"/>
  <c r="AH20" i="105"/>
  <c r="AB20" i="105"/>
  <c r="AH19" i="105"/>
  <c r="Z19" i="105"/>
  <c r="AG18" i="105"/>
  <c r="Z18" i="105"/>
  <c r="AG17" i="105"/>
  <c r="Z17" i="105"/>
  <c r="AG20" i="105"/>
  <c r="Y20" i="105"/>
  <c r="AF19" i="105"/>
  <c r="Y19" i="105"/>
  <c r="AF18" i="105"/>
  <c r="U17" i="105"/>
  <c r="AC17" i="105"/>
  <c r="Y18" i="105"/>
  <c r="X19" i="105"/>
  <c r="X20" i="105"/>
  <c r="AB38" i="105"/>
  <c r="AB39" i="105"/>
  <c r="AC40" i="105"/>
  <c r="AC45" i="105"/>
  <c r="AD46" i="105"/>
  <c r="AD47" i="105"/>
  <c r="U66" i="105"/>
  <c r="AH66" i="105"/>
  <c r="U67" i="105"/>
  <c r="AJ67" i="105"/>
  <c r="U68" i="105"/>
  <c r="AJ68" i="105"/>
  <c r="V69" i="105"/>
  <c r="AH71" i="105"/>
  <c r="V73" i="105"/>
  <c r="V74" i="105"/>
  <c r="X75" i="105"/>
  <c r="AB94" i="105"/>
  <c r="AB95" i="105"/>
  <c r="AC96" i="105"/>
  <c r="AC101" i="105"/>
  <c r="AD102" i="105"/>
  <c r="AD103" i="105"/>
  <c r="AD104" i="105"/>
  <c r="H29" i="81"/>
  <c r="AI55" i="102"/>
  <c r="AJ55" i="102"/>
  <c r="AD55" i="102"/>
  <c r="Y55" i="102"/>
  <c r="AF54" i="102"/>
  <c r="Z54" i="102"/>
  <c r="U54" i="102"/>
  <c r="AG53" i="102"/>
  <c r="AB53" i="102"/>
  <c r="V53" i="102"/>
  <c r="AH52" i="102"/>
  <c r="AC52" i="102"/>
  <c r="X52" i="102"/>
  <c r="AH50" i="102"/>
  <c r="AF55" i="102"/>
  <c r="X55" i="102"/>
  <c r="AD54" i="102"/>
  <c r="X54" i="102"/>
  <c r="AD53" i="102"/>
  <c r="X53" i="102"/>
  <c r="AD52" i="102"/>
  <c r="V52" i="102"/>
  <c r="AB55" i="102"/>
  <c r="L62" i="102"/>
  <c r="K61" i="102"/>
  <c r="J60" i="102"/>
  <c r="R59" i="102"/>
  <c r="J59" i="102"/>
  <c r="J62" i="102"/>
  <c r="J61" i="102"/>
  <c r="G60" i="102"/>
  <c r="G59" i="102"/>
  <c r="P57" i="102"/>
  <c r="K59" i="102"/>
  <c r="AI13" i="105"/>
  <c r="AF13" i="105"/>
  <c r="Z13" i="105"/>
  <c r="U13" i="105"/>
  <c r="AG12" i="105"/>
  <c r="AB12" i="105"/>
  <c r="V12" i="105"/>
  <c r="AH11" i="105"/>
  <c r="AC11" i="105"/>
  <c r="X11" i="105"/>
  <c r="AJ10" i="105"/>
  <c r="AD10" i="105"/>
  <c r="Y10" i="105"/>
  <c r="AG13" i="105"/>
  <c r="Y13" i="105"/>
  <c r="AF12" i="105"/>
  <c r="Y12" i="105"/>
  <c r="AF11" i="105"/>
  <c r="Y11" i="105"/>
  <c r="AF10" i="105"/>
  <c r="X10" i="105"/>
  <c r="AI48" i="105"/>
  <c r="AF48" i="105"/>
  <c r="Z48" i="105"/>
  <c r="U48" i="105"/>
  <c r="AG47" i="105"/>
  <c r="AB47" i="105"/>
  <c r="V47" i="105"/>
  <c r="AH46" i="105"/>
  <c r="AC46" i="105"/>
  <c r="X46" i="105"/>
  <c r="AJ45" i="105"/>
  <c r="AD45" i="105"/>
  <c r="Y45" i="105"/>
  <c r="AG48" i="105"/>
  <c r="Y48" i="105"/>
  <c r="AF47" i="105"/>
  <c r="Y47" i="105"/>
  <c r="AF46" i="105"/>
  <c r="Y46" i="105"/>
  <c r="AF45" i="105"/>
  <c r="X45" i="105"/>
  <c r="AH48" i="105"/>
  <c r="AB48" i="105"/>
  <c r="AH47" i="105"/>
  <c r="Z47" i="105"/>
  <c r="AG46" i="105"/>
  <c r="Z46" i="105"/>
  <c r="AG45" i="105"/>
  <c r="Z45" i="105"/>
  <c r="U47" i="105"/>
  <c r="AJ47" i="105"/>
  <c r="AI69" i="105"/>
  <c r="AF69" i="105"/>
  <c r="Z69" i="105"/>
  <c r="U69" i="105"/>
  <c r="AG68" i="105"/>
  <c r="AB68" i="105"/>
  <c r="V68" i="105"/>
  <c r="AH67" i="105"/>
  <c r="AC67" i="105"/>
  <c r="X67" i="105"/>
  <c r="AJ66" i="105"/>
  <c r="AD66" i="105"/>
  <c r="Y66" i="105"/>
  <c r="AD69" i="105"/>
  <c r="X69" i="105"/>
  <c r="AD68" i="105"/>
  <c r="X68" i="105"/>
  <c r="AD67" i="105"/>
  <c r="V67" i="105"/>
  <c r="AC66" i="105"/>
  <c r="V66" i="105"/>
  <c r="AG69" i="105"/>
  <c r="Y69" i="105"/>
  <c r="AF68" i="105"/>
  <c r="Y68" i="105"/>
  <c r="AF67" i="105"/>
  <c r="Y67" i="105"/>
  <c r="AF66" i="105"/>
  <c r="X66" i="105"/>
  <c r="AH64" i="105"/>
  <c r="Z66" i="105"/>
  <c r="Z67" i="105"/>
  <c r="Z68" i="105"/>
  <c r="AB69" i="105"/>
  <c r="V104" i="105"/>
  <c r="Z52" i="102"/>
  <c r="AJ52" i="102"/>
  <c r="F60" i="102"/>
  <c r="U45" i="105"/>
  <c r="AH45" i="105"/>
  <c r="V48" i="105"/>
  <c r="AJ48" i="105"/>
  <c r="AI104" i="105"/>
  <c r="AF104" i="105"/>
  <c r="Z104" i="105"/>
  <c r="U104" i="105"/>
  <c r="AG103" i="105"/>
  <c r="AB103" i="105"/>
  <c r="V103" i="105"/>
  <c r="AH102" i="105"/>
  <c r="AC102" i="105"/>
  <c r="X102" i="105"/>
  <c r="AJ101" i="105"/>
  <c r="AD101" i="105"/>
  <c r="Y101" i="105"/>
  <c r="AG104" i="105"/>
  <c r="Y104" i="105"/>
  <c r="AF103" i="105"/>
  <c r="Y103" i="105"/>
  <c r="AF102" i="105"/>
  <c r="Y102" i="105"/>
  <c r="AF101" i="105"/>
  <c r="X101" i="105"/>
  <c r="AH104" i="105"/>
  <c r="AB104" i="105"/>
  <c r="AH103" i="105"/>
  <c r="Z103" i="105"/>
  <c r="AG102" i="105"/>
  <c r="Z102" i="105"/>
  <c r="AG101" i="105"/>
  <c r="Z101" i="105"/>
  <c r="U102" i="105"/>
  <c r="AJ102" i="105"/>
  <c r="U103" i="105"/>
  <c r="H17" i="81"/>
  <c r="D17" i="81"/>
  <c r="M18" i="102"/>
  <c r="Z39" i="102"/>
  <c r="K47" i="102"/>
  <c r="AB52" i="102"/>
  <c r="V10" i="105"/>
  <c r="AG10" i="105"/>
  <c r="AC13" i="105"/>
  <c r="V46" i="105"/>
  <c r="X47" i="105"/>
  <c r="X103" i="105"/>
  <c r="X104" i="105"/>
  <c r="F38" i="81"/>
  <c r="L38" i="81"/>
  <c r="M38" i="81" s="1"/>
  <c r="D38" i="81"/>
  <c r="C38" i="81"/>
  <c r="G38" i="81"/>
  <c r="AB54" i="102"/>
  <c r="AJ54" i="102"/>
  <c r="P62" i="102"/>
  <c r="U12" i="105"/>
  <c r="AD12" i="105"/>
  <c r="AB13" i="105"/>
  <c r="AJ13" i="105"/>
  <c r="U46" i="105"/>
  <c r="AJ46" i="105"/>
  <c r="AJ103" i="105"/>
  <c r="N19" i="102"/>
  <c r="AI41" i="102"/>
  <c r="AJ41" i="102"/>
  <c r="AD41" i="102"/>
  <c r="Y41" i="102"/>
  <c r="AF40" i="102"/>
  <c r="Z40" i="102"/>
  <c r="U40" i="102"/>
  <c r="AG39" i="102"/>
  <c r="AB39" i="102"/>
  <c r="V39" i="102"/>
  <c r="AH38" i="102"/>
  <c r="AC38" i="102"/>
  <c r="X38" i="102"/>
  <c r="AH36" i="102"/>
  <c r="AF41" i="102"/>
  <c r="X41" i="102"/>
  <c r="AD40" i="102"/>
  <c r="X40" i="102"/>
  <c r="AD39" i="102"/>
  <c r="X39" i="102"/>
  <c r="AD38" i="102"/>
  <c r="V38" i="102"/>
  <c r="AB40" i="102"/>
  <c r="AJ40" i="102"/>
  <c r="K46" i="102"/>
  <c r="L48" i="102"/>
  <c r="AC54" i="102"/>
  <c r="AH8" i="105"/>
  <c r="AB11" i="105"/>
  <c r="V45" i="105"/>
  <c r="X48" i="105"/>
  <c r="V101" i="105"/>
  <c r="V102" i="105"/>
  <c r="AF13" i="102"/>
  <c r="W13" i="102"/>
  <c r="W11" i="102"/>
  <c r="AJ20" i="102"/>
  <c r="X20" i="102"/>
  <c r="AE19" i="102"/>
  <c r="AJ18" i="102"/>
  <c r="X18" i="102"/>
  <c r="AE17" i="102"/>
  <c r="AH15" i="102"/>
  <c r="AE20" i="102"/>
  <c r="X19" i="102"/>
  <c r="AF18" i="102"/>
  <c r="AB17" i="102"/>
  <c r="Q17" i="102"/>
  <c r="AJ17" i="102"/>
  <c r="Q18" i="102"/>
  <c r="E19" i="102"/>
  <c r="Q19" i="102"/>
  <c r="AJ19" i="102"/>
  <c r="R20" i="102"/>
  <c r="P27" i="102"/>
  <c r="F27" i="102"/>
  <c r="K26" i="102"/>
  <c r="P25" i="102"/>
  <c r="F25" i="102"/>
  <c r="N24" i="102"/>
  <c r="F24" i="102"/>
  <c r="J27" i="102"/>
  <c r="J26" i="102"/>
  <c r="K25" i="102"/>
  <c r="Q24" i="102"/>
  <c r="E24" i="102"/>
  <c r="M24" i="102"/>
  <c r="O25" i="102"/>
  <c r="P26" i="102"/>
  <c r="R34" i="102"/>
  <c r="K34" i="102"/>
  <c r="D34" i="102"/>
  <c r="L33" i="102"/>
  <c r="F33" i="102"/>
  <c r="O32" i="102"/>
  <c r="G32" i="102"/>
  <c r="P31" i="102"/>
  <c r="J31" i="102"/>
  <c r="J34" i="102"/>
  <c r="R33" i="102"/>
  <c r="J33" i="102"/>
  <c r="R32" i="102"/>
  <c r="J32" i="102"/>
  <c r="R31" i="102"/>
  <c r="G31" i="102"/>
  <c r="P29" i="102"/>
  <c r="K31" i="102"/>
  <c r="K32" i="102"/>
  <c r="K33" i="102"/>
  <c r="L34" i="102"/>
  <c r="U41" i="102"/>
  <c r="AC41" i="102"/>
  <c r="AI48" i="102"/>
  <c r="AJ48" i="102"/>
  <c r="AD48" i="102"/>
  <c r="Y48" i="102"/>
  <c r="AF47" i="102"/>
  <c r="Z47" i="102"/>
  <c r="U47" i="102"/>
  <c r="AG46" i="102"/>
  <c r="AB46" i="102"/>
  <c r="V46" i="102"/>
  <c r="AH45" i="102"/>
  <c r="AC45" i="102"/>
  <c r="X45" i="102"/>
  <c r="AH43" i="102"/>
  <c r="AH48" i="102"/>
  <c r="AB48" i="102"/>
  <c r="U48" i="102"/>
  <c r="AH47" i="102"/>
  <c r="AB47" i="102"/>
  <c r="AH46" i="102"/>
  <c r="Z46" i="102"/>
  <c r="AG45" i="102"/>
  <c r="Z45" i="102"/>
  <c r="L45" i="102"/>
  <c r="Y45" i="102"/>
  <c r="AJ45" i="102"/>
  <c r="L46" i="102"/>
  <c r="Y46" i="102"/>
  <c r="AJ46" i="102"/>
  <c r="O47" i="102"/>
  <c r="Y47" i="102"/>
  <c r="AJ47" i="102"/>
  <c r="O48" i="102"/>
  <c r="Z48" i="102"/>
  <c r="R55" i="102"/>
  <c r="K55" i="102"/>
  <c r="D55" i="102"/>
  <c r="L54" i="102"/>
  <c r="F54" i="102"/>
  <c r="O53" i="102"/>
  <c r="G53" i="102"/>
  <c r="P52" i="102"/>
  <c r="J52" i="102"/>
  <c r="O55" i="102"/>
  <c r="F55" i="102"/>
  <c r="O54" i="102"/>
  <c r="D54" i="102"/>
  <c r="L53" i="102"/>
  <c r="D53" i="102"/>
  <c r="L52" i="102"/>
  <c r="D52" i="102"/>
  <c r="G52" i="102"/>
  <c r="U52" i="102"/>
  <c r="AF52" i="102"/>
  <c r="J53" i="102"/>
  <c r="U53" i="102"/>
  <c r="AF53" i="102"/>
  <c r="J54" i="102"/>
  <c r="V54" i="102"/>
  <c r="AG54" i="102"/>
  <c r="J55" i="102"/>
  <c r="V55" i="102"/>
  <c r="AG55" i="102"/>
  <c r="D59" i="102"/>
  <c r="P59" i="102"/>
  <c r="AG59" i="102"/>
  <c r="O60" i="102"/>
  <c r="AD60" i="102"/>
  <c r="L61" i="102"/>
  <c r="AB61" i="102"/>
  <c r="G62" i="102"/>
  <c r="AB62" i="102"/>
  <c r="AI104" i="102"/>
  <c r="AF104" i="102"/>
  <c r="Z104" i="102"/>
  <c r="U104" i="102"/>
  <c r="AG103" i="102"/>
  <c r="AB103" i="102"/>
  <c r="V103" i="102"/>
  <c r="AH102" i="102"/>
  <c r="AC102" i="102"/>
  <c r="X102" i="102"/>
  <c r="AJ101" i="102"/>
  <c r="AD101" i="102"/>
  <c r="Y101" i="102"/>
  <c r="AD104" i="102"/>
  <c r="X104" i="102"/>
  <c r="AD103" i="102"/>
  <c r="X103" i="102"/>
  <c r="AD102" i="102"/>
  <c r="V102" i="102"/>
  <c r="AC101" i="102"/>
  <c r="V101" i="102"/>
  <c r="AH99" i="102"/>
  <c r="X101" i="102"/>
  <c r="AG101" i="102"/>
  <c r="AB102" i="102"/>
  <c r="Y103" i="102"/>
  <c r="AH103" i="102"/>
  <c r="AC104" i="102"/>
  <c r="Z10" i="105"/>
  <c r="AH10" i="105"/>
  <c r="U11" i="105"/>
  <c r="AD11" i="105"/>
  <c r="Z12" i="105"/>
  <c r="AJ12" i="105"/>
  <c r="V13" i="105"/>
  <c r="AD13" i="105"/>
  <c r="AI41" i="105"/>
  <c r="AF41" i="105"/>
  <c r="Z41" i="105"/>
  <c r="U41" i="105"/>
  <c r="AG40" i="105"/>
  <c r="AB40" i="105"/>
  <c r="V40" i="105"/>
  <c r="AH39" i="105"/>
  <c r="AC39" i="105"/>
  <c r="X39" i="105"/>
  <c r="AJ38" i="105"/>
  <c r="AD38" i="105"/>
  <c r="Y38" i="105"/>
  <c r="AH36" i="105"/>
  <c r="AG41" i="105"/>
  <c r="Y41" i="105"/>
  <c r="AF40" i="105"/>
  <c r="Y40" i="105"/>
  <c r="AF39" i="105"/>
  <c r="Y39" i="105"/>
  <c r="AF38" i="105"/>
  <c r="X38" i="105"/>
  <c r="AD41" i="105"/>
  <c r="X41" i="105"/>
  <c r="AD40" i="105"/>
  <c r="X40" i="105"/>
  <c r="AD39" i="105"/>
  <c r="V39" i="105"/>
  <c r="AC38" i="105"/>
  <c r="V38" i="105"/>
  <c r="Z38" i="105"/>
  <c r="Z39" i="105"/>
  <c r="Z40" i="105"/>
  <c r="AB41" i="105"/>
  <c r="AB45" i="105"/>
  <c r="AB46" i="105"/>
  <c r="AC47" i="105"/>
  <c r="AC48" i="105"/>
  <c r="AG66" i="105"/>
  <c r="AG67" i="105"/>
  <c r="AH68" i="105"/>
  <c r="AH69" i="105"/>
  <c r="AI76" i="105"/>
  <c r="AF76" i="105"/>
  <c r="Z76" i="105"/>
  <c r="U76" i="105"/>
  <c r="AG75" i="105"/>
  <c r="AB75" i="105"/>
  <c r="V75" i="105"/>
  <c r="AH74" i="105"/>
  <c r="AC74" i="105"/>
  <c r="X74" i="105"/>
  <c r="AJ73" i="105"/>
  <c r="AD73" i="105"/>
  <c r="Y73" i="105"/>
  <c r="AH76" i="105"/>
  <c r="AB76" i="105"/>
  <c r="AH75" i="105"/>
  <c r="Z75" i="105"/>
  <c r="AG74" i="105"/>
  <c r="Z74" i="105"/>
  <c r="AG73" i="105"/>
  <c r="Z73" i="105"/>
  <c r="AG76" i="105"/>
  <c r="Y76" i="105"/>
  <c r="AF75" i="105"/>
  <c r="Y75" i="105"/>
  <c r="AF74" i="105"/>
  <c r="Y74" i="105"/>
  <c r="AF73" i="105"/>
  <c r="X73" i="105"/>
  <c r="U73" i="105"/>
  <c r="AH73" i="105"/>
  <c r="U74" i="105"/>
  <c r="AJ74" i="105"/>
  <c r="U75" i="105"/>
  <c r="AJ75" i="105"/>
  <c r="V76" i="105"/>
  <c r="AJ76" i="105"/>
  <c r="AI97" i="105"/>
  <c r="AF97" i="105"/>
  <c r="Z97" i="105"/>
  <c r="U97" i="105"/>
  <c r="AG96" i="105"/>
  <c r="AB96" i="105"/>
  <c r="V96" i="105"/>
  <c r="AH95" i="105"/>
  <c r="AC95" i="105"/>
  <c r="X95" i="105"/>
  <c r="AJ94" i="105"/>
  <c r="AD94" i="105"/>
  <c r="Y94" i="105"/>
  <c r="AD97" i="105"/>
  <c r="X97" i="105"/>
  <c r="AD96" i="105"/>
  <c r="X96" i="105"/>
  <c r="AD95" i="105"/>
  <c r="V95" i="105"/>
  <c r="AC94" i="105"/>
  <c r="V94" i="105"/>
  <c r="AG97" i="105"/>
  <c r="Y97" i="105"/>
  <c r="AF96" i="105"/>
  <c r="Y96" i="105"/>
  <c r="AF95" i="105"/>
  <c r="Y95" i="105"/>
  <c r="AF94" i="105"/>
  <c r="X94" i="105"/>
  <c r="AH92" i="105"/>
  <c r="Z94" i="105"/>
  <c r="Z95" i="105"/>
  <c r="Z96" i="105"/>
  <c r="AB97" i="105"/>
  <c r="AB101" i="105"/>
  <c r="AB102" i="105"/>
  <c r="AC103" i="105"/>
  <c r="AC104" i="105"/>
  <c r="I38" i="81"/>
  <c r="U31" i="105"/>
  <c r="AB31" i="105"/>
  <c r="AH31" i="105"/>
  <c r="U33" i="105"/>
  <c r="AC33" i="105"/>
  <c r="AJ33" i="105"/>
  <c r="AI62" i="105"/>
  <c r="AF62" i="105"/>
  <c r="Z62" i="105"/>
  <c r="U62" i="105"/>
  <c r="AG61" i="105"/>
  <c r="AB61" i="105"/>
  <c r="V61" i="105"/>
  <c r="AH60" i="105"/>
  <c r="AC60" i="105"/>
  <c r="X60" i="105"/>
  <c r="AJ59" i="105"/>
  <c r="AD59" i="105"/>
  <c r="Y59" i="105"/>
  <c r="U60" i="105"/>
  <c r="AB60" i="105"/>
  <c r="AJ60" i="105"/>
  <c r="V62" i="105"/>
  <c r="AC62" i="105"/>
  <c r="AJ62" i="105"/>
  <c r="AI90" i="105"/>
  <c r="AF90" i="105"/>
  <c r="Z90" i="105"/>
  <c r="U90" i="105"/>
  <c r="AG89" i="105"/>
  <c r="AB89" i="105"/>
  <c r="V89" i="105"/>
  <c r="AH88" i="105"/>
  <c r="AC88" i="105"/>
  <c r="X88" i="105"/>
  <c r="AJ87" i="105"/>
  <c r="AD87" i="105"/>
  <c r="Y87" i="105"/>
  <c r="U87" i="105"/>
  <c r="AB87" i="105"/>
  <c r="AH87" i="105"/>
  <c r="U88" i="105"/>
  <c r="AB88" i="105"/>
  <c r="AJ88" i="105"/>
  <c r="U89" i="105"/>
  <c r="AC89" i="105"/>
  <c r="AJ89" i="105"/>
  <c r="V90" i="105"/>
  <c r="AC90" i="105"/>
  <c r="AJ90" i="105"/>
  <c r="AI97" i="102"/>
  <c r="AF97" i="102"/>
  <c r="Z97" i="102"/>
  <c r="U97" i="102"/>
  <c r="AG96" i="102"/>
  <c r="AB96" i="102"/>
  <c r="V96" i="102"/>
  <c r="AH95" i="102"/>
  <c r="AC95" i="102"/>
  <c r="X95" i="102"/>
  <c r="AJ94" i="102"/>
  <c r="AD94" i="102"/>
  <c r="Y94" i="102"/>
  <c r="AF90" i="102"/>
  <c r="Z90" i="102"/>
  <c r="U90" i="102"/>
  <c r="AG89" i="102"/>
  <c r="AB89" i="102"/>
  <c r="V89" i="102"/>
  <c r="AH88" i="102"/>
  <c r="AC88" i="102"/>
  <c r="X88" i="102"/>
  <c r="AJ87" i="102"/>
  <c r="AD87" i="102"/>
  <c r="Y87" i="102"/>
  <c r="AF83" i="102"/>
  <c r="Z83" i="102"/>
  <c r="U83" i="102"/>
  <c r="AG82" i="102"/>
  <c r="AB82" i="102"/>
  <c r="V82" i="102"/>
  <c r="AH81" i="102"/>
  <c r="AC81" i="102"/>
  <c r="X81" i="102"/>
  <c r="AJ80" i="102"/>
  <c r="AD80" i="102"/>
  <c r="Y80" i="102"/>
  <c r="AF69" i="102"/>
  <c r="Z69" i="102"/>
  <c r="U69" i="102"/>
  <c r="AG68" i="102"/>
  <c r="AB68" i="102"/>
  <c r="V68" i="102"/>
  <c r="AH67" i="102"/>
  <c r="AC67" i="102"/>
  <c r="X67" i="102"/>
  <c r="AJ66" i="102"/>
  <c r="AD66" i="102"/>
  <c r="Y66" i="102"/>
  <c r="U66" i="102"/>
  <c r="AB66" i="102"/>
  <c r="AH66" i="102"/>
  <c r="U67" i="102"/>
  <c r="AB67" i="102"/>
  <c r="AJ67" i="102"/>
  <c r="U68" i="102"/>
  <c r="AC68" i="102"/>
  <c r="AJ68" i="102"/>
  <c r="V69" i="102"/>
  <c r="AC69" i="102"/>
  <c r="AJ69" i="102"/>
  <c r="X80" i="102"/>
  <c r="AF80" i="102"/>
  <c r="Y81" i="102"/>
  <c r="AF81" i="102"/>
  <c r="Y82" i="102"/>
  <c r="AF82" i="102"/>
  <c r="Y83" i="102"/>
  <c r="AG83" i="102"/>
  <c r="Z87" i="102"/>
  <c r="AG87" i="102"/>
  <c r="Z88" i="102"/>
  <c r="AG88" i="102"/>
  <c r="Z89" i="102"/>
  <c r="AH89" i="102"/>
  <c r="AB90" i="102"/>
  <c r="AH90" i="102"/>
  <c r="U94" i="102"/>
  <c r="AB94" i="102"/>
  <c r="AH94" i="102"/>
  <c r="U95" i="102"/>
  <c r="AB95" i="102"/>
  <c r="AJ95" i="102"/>
  <c r="U96" i="102"/>
  <c r="AC96" i="102"/>
  <c r="AJ96" i="102"/>
  <c r="V97" i="102"/>
  <c r="AC97" i="102"/>
  <c r="AJ97" i="102"/>
  <c r="AI27" i="105"/>
  <c r="AF27" i="105"/>
  <c r="Z27" i="105"/>
  <c r="U27" i="105"/>
  <c r="AG26" i="105"/>
  <c r="AB26" i="105"/>
  <c r="V26" i="105"/>
  <c r="AH25" i="105"/>
  <c r="AC25" i="105"/>
  <c r="X25" i="105"/>
  <c r="AJ24" i="105"/>
  <c r="AD24" i="105"/>
  <c r="Y24" i="105"/>
  <c r="U24" i="105"/>
  <c r="AB24" i="105"/>
  <c r="AH24" i="105"/>
  <c r="U25" i="105"/>
  <c r="AB25" i="105"/>
  <c r="AJ25" i="105"/>
  <c r="U26" i="105"/>
  <c r="AC26" i="105"/>
  <c r="AJ26" i="105"/>
  <c r="V27" i="105"/>
  <c r="AC27" i="105"/>
  <c r="AJ27" i="105"/>
  <c r="AH29" i="105"/>
  <c r="V31" i="105"/>
  <c r="AC31" i="105"/>
  <c r="V32" i="105"/>
  <c r="AD32" i="105"/>
  <c r="X33" i="105"/>
  <c r="AD33" i="105"/>
  <c r="X34" i="105"/>
  <c r="AI55" i="105"/>
  <c r="AF55" i="105"/>
  <c r="Z55" i="105"/>
  <c r="U55" i="105"/>
  <c r="AG54" i="105"/>
  <c r="AB54" i="105"/>
  <c r="V54" i="105"/>
  <c r="AH53" i="105"/>
  <c r="AC53" i="105"/>
  <c r="X53" i="105"/>
  <c r="AJ52" i="105"/>
  <c r="AD52" i="105"/>
  <c r="Y52" i="105"/>
  <c r="U52" i="105"/>
  <c r="AB52" i="105"/>
  <c r="AH52" i="105"/>
  <c r="U53" i="105"/>
  <c r="AB53" i="105"/>
  <c r="AJ53" i="105"/>
  <c r="U54" i="105"/>
  <c r="AC54" i="105"/>
  <c r="AJ54" i="105"/>
  <c r="V55" i="105"/>
  <c r="AC55" i="105"/>
  <c r="AJ55" i="105"/>
  <c r="AH57" i="105"/>
  <c r="V59" i="105"/>
  <c r="AC59" i="105"/>
  <c r="V60" i="105"/>
  <c r="AD60" i="105"/>
  <c r="X61" i="105"/>
  <c r="AD61" i="105"/>
  <c r="X62" i="105"/>
  <c r="AD62" i="105"/>
  <c r="AI83" i="105"/>
  <c r="AF83" i="105"/>
  <c r="Z83" i="105"/>
  <c r="U83" i="105"/>
  <c r="AG82" i="105"/>
  <c r="AB82" i="105"/>
  <c r="V82" i="105"/>
  <c r="AH81" i="105"/>
  <c r="AC81" i="105"/>
  <c r="X81" i="105"/>
  <c r="AJ80" i="105"/>
  <c r="AD80" i="105"/>
  <c r="Y80" i="105"/>
  <c r="U80" i="105"/>
  <c r="AB80" i="105"/>
  <c r="AH80" i="105"/>
  <c r="U81" i="105"/>
  <c r="AB81" i="105"/>
  <c r="AJ81" i="105"/>
  <c r="U82" i="105"/>
  <c r="AC82" i="105"/>
  <c r="AJ82" i="105"/>
  <c r="V83" i="105"/>
  <c r="AC83" i="105"/>
  <c r="AJ83" i="105"/>
  <c r="AH85" i="105"/>
  <c r="V87" i="105"/>
  <c r="AC87" i="105"/>
  <c r="V88" i="105"/>
  <c r="AD88" i="105"/>
  <c r="X89" i="105"/>
  <c r="AD89" i="105"/>
  <c r="X90" i="105"/>
  <c r="AD90" i="105"/>
  <c r="D33" i="81"/>
  <c r="C39" i="81"/>
  <c r="E39" i="81" s="1"/>
  <c r="F42" i="81"/>
  <c r="J42" i="81" s="1"/>
  <c r="L42" i="81"/>
  <c r="D42" i="81"/>
  <c r="E42" i="81" s="1"/>
  <c r="K42" i="81"/>
  <c r="F46" i="81"/>
  <c r="G46" i="81"/>
  <c r="L46" i="81"/>
  <c r="M46" i="81" s="1"/>
  <c r="D46" i="81"/>
  <c r="E46" i="81" s="1"/>
  <c r="F54" i="81"/>
  <c r="G54" i="81"/>
  <c r="L54" i="81"/>
  <c r="D54" i="81"/>
  <c r="K54" i="81"/>
  <c r="C54" i="81"/>
  <c r="F43" i="81"/>
  <c r="G43" i="81"/>
  <c r="K43" i="81"/>
  <c r="F45" i="81"/>
  <c r="L45" i="81"/>
  <c r="D45" i="81"/>
  <c r="K45" i="81"/>
  <c r="C45" i="81"/>
  <c r="F50" i="81"/>
  <c r="G50" i="81"/>
  <c r="L50" i="81"/>
  <c r="D50" i="81"/>
  <c r="K50" i="81"/>
  <c r="C50" i="81"/>
  <c r="C43" i="81"/>
  <c r="L43" i="81"/>
  <c r="G45" i="81"/>
  <c r="E47" i="81"/>
  <c r="I50" i="81"/>
  <c r="AI34" i="105"/>
  <c r="AF34" i="105"/>
  <c r="Z34" i="105"/>
  <c r="U34" i="105"/>
  <c r="AG33" i="105"/>
  <c r="AB33" i="105"/>
  <c r="V33" i="105"/>
  <c r="AH32" i="105"/>
  <c r="AC32" i="105"/>
  <c r="X32" i="105"/>
  <c r="AJ31" i="105"/>
  <c r="AD31" i="105"/>
  <c r="Y31" i="105"/>
  <c r="U32" i="105"/>
  <c r="AB32" i="105"/>
  <c r="AJ32" i="105"/>
  <c r="V34" i="105"/>
  <c r="AC34" i="105"/>
  <c r="AJ34" i="105"/>
  <c r="U59" i="105"/>
  <c r="AB59" i="105"/>
  <c r="AH59" i="105"/>
  <c r="U61" i="105"/>
  <c r="AC61" i="105"/>
  <c r="AJ61" i="105"/>
  <c r="F39" i="81"/>
  <c r="G39" i="81"/>
  <c r="K39" i="81"/>
  <c r="M39" i="81" s="1"/>
  <c r="F41" i="81"/>
  <c r="K41" i="81"/>
  <c r="C41" i="81"/>
  <c r="E41" i="81" s="1"/>
  <c r="L41" i="81"/>
  <c r="D43" i="81"/>
  <c r="I45" i="81"/>
  <c r="J45" i="81" s="1"/>
  <c r="G58" i="81"/>
  <c r="H58" i="81" s="1"/>
  <c r="L58" i="81"/>
  <c r="G62" i="81"/>
  <c r="H62" i="81" s="1"/>
  <c r="L62" i="81"/>
  <c r="J69" i="81"/>
  <c r="J84" i="81"/>
  <c r="K84" i="81" s="1"/>
  <c r="Z10" i="107"/>
  <c r="AH10" i="107"/>
  <c r="AC11" i="107"/>
  <c r="V12" i="107"/>
  <c r="AF12" i="107"/>
  <c r="Z13" i="107"/>
  <c r="AI27" i="107"/>
  <c r="AG27" i="107"/>
  <c r="AB27" i="107"/>
  <c r="V27" i="107"/>
  <c r="AG26" i="107"/>
  <c r="AB26" i="107"/>
  <c r="V26" i="107"/>
  <c r="AG25" i="107"/>
  <c r="AB25" i="107"/>
  <c r="V25" i="107"/>
  <c r="AG24" i="107"/>
  <c r="AB24" i="107"/>
  <c r="V24" i="107"/>
  <c r="AJ27" i="107"/>
  <c r="AC27" i="107"/>
  <c r="U27" i="107"/>
  <c r="AD26" i="107"/>
  <c r="X26" i="107"/>
  <c r="AF25" i="107"/>
  <c r="Y25" i="107"/>
  <c r="AH24" i="107"/>
  <c r="Z24" i="107"/>
  <c r="AH22" i="107"/>
  <c r="AC24" i="107"/>
  <c r="U25" i="107"/>
  <c r="AD25" i="107"/>
  <c r="Y26" i="107"/>
  <c r="AH26" i="107"/>
  <c r="Z27" i="107"/>
  <c r="AI41" i="107"/>
  <c r="AJ41" i="107"/>
  <c r="AD41" i="107"/>
  <c r="Y41" i="107"/>
  <c r="AJ40" i="107"/>
  <c r="AD40" i="107"/>
  <c r="Y40" i="107"/>
  <c r="AJ39" i="107"/>
  <c r="AD39" i="107"/>
  <c r="Y39" i="107"/>
  <c r="AJ38" i="107"/>
  <c r="AD38" i="107"/>
  <c r="Y38" i="107"/>
  <c r="AH36" i="107"/>
  <c r="AG41" i="107"/>
  <c r="Z41" i="107"/>
  <c r="AH40" i="107"/>
  <c r="AB40" i="107"/>
  <c r="U40" i="107"/>
  <c r="AC39" i="107"/>
  <c r="V39" i="107"/>
  <c r="AF38" i="107"/>
  <c r="X38" i="107"/>
  <c r="AB38" i="107"/>
  <c r="U39" i="107"/>
  <c r="AF39" i="107"/>
  <c r="X40" i="107"/>
  <c r="AG40" i="107"/>
  <c r="AB41" i="107"/>
  <c r="Y45" i="107"/>
  <c r="AJ45" i="107"/>
  <c r="AC46" i="107"/>
  <c r="V47" i="107"/>
  <c r="AG47" i="107"/>
  <c r="Y48" i="107"/>
  <c r="AF83" i="107"/>
  <c r="Z83" i="107"/>
  <c r="AH82" i="107"/>
  <c r="AA82" i="107"/>
  <c r="AJ81" i="107"/>
  <c r="AB81" i="107"/>
  <c r="V81" i="107"/>
  <c r="AE80" i="107"/>
  <c r="W80" i="107"/>
  <c r="AB83" i="107"/>
  <c r="AJ82" i="107"/>
  <c r="Z82" i="107"/>
  <c r="AF81" i="107"/>
  <c r="W81" i="107"/>
  <c r="AB80" i="107"/>
  <c r="AH78" i="107"/>
  <c r="AH83" i="107"/>
  <c r="W83" i="107"/>
  <c r="AE82" i="107"/>
  <c r="V82" i="107"/>
  <c r="AA81" i="107"/>
  <c r="AH80" i="107"/>
  <c r="Z80" i="107"/>
  <c r="AJ80" i="107"/>
  <c r="W82" i="107"/>
  <c r="AA83" i="107"/>
  <c r="AF90" i="107"/>
  <c r="Z90" i="107"/>
  <c r="AH89" i="107"/>
  <c r="AA89" i="107"/>
  <c r="AJ88" i="107"/>
  <c r="AB88" i="107"/>
  <c r="V88" i="107"/>
  <c r="AE87" i="107"/>
  <c r="W87" i="107"/>
  <c r="AH90" i="107"/>
  <c r="W90" i="107"/>
  <c r="AF89" i="107"/>
  <c r="W89" i="107"/>
  <c r="AF88" i="107"/>
  <c r="W88" i="107"/>
  <c r="AF87" i="107"/>
  <c r="V87" i="107"/>
  <c r="AB90" i="107"/>
  <c r="AB89" i="107"/>
  <c r="AA88" i="107"/>
  <c r="AJ87" i="107"/>
  <c r="AA87" i="107"/>
  <c r="AH85" i="107"/>
  <c r="AH87" i="107"/>
  <c r="AH88" i="107"/>
  <c r="AJ89" i="107"/>
  <c r="AJ90" i="107"/>
  <c r="Z95" i="107"/>
  <c r="AE97" i="107"/>
  <c r="Z101" i="107"/>
  <c r="AH102" i="107"/>
  <c r="E51" i="81"/>
  <c r="C62" i="81"/>
  <c r="D69" i="81"/>
  <c r="J71" i="81"/>
  <c r="J77" i="81"/>
  <c r="C84" i="81"/>
  <c r="C88" i="81"/>
  <c r="J92" i="81"/>
  <c r="K92" i="81" s="1"/>
  <c r="D94" i="81"/>
  <c r="AI13" i="107"/>
  <c r="AJ13" i="107"/>
  <c r="AD13" i="107"/>
  <c r="Y13" i="107"/>
  <c r="AJ12" i="107"/>
  <c r="AD12" i="107"/>
  <c r="Y12" i="107"/>
  <c r="AJ11" i="107"/>
  <c r="AD11" i="107"/>
  <c r="Y11" i="107"/>
  <c r="AJ10" i="107"/>
  <c r="AD10" i="107"/>
  <c r="Y10" i="107"/>
  <c r="AH8" i="107"/>
  <c r="AF13" i="107"/>
  <c r="X13" i="107"/>
  <c r="AG12" i="107"/>
  <c r="Z12" i="107"/>
  <c r="AH11" i="107"/>
  <c r="AB11" i="107"/>
  <c r="U11" i="107"/>
  <c r="AC10" i="107"/>
  <c r="V10" i="107"/>
  <c r="AB10" i="107"/>
  <c r="V11" i="107"/>
  <c r="AF11" i="107"/>
  <c r="X12" i="107"/>
  <c r="AH12" i="107"/>
  <c r="AB13" i="107"/>
  <c r="AI48" i="107"/>
  <c r="AF48" i="107"/>
  <c r="Z48" i="107"/>
  <c r="U48" i="107"/>
  <c r="AF47" i="107"/>
  <c r="Z47" i="107"/>
  <c r="U47" i="107"/>
  <c r="AF46" i="107"/>
  <c r="Z46" i="107"/>
  <c r="U46" i="107"/>
  <c r="AF45" i="107"/>
  <c r="Z45" i="107"/>
  <c r="U45" i="107"/>
  <c r="AJ48" i="107"/>
  <c r="AC48" i="107"/>
  <c r="V48" i="107"/>
  <c r="AD47" i="107"/>
  <c r="X47" i="107"/>
  <c r="AG46" i="107"/>
  <c r="Y46" i="107"/>
  <c r="AH45" i="107"/>
  <c r="AB45" i="107"/>
  <c r="AH43" i="107"/>
  <c r="AC45" i="107"/>
  <c r="V46" i="107"/>
  <c r="AD46" i="107"/>
  <c r="Y47" i="107"/>
  <c r="AH47" i="107"/>
  <c r="AB48" i="107"/>
  <c r="V80" i="107"/>
  <c r="Z81" i="107"/>
  <c r="AB82" i="107"/>
  <c r="AE83" i="107"/>
  <c r="V89" i="107"/>
  <c r="V90" i="107"/>
  <c r="AH101" i="107"/>
  <c r="M47" i="81"/>
  <c r="I49" i="81"/>
  <c r="M51" i="81"/>
  <c r="I53" i="81"/>
  <c r="C58" i="81"/>
  <c r="I10" i="102"/>
  <c r="Q10" i="102"/>
  <c r="E11" i="102"/>
  <c r="M11" i="102"/>
  <c r="I12" i="102"/>
  <c r="Q12" i="102"/>
  <c r="E13" i="102"/>
  <c r="M13" i="102"/>
  <c r="D66" i="102"/>
  <c r="K66" i="102"/>
  <c r="R66" i="102"/>
  <c r="J67" i="102"/>
  <c r="P67" i="102"/>
  <c r="G68" i="102"/>
  <c r="O68" i="102"/>
  <c r="F69" i="102"/>
  <c r="D73" i="102"/>
  <c r="K73" i="102"/>
  <c r="R73" i="102"/>
  <c r="J74" i="102"/>
  <c r="P74" i="102"/>
  <c r="G75" i="102"/>
  <c r="O75" i="102"/>
  <c r="F76" i="102"/>
  <c r="L76" i="102"/>
  <c r="D80" i="102"/>
  <c r="K80" i="102"/>
  <c r="R80" i="102"/>
  <c r="J81" i="102"/>
  <c r="P81" i="102"/>
  <c r="G82" i="102"/>
  <c r="O82" i="102"/>
  <c r="F83" i="102"/>
  <c r="D87" i="102"/>
  <c r="K87" i="102"/>
  <c r="R87" i="102"/>
  <c r="J88" i="102"/>
  <c r="P88" i="102"/>
  <c r="G89" i="102"/>
  <c r="O89" i="102"/>
  <c r="F90" i="102"/>
  <c r="D94" i="102"/>
  <c r="K94" i="102"/>
  <c r="R94" i="102"/>
  <c r="J95" i="102"/>
  <c r="P95" i="102"/>
  <c r="G96" i="102"/>
  <c r="O96" i="102"/>
  <c r="F97" i="102"/>
  <c r="D101" i="102"/>
  <c r="K101" i="102"/>
  <c r="R101" i="102"/>
  <c r="J102" i="102"/>
  <c r="P102" i="102"/>
  <c r="G103" i="102"/>
  <c r="O103" i="102"/>
  <c r="F104" i="102"/>
  <c r="D10" i="105"/>
  <c r="K10" i="105"/>
  <c r="R10" i="105"/>
  <c r="J11" i="105"/>
  <c r="P11" i="105"/>
  <c r="G12" i="105"/>
  <c r="O12" i="105"/>
  <c r="F13" i="105"/>
  <c r="D17" i="105"/>
  <c r="K17" i="105"/>
  <c r="R17" i="105"/>
  <c r="J18" i="105"/>
  <c r="P18" i="105"/>
  <c r="G19" i="105"/>
  <c r="O19" i="105"/>
  <c r="F20" i="105"/>
  <c r="D24" i="105"/>
  <c r="K24" i="105"/>
  <c r="R24" i="105"/>
  <c r="J25" i="105"/>
  <c r="P25" i="105"/>
  <c r="G26" i="105"/>
  <c r="O26" i="105"/>
  <c r="F27" i="105"/>
  <c r="D31" i="105"/>
  <c r="K31" i="105"/>
  <c r="R31" i="105"/>
  <c r="J32" i="105"/>
  <c r="P32" i="105"/>
  <c r="G33" i="105"/>
  <c r="O33" i="105"/>
  <c r="F34" i="105"/>
  <c r="D38" i="105"/>
  <c r="K38" i="105"/>
  <c r="R38" i="105"/>
  <c r="J39" i="105"/>
  <c r="P39" i="105"/>
  <c r="G40" i="105"/>
  <c r="O40" i="105"/>
  <c r="F41" i="105"/>
  <c r="D45" i="105"/>
  <c r="K45" i="105"/>
  <c r="R45" i="105"/>
  <c r="J46" i="105"/>
  <c r="P46" i="105"/>
  <c r="G47" i="105"/>
  <c r="O47" i="105"/>
  <c r="F48" i="105"/>
  <c r="D52" i="105"/>
  <c r="K52" i="105"/>
  <c r="R52" i="105"/>
  <c r="J53" i="105"/>
  <c r="P53" i="105"/>
  <c r="G54" i="105"/>
  <c r="O54" i="105"/>
  <c r="F55" i="105"/>
  <c r="D59" i="105"/>
  <c r="K59" i="105"/>
  <c r="R59" i="105"/>
  <c r="J60" i="105"/>
  <c r="P60" i="105"/>
  <c r="G61" i="105"/>
  <c r="O61" i="105"/>
  <c r="F62" i="105"/>
  <c r="D66" i="105"/>
  <c r="K66" i="105"/>
  <c r="R66" i="105"/>
  <c r="J67" i="105"/>
  <c r="P67" i="105"/>
  <c r="G68" i="105"/>
  <c r="O68" i="105"/>
  <c r="F69" i="105"/>
  <c r="D73" i="105"/>
  <c r="K73" i="105"/>
  <c r="R73" i="105"/>
  <c r="J74" i="105"/>
  <c r="P74" i="105"/>
  <c r="G75" i="105"/>
  <c r="O75" i="105"/>
  <c r="F76" i="105"/>
  <c r="D80" i="105"/>
  <c r="K80" i="105"/>
  <c r="R80" i="105"/>
  <c r="J81" i="105"/>
  <c r="P81" i="105"/>
  <c r="G82" i="105"/>
  <c r="O82" i="105"/>
  <c r="F83" i="105"/>
  <c r="D87" i="105"/>
  <c r="K87" i="105"/>
  <c r="R87" i="105"/>
  <c r="J88" i="105"/>
  <c r="P88" i="105"/>
  <c r="G89" i="105"/>
  <c r="O89" i="105"/>
  <c r="F90" i="105"/>
  <c r="D94" i="105"/>
  <c r="K94" i="105"/>
  <c r="R94" i="105"/>
  <c r="J95" i="105"/>
  <c r="P95" i="105"/>
  <c r="G96" i="105"/>
  <c r="O96" i="105"/>
  <c r="F97" i="105"/>
  <c r="D101" i="105"/>
  <c r="K101" i="105"/>
  <c r="R101" i="105"/>
  <c r="J102" i="105"/>
  <c r="P102" i="105"/>
  <c r="G103" i="105"/>
  <c r="O103" i="105"/>
  <c r="F104" i="105"/>
  <c r="I40" i="81"/>
  <c r="I44" i="81"/>
  <c r="G47" i="81"/>
  <c r="I48" i="81"/>
  <c r="C49" i="81"/>
  <c r="K49" i="81"/>
  <c r="G51" i="81"/>
  <c r="H51" i="81" s="1"/>
  <c r="I52" i="81"/>
  <c r="C53" i="81"/>
  <c r="K53" i="81"/>
  <c r="G55" i="81"/>
  <c r="H55" i="81" s="1"/>
  <c r="L56" i="81"/>
  <c r="G57" i="81"/>
  <c r="H57" i="81" s="1"/>
  <c r="L57" i="81"/>
  <c r="D58" i="81"/>
  <c r="E58" i="81" s="1"/>
  <c r="I58" i="81"/>
  <c r="C59" i="81"/>
  <c r="I59" i="81"/>
  <c r="J59" i="81" s="1"/>
  <c r="G60" i="81"/>
  <c r="H60" i="81" s="1"/>
  <c r="L60" i="81"/>
  <c r="M60" i="81" s="1"/>
  <c r="G61" i="81"/>
  <c r="H61" i="81" s="1"/>
  <c r="L61" i="81"/>
  <c r="M61" i="81" s="1"/>
  <c r="D62" i="81"/>
  <c r="I62" i="81"/>
  <c r="C63" i="81"/>
  <c r="I63" i="81"/>
  <c r="J63" i="81" s="1"/>
  <c r="G64" i="81"/>
  <c r="H64" i="81" s="1"/>
  <c r="L64" i="81"/>
  <c r="M64" i="81" s="1"/>
  <c r="J68" i="81"/>
  <c r="K68" i="81" s="1"/>
  <c r="F69" i="81"/>
  <c r="D70" i="81"/>
  <c r="D73" i="81"/>
  <c r="F76" i="81"/>
  <c r="D77" i="81"/>
  <c r="J79" i="81"/>
  <c r="D84" i="81"/>
  <c r="E84" i="81" s="1"/>
  <c r="F88" i="81"/>
  <c r="C92" i="81"/>
  <c r="I93" i="81"/>
  <c r="K93" i="81" s="1"/>
  <c r="J94" i="81"/>
  <c r="K94" i="81" s="1"/>
  <c r="E105" i="81"/>
  <c r="E113" i="81"/>
  <c r="E121" i="81"/>
  <c r="U10" i="107"/>
  <c r="AF10" i="107"/>
  <c r="X11" i="107"/>
  <c r="AG11" i="107"/>
  <c r="AB12" i="107"/>
  <c r="U13" i="107"/>
  <c r="AC13" i="107"/>
  <c r="X24" i="107"/>
  <c r="AF24" i="107"/>
  <c r="Z25" i="107"/>
  <c r="AJ25" i="107"/>
  <c r="AC26" i="107"/>
  <c r="X27" i="107"/>
  <c r="AF27" i="107"/>
  <c r="V38" i="107"/>
  <c r="AG38" i="107"/>
  <c r="Z39" i="107"/>
  <c r="AH39" i="107"/>
  <c r="AC40" i="107"/>
  <c r="V41" i="107"/>
  <c r="AF41" i="107"/>
  <c r="V45" i="107"/>
  <c r="AD45" i="107"/>
  <c r="X46" i="107"/>
  <c r="AH46" i="107"/>
  <c r="AB47" i="107"/>
  <c r="AJ47" i="107"/>
  <c r="AD48" i="107"/>
  <c r="AI55" i="107"/>
  <c r="AG55" i="107"/>
  <c r="AB55" i="107"/>
  <c r="V55" i="107"/>
  <c r="AG54" i="107"/>
  <c r="AB54" i="107"/>
  <c r="V54" i="107"/>
  <c r="AG53" i="107"/>
  <c r="AB53" i="107"/>
  <c r="V53" i="107"/>
  <c r="AG52" i="107"/>
  <c r="AB52" i="107"/>
  <c r="V52" i="107"/>
  <c r="AH55" i="107"/>
  <c r="Z55" i="107"/>
  <c r="AJ54" i="107"/>
  <c r="AC54" i="107"/>
  <c r="U54" i="107"/>
  <c r="AD53" i="107"/>
  <c r="X53" i="107"/>
  <c r="AF52" i="107"/>
  <c r="Y52" i="107"/>
  <c r="AD55" i="107"/>
  <c r="X55" i="107"/>
  <c r="AF54" i="107"/>
  <c r="Y54" i="107"/>
  <c r="AH53" i="107"/>
  <c r="Z53" i="107"/>
  <c r="AJ52" i="107"/>
  <c r="AC52" i="107"/>
  <c r="U52" i="107"/>
  <c r="AD52" i="107"/>
  <c r="AC53" i="107"/>
  <c r="Z54" i="107"/>
  <c r="Y55" i="107"/>
  <c r="AA80" i="107"/>
  <c r="AE81" i="107"/>
  <c r="AF82" i="107"/>
  <c r="AJ83" i="107"/>
  <c r="Z87" i="107"/>
  <c r="Z88" i="107"/>
  <c r="Z89" i="107"/>
  <c r="AA90" i="107"/>
  <c r="AF97" i="107"/>
  <c r="Z97" i="107"/>
  <c r="AH96" i="107"/>
  <c r="AA96" i="107"/>
  <c r="AJ95" i="107"/>
  <c r="AB95" i="107"/>
  <c r="V95" i="107"/>
  <c r="AE94" i="107"/>
  <c r="W94" i="107"/>
  <c r="AB97" i="107"/>
  <c r="AB96" i="107"/>
  <c r="AA95" i="107"/>
  <c r="AJ94" i="107"/>
  <c r="AA94" i="107"/>
  <c r="AH92" i="107"/>
  <c r="AJ97" i="107"/>
  <c r="AA97" i="107"/>
  <c r="AJ96" i="107"/>
  <c r="Z96" i="107"/>
  <c r="AH97" i="107"/>
  <c r="W97" i="107"/>
  <c r="AF96" i="107"/>
  <c r="W96" i="107"/>
  <c r="AF95" i="107"/>
  <c r="W95" i="107"/>
  <c r="AF94" i="107"/>
  <c r="V94" i="107"/>
  <c r="Z94" i="107"/>
  <c r="AH95" i="107"/>
  <c r="V96" i="107"/>
  <c r="AF104" i="107"/>
  <c r="Z104" i="107"/>
  <c r="AH103" i="107"/>
  <c r="AA103" i="107"/>
  <c r="AJ102" i="107"/>
  <c r="AB102" i="107"/>
  <c r="V102" i="107"/>
  <c r="AE101" i="107"/>
  <c r="W101" i="107"/>
  <c r="AH104" i="107"/>
  <c r="W104" i="107"/>
  <c r="AF103" i="107"/>
  <c r="W103" i="107"/>
  <c r="AF102" i="107"/>
  <c r="W102" i="107"/>
  <c r="AF101" i="107"/>
  <c r="V101" i="107"/>
  <c r="AE104" i="107"/>
  <c r="V104" i="107"/>
  <c r="AE103" i="107"/>
  <c r="V103" i="107"/>
  <c r="AE102" i="107"/>
  <c r="AB101" i="107"/>
  <c r="AB104" i="107"/>
  <c r="AB103" i="107"/>
  <c r="AA102" i="107"/>
  <c r="AJ101" i="107"/>
  <c r="AA101" i="107"/>
  <c r="AH99" i="107"/>
  <c r="AJ104" i="107"/>
  <c r="AA104" i="107"/>
  <c r="AJ103" i="107"/>
  <c r="I47" i="81"/>
  <c r="J47" i="81" s="1"/>
  <c r="D49" i="81"/>
  <c r="L49" i="81"/>
  <c r="I51" i="81"/>
  <c r="J51" i="81" s="1"/>
  <c r="D53" i="81"/>
  <c r="L53" i="81"/>
  <c r="I55" i="81"/>
  <c r="J55" i="81" s="1"/>
  <c r="G56" i="81"/>
  <c r="H56" i="81" s="1"/>
  <c r="K58" i="81"/>
  <c r="M58" i="81" s="1"/>
  <c r="D59" i="81"/>
  <c r="K59" i="81"/>
  <c r="M59" i="81" s="1"/>
  <c r="K62" i="81"/>
  <c r="D63" i="81"/>
  <c r="K63" i="81"/>
  <c r="M63" i="81" s="1"/>
  <c r="J70" i="81"/>
  <c r="K70" i="81" s="1"/>
  <c r="J76" i="81"/>
  <c r="K76" i="81" s="1"/>
  <c r="F84" i="81"/>
  <c r="D92" i="81"/>
  <c r="E92" i="81" s="1"/>
  <c r="X10" i="107"/>
  <c r="AG10" i="107"/>
  <c r="Z11" i="107"/>
  <c r="U12" i="107"/>
  <c r="AC12" i="107"/>
  <c r="V13" i="107"/>
  <c r="AG13" i="107"/>
  <c r="X45" i="107"/>
  <c r="AG45" i="107"/>
  <c r="AB46" i="107"/>
  <c r="AJ46" i="107"/>
  <c r="AC47" i="107"/>
  <c r="X48" i="107"/>
  <c r="AG48" i="107"/>
  <c r="AF80" i="107"/>
  <c r="AH81" i="107"/>
  <c r="V83" i="107"/>
  <c r="AB87" i="107"/>
  <c r="AE88" i="107"/>
  <c r="AE89" i="107"/>
  <c r="AE90" i="107"/>
  <c r="AB94" i="107"/>
  <c r="AE96" i="107"/>
  <c r="V97" i="107"/>
  <c r="Z102" i="107"/>
  <c r="Q20" i="109"/>
  <c r="P20" i="109"/>
  <c r="K20" i="109"/>
  <c r="F20" i="109"/>
  <c r="R19" i="109"/>
  <c r="M19" i="109"/>
  <c r="H19" i="109"/>
  <c r="N18" i="109"/>
  <c r="H18" i="109"/>
  <c r="C18" i="109"/>
  <c r="P17" i="109"/>
  <c r="J17" i="109"/>
  <c r="E17" i="109"/>
  <c r="P15" i="109"/>
  <c r="F17" i="109"/>
  <c r="M17" i="109"/>
  <c r="D18" i="109"/>
  <c r="K18" i="109"/>
  <c r="R18" i="109"/>
  <c r="D19" i="109"/>
  <c r="J19" i="109"/>
  <c r="Q19" i="109"/>
  <c r="H20" i="109"/>
  <c r="O20" i="109"/>
  <c r="AI20" i="107"/>
  <c r="AF20" i="107"/>
  <c r="Z20" i="107"/>
  <c r="U20" i="107"/>
  <c r="AF19" i="107"/>
  <c r="Z19" i="107"/>
  <c r="U19" i="107"/>
  <c r="AF18" i="107"/>
  <c r="Z18" i="107"/>
  <c r="U18" i="107"/>
  <c r="AF17" i="107"/>
  <c r="Z17" i="107"/>
  <c r="U17" i="107"/>
  <c r="Y17" i="107"/>
  <c r="AG17" i="107"/>
  <c r="X18" i="107"/>
  <c r="AD18" i="107"/>
  <c r="V19" i="107"/>
  <c r="AC19" i="107"/>
  <c r="AJ19" i="107"/>
  <c r="AB20" i="107"/>
  <c r="AH20" i="107"/>
  <c r="AI69" i="107"/>
  <c r="AJ69" i="107"/>
  <c r="AD69" i="107"/>
  <c r="Y69" i="107"/>
  <c r="AJ68" i="107"/>
  <c r="AD68" i="107"/>
  <c r="Y68" i="107"/>
  <c r="AJ67" i="107"/>
  <c r="AD67" i="107"/>
  <c r="Y67" i="107"/>
  <c r="AJ66" i="107"/>
  <c r="AD66" i="107"/>
  <c r="Y66" i="107"/>
  <c r="AH64" i="107"/>
  <c r="Z66" i="107"/>
  <c r="AG66" i="107"/>
  <c r="X67" i="107"/>
  <c r="AF67" i="107"/>
  <c r="V68" i="107"/>
  <c r="AC68" i="107"/>
  <c r="U69" i="107"/>
  <c r="AB69" i="107"/>
  <c r="AH69" i="107"/>
  <c r="V73" i="107"/>
  <c r="AC73" i="107"/>
  <c r="AJ73" i="107"/>
  <c r="AB74" i="107"/>
  <c r="AH74" i="107"/>
  <c r="Y75" i="107"/>
  <c r="AG75" i="107"/>
  <c r="X76" i="107"/>
  <c r="I87" i="107"/>
  <c r="Q87" i="107"/>
  <c r="J88" i="107"/>
  <c r="Q88" i="107"/>
  <c r="D89" i="107"/>
  <c r="J89" i="107"/>
  <c r="Q89" i="107"/>
  <c r="D90" i="107"/>
  <c r="J90" i="107"/>
  <c r="O97" i="107"/>
  <c r="Q97" i="107"/>
  <c r="L97" i="107"/>
  <c r="F97" i="107"/>
  <c r="R96" i="107"/>
  <c r="M96" i="107"/>
  <c r="H96" i="107"/>
  <c r="N95" i="107"/>
  <c r="I95" i="107"/>
  <c r="D95" i="107"/>
  <c r="P94" i="107"/>
  <c r="J94" i="107"/>
  <c r="E94" i="107"/>
  <c r="P92" i="107"/>
  <c r="F94" i="107"/>
  <c r="M94" i="107"/>
  <c r="F95" i="107"/>
  <c r="M95" i="107"/>
  <c r="F96" i="107"/>
  <c r="N96" i="107"/>
  <c r="H97" i="107"/>
  <c r="N97" i="107"/>
  <c r="I101" i="107"/>
  <c r="Q101" i="107"/>
  <c r="J102" i="107"/>
  <c r="Q102" i="107"/>
  <c r="D103" i="107"/>
  <c r="J103" i="107"/>
  <c r="Q103" i="107"/>
  <c r="D104" i="107"/>
  <c r="J104" i="107"/>
  <c r="Q13" i="109"/>
  <c r="P13" i="109"/>
  <c r="K13" i="109"/>
  <c r="F13" i="109"/>
  <c r="P12" i="109"/>
  <c r="J12" i="109"/>
  <c r="E12" i="109"/>
  <c r="O11" i="109"/>
  <c r="J11" i="109"/>
  <c r="D11" i="109"/>
  <c r="P10" i="109"/>
  <c r="J10" i="109"/>
  <c r="E10" i="109"/>
  <c r="P8" i="109"/>
  <c r="F10" i="109"/>
  <c r="M10" i="109"/>
  <c r="V10" i="109"/>
  <c r="AF10" i="109"/>
  <c r="G11" i="109"/>
  <c r="N11" i="109"/>
  <c r="Y11" i="109"/>
  <c r="AH11" i="109"/>
  <c r="I12" i="109"/>
  <c r="Q12" i="109"/>
  <c r="AA12" i="109"/>
  <c r="D13" i="109"/>
  <c r="L13" i="109"/>
  <c r="U13" i="109"/>
  <c r="AG20" i="109"/>
  <c r="Z20" i="109"/>
  <c r="AD19" i="109"/>
  <c r="AG18" i="109"/>
  <c r="V18" i="109"/>
  <c r="Z17" i="109"/>
  <c r="AH20" i="109"/>
  <c r="X20" i="109"/>
  <c r="H17" i="109"/>
  <c r="N17" i="109"/>
  <c r="AB17" i="109"/>
  <c r="F18" i="109"/>
  <c r="L18" i="109"/>
  <c r="Y18" i="109"/>
  <c r="E19" i="109"/>
  <c r="L19" i="109"/>
  <c r="V19" i="109"/>
  <c r="C20" i="109"/>
  <c r="J20" i="109"/>
  <c r="R20" i="109"/>
  <c r="W24" i="109"/>
  <c r="AG25" i="109"/>
  <c r="Q34" i="109"/>
  <c r="O34" i="109"/>
  <c r="J34" i="109"/>
  <c r="D34" i="109"/>
  <c r="N33" i="109"/>
  <c r="I33" i="109"/>
  <c r="D33" i="109"/>
  <c r="O32" i="109"/>
  <c r="J32" i="109"/>
  <c r="D32" i="109"/>
  <c r="Q31" i="109"/>
  <c r="L31" i="109"/>
  <c r="F31" i="109"/>
  <c r="N34" i="109"/>
  <c r="H34" i="109"/>
  <c r="C34" i="109"/>
  <c r="R33" i="109"/>
  <c r="M33" i="109"/>
  <c r="H33" i="109"/>
  <c r="N32" i="109"/>
  <c r="H32" i="109"/>
  <c r="C32" i="109"/>
  <c r="P31" i="109"/>
  <c r="J31" i="109"/>
  <c r="E31" i="109"/>
  <c r="P29" i="109"/>
  <c r="H31" i="109"/>
  <c r="R31" i="109"/>
  <c r="L32" i="109"/>
  <c r="F33" i="109"/>
  <c r="Q33" i="109"/>
  <c r="G34" i="109"/>
  <c r="R34" i="109"/>
  <c r="Q48" i="109"/>
  <c r="O48" i="109"/>
  <c r="J48" i="109"/>
  <c r="D48" i="109"/>
  <c r="R47" i="109"/>
  <c r="M47" i="109"/>
  <c r="H47" i="109"/>
  <c r="N46" i="109"/>
  <c r="H46" i="109"/>
  <c r="C46" i="109"/>
  <c r="R45" i="109"/>
  <c r="M45" i="109"/>
  <c r="H45" i="109"/>
  <c r="R48" i="109"/>
  <c r="K48" i="109"/>
  <c r="C48" i="109"/>
  <c r="P47" i="109"/>
  <c r="I47" i="109"/>
  <c r="P46" i="109"/>
  <c r="J46" i="109"/>
  <c r="P45" i="109"/>
  <c r="I45" i="109"/>
  <c r="P48" i="109"/>
  <c r="H48" i="109"/>
  <c r="N47" i="109"/>
  <c r="F47" i="109"/>
  <c r="O46" i="109"/>
  <c r="G46" i="109"/>
  <c r="N45" i="109"/>
  <c r="F45" i="109"/>
  <c r="P43" i="109"/>
  <c r="J45" i="109"/>
  <c r="L46" i="109"/>
  <c r="D47" i="109"/>
  <c r="Q47" i="109"/>
  <c r="G48" i="109"/>
  <c r="Q55" i="109"/>
  <c r="N55" i="109"/>
  <c r="H55" i="109"/>
  <c r="C55" i="109"/>
  <c r="N54" i="109"/>
  <c r="I54" i="109"/>
  <c r="D54" i="109"/>
  <c r="N53" i="109"/>
  <c r="H53" i="109"/>
  <c r="C53" i="109"/>
  <c r="N52" i="109"/>
  <c r="I52" i="109"/>
  <c r="D52" i="109"/>
  <c r="R55" i="109"/>
  <c r="K55" i="109"/>
  <c r="D55" i="109"/>
  <c r="M54" i="109"/>
  <c r="F54" i="109"/>
  <c r="O53" i="109"/>
  <c r="G53" i="109"/>
  <c r="Q52" i="109"/>
  <c r="J52" i="109"/>
  <c r="P55" i="109"/>
  <c r="J55" i="109"/>
  <c r="R54" i="109"/>
  <c r="L54" i="109"/>
  <c r="E54" i="109"/>
  <c r="L53" i="109"/>
  <c r="F53" i="109"/>
  <c r="P52" i="109"/>
  <c r="H52" i="109"/>
  <c r="P50" i="109"/>
  <c r="L52" i="109"/>
  <c r="J53" i="109"/>
  <c r="H54" i="109"/>
  <c r="F55" i="109"/>
  <c r="Q76" i="109"/>
  <c r="R76" i="109"/>
  <c r="L76" i="109"/>
  <c r="G76" i="109"/>
  <c r="R75" i="109"/>
  <c r="M75" i="109"/>
  <c r="H75" i="109"/>
  <c r="R74" i="109"/>
  <c r="L74" i="109"/>
  <c r="G74" i="109"/>
  <c r="R73" i="109"/>
  <c r="M73" i="109"/>
  <c r="H73" i="109"/>
  <c r="P76" i="109"/>
  <c r="J76" i="109"/>
  <c r="C76" i="109"/>
  <c r="L75" i="109"/>
  <c r="E75" i="109"/>
  <c r="N74" i="109"/>
  <c r="F74" i="109"/>
  <c r="P73" i="109"/>
  <c r="I73" i="109"/>
  <c r="O76" i="109"/>
  <c r="H76" i="109"/>
  <c r="Q75" i="109"/>
  <c r="J75" i="109"/>
  <c r="D75" i="109"/>
  <c r="K74" i="109"/>
  <c r="D74" i="109"/>
  <c r="N73" i="109"/>
  <c r="F73" i="109"/>
  <c r="P71" i="109"/>
  <c r="J73" i="109"/>
  <c r="H74" i="109"/>
  <c r="F75" i="109"/>
  <c r="D76" i="109"/>
  <c r="Q83" i="109"/>
  <c r="N83" i="109"/>
  <c r="H83" i="109"/>
  <c r="C83" i="109"/>
  <c r="N82" i="109"/>
  <c r="I82" i="109"/>
  <c r="D82" i="109"/>
  <c r="N81" i="109"/>
  <c r="H81" i="109"/>
  <c r="C81" i="109"/>
  <c r="N80" i="109"/>
  <c r="I80" i="109"/>
  <c r="D80" i="109"/>
  <c r="L83" i="109"/>
  <c r="F83" i="109"/>
  <c r="P82" i="109"/>
  <c r="H82" i="109"/>
  <c r="P81" i="109"/>
  <c r="J81" i="109"/>
  <c r="R80" i="109"/>
  <c r="L80" i="109"/>
  <c r="E80" i="109"/>
  <c r="R83" i="109"/>
  <c r="K83" i="109"/>
  <c r="D83" i="109"/>
  <c r="M82" i="109"/>
  <c r="F82" i="109"/>
  <c r="O81" i="109"/>
  <c r="G81" i="109"/>
  <c r="Q80" i="109"/>
  <c r="J80" i="109"/>
  <c r="H80" i="109"/>
  <c r="F81" i="109"/>
  <c r="E82" i="109"/>
  <c r="R82" i="109"/>
  <c r="P83" i="109"/>
  <c r="AF13" i="109"/>
  <c r="X13" i="109"/>
  <c r="AE12" i="109"/>
  <c r="X12" i="109"/>
  <c r="AD11" i="109"/>
  <c r="X11" i="109"/>
  <c r="AE10" i="109"/>
  <c r="W10" i="109"/>
  <c r="Z10" i="109"/>
  <c r="AH10" i="109"/>
  <c r="AB11" i="109"/>
  <c r="AD12" i="109"/>
  <c r="V13" i="109"/>
  <c r="AG13" i="109"/>
  <c r="I17" i="109"/>
  <c r="Q17" i="109"/>
  <c r="G18" i="109"/>
  <c r="O18" i="109"/>
  <c r="F19" i="109"/>
  <c r="N19" i="109"/>
  <c r="D20" i="109"/>
  <c r="L20" i="109"/>
  <c r="AG41" i="109"/>
  <c r="AE40" i="109"/>
  <c r="W40" i="109"/>
  <c r="AD38" i="109"/>
  <c r="X39" i="109"/>
  <c r="AI76" i="107"/>
  <c r="AF76" i="107"/>
  <c r="Z76" i="107"/>
  <c r="U76" i="107"/>
  <c r="AF75" i="107"/>
  <c r="Z75" i="107"/>
  <c r="U75" i="107"/>
  <c r="AF74" i="107"/>
  <c r="Z74" i="107"/>
  <c r="U74" i="107"/>
  <c r="AF73" i="107"/>
  <c r="Z73" i="107"/>
  <c r="U73" i="107"/>
  <c r="Y73" i="107"/>
  <c r="AG73" i="107"/>
  <c r="X74" i="107"/>
  <c r="AD74" i="107"/>
  <c r="V75" i="107"/>
  <c r="AC75" i="107"/>
  <c r="AJ75" i="107"/>
  <c r="AB76" i="107"/>
  <c r="AH76" i="107"/>
  <c r="O90" i="107"/>
  <c r="Q90" i="107"/>
  <c r="L90" i="107"/>
  <c r="F90" i="107"/>
  <c r="R89" i="107"/>
  <c r="M89" i="107"/>
  <c r="H89" i="107"/>
  <c r="N88" i="107"/>
  <c r="I88" i="107"/>
  <c r="D88" i="107"/>
  <c r="P87" i="107"/>
  <c r="J87" i="107"/>
  <c r="E87" i="107"/>
  <c r="P85" i="107"/>
  <c r="F87" i="107"/>
  <c r="M87" i="107"/>
  <c r="F88" i="107"/>
  <c r="M88" i="107"/>
  <c r="F89" i="107"/>
  <c r="N89" i="107"/>
  <c r="H90" i="107"/>
  <c r="N90" i="107"/>
  <c r="O104" i="107"/>
  <c r="Q104" i="107"/>
  <c r="L104" i="107"/>
  <c r="F104" i="107"/>
  <c r="R103" i="107"/>
  <c r="M103" i="107"/>
  <c r="H103" i="107"/>
  <c r="N102" i="107"/>
  <c r="I102" i="107"/>
  <c r="D102" i="107"/>
  <c r="P101" i="107"/>
  <c r="J101" i="107"/>
  <c r="E101" i="107"/>
  <c r="P99" i="107"/>
  <c r="F101" i="107"/>
  <c r="M101" i="107"/>
  <c r="F102" i="107"/>
  <c r="M102" i="107"/>
  <c r="F103" i="107"/>
  <c r="N103" i="107"/>
  <c r="H104" i="107"/>
  <c r="N104" i="107"/>
  <c r="AF8" i="109"/>
  <c r="AA10" i="109"/>
  <c r="AC11" i="109"/>
  <c r="V12" i="109"/>
  <c r="AF12" i="109"/>
  <c r="Z13" i="109"/>
  <c r="AH13" i="109"/>
  <c r="D17" i="109"/>
  <c r="L17" i="109"/>
  <c r="R17" i="109"/>
  <c r="J18" i="109"/>
  <c r="P18" i="109"/>
  <c r="I19" i="109"/>
  <c r="P19" i="109"/>
  <c r="G20" i="109"/>
  <c r="N20" i="109"/>
  <c r="AD27" i="109"/>
  <c r="AF26" i="109"/>
  <c r="V26" i="109"/>
  <c r="AC25" i="109"/>
  <c r="V25" i="109"/>
  <c r="AB24" i="109"/>
  <c r="V24" i="109"/>
  <c r="AB27" i="109"/>
  <c r="AD26" i="109"/>
  <c r="AH25" i="109"/>
  <c r="AB25" i="109"/>
  <c r="AH24" i="109"/>
  <c r="AA24" i="109"/>
  <c r="AF22" i="109"/>
  <c r="AE24" i="109"/>
  <c r="Y25" i="109"/>
  <c r="X26" i="109"/>
  <c r="X27" i="109"/>
  <c r="AD39" i="109"/>
  <c r="Q41" i="109"/>
  <c r="R41" i="109"/>
  <c r="L41" i="109"/>
  <c r="G41" i="109"/>
  <c r="P40" i="109"/>
  <c r="J40" i="109"/>
  <c r="E40" i="109"/>
  <c r="R39" i="109"/>
  <c r="L39" i="109"/>
  <c r="G39" i="109"/>
  <c r="E38" i="109"/>
  <c r="J38" i="109"/>
  <c r="P38" i="109"/>
  <c r="H39" i="109"/>
  <c r="O39" i="109"/>
  <c r="D40" i="109"/>
  <c r="L40" i="109"/>
  <c r="R40" i="109"/>
  <c r="F41" i="109"/>
  <c r="N41" i="109"/>
  <c r="Q97" i="109"/>
  <c r="R97" i="109"/>
  <c r="L97" i="109"/>
  <c r="G97" i="109"/>
  <c r="R96" i="109"/>
  <c r="M96" i="109"/>
  <c r="H96" i="109"/>
  <c r="R95" i="109"/>
  <c r="L95" i="109"/>
  <c r="G95" i="109"/>
  <c r="Q94" i="109"/>
  <c r="L94" i="109"/>
  <c r="F94" i="109"/>
  <c r="P92" i="109"/>
  <c r="H94" i="109"/>
  <c r="N94" i="109"/>
  <c r="H95" i="109"/>
  <c r="O95" i="109"/>
  <c r="F96" i="109"/>
  <c r="N96" i="109"/>
  <c r="D97" i="109"/>
  <c r="K97" i="109"/>
  <c r="N104" i="109"/>
  <c r="G104" i="109"/>
  <c r="Q103" i="109"/>
  <c r="I103" i="109"/>
  <c r="R102" i="109"/>
  <c r="K102" i="109"/>
  <c r="D102" i="109"/>
  <c r="O101" i="109"/>
  <c r="J101" i="109"/>
  <c r="D101" i="109"/>
  <c r="G101" i="109"/>
  <c r="N101" i="109"/>
  <c r="F102" i="109"/>
  <c r="N102" i="109"/>
  <c r="G103" i="109"/>
  <c r="R103" i="109"/>
  <c r="K104" i="109"/>
  <c r="P15" i="108" a="1"/>
  <c r="P15" i="108" s="1"/>
  <c r="D17" i="108"/>
  <c r="Q17" i="108"/>
  <c r="I18" i="108"/>
  <c r="N19" i="108"/>
  <c r="F20" i="108"/>
  <c r="P20" i="108"/>
  <c r="AH27" i="108"/>
  <c r="AG27" i="108"/>
  <c r="AB27" i="108"/>
  <c r="W27" i="108"/>
  <c r="AF26" i="108"/>
  <c r="AA26" i="108"/>
  <c r="U26" i="108"/>
  <c r="AI25" i="108"/>
  <c r="AC25" i="108"/>
  <c r="X25" i="108"/>
  <c r="AG24" i="108"/>
  <c r="AB24" i="108"/>
  <c r="W24" i="108"/>
  <c r="I24" i="108"/>
  <c r="U24" i="108"/>
  <c r="AC24" i="108"/>
  <c r="AJ24" i="108"/>
  <c r="N25" i="108"/>
  <c r="Y25" i="108"/>
  <c r="AF25" i="108"/>
  <c r="G26" i="108"/>
  <c r="W26" i="108"/>
  <c r="AC26" i="108"/>
  <c r="AJ26" i="108"/>
  <c r="N27" i="108"/>
  <c r="Y27" i="108"/>
  <c r="AF27" i="108"/>
  <c r="AH34" i="108"/>
  <c r="W34" i="108"/>
  <c r="AG33" i="108"/>
  <c r="W33" i="108"/>
  <c r="AD32" i="108"/>
  <c r="V32" i="108"/>
  <c r="AD31" i="108"/>
  <c r="K31" i="108"/>
  <c r="AA31" i="108"/>
  <c r="K32" i="108"/>
  <c r="AA32" i="108"/>
  <c r="D33" i="108"/>
  <c r="Y33" i="108"/>
  <c r="D34" i="108"/>
  <c r="V34" i="108"/>
  <c r="AI34" i="108"/>
  <c r="U38" i="108"/>
  <c r="AB38" i="108"/>
  <c r="AI38" i="108"/>
  <c r="U39" i="108"/>
  <c r="AB39" i="108"/>
  <c r="AJ39" i="108"/>
  <c r="X40" i="108"/>
  <c r="AI40" i="108"/>
  <c r="X41" i="108"/>
  <c r="AI41" i="108"/>
  <c r="K47" i="108"/>
  <c r="Q53" i="108"/>
  <c r="C54" i="108"/>
  <c r="AH57" i="108" a="1"/>
  <c r="AH57" i="108" s="1"/>
  <c r="AC59" i="108"/>
  <c r="U60" i="108"/>
  <c r="AE60" i="108"/>
  <c r="X61" i="108"/>
  <c r="AF61" i="108"/>
  <c r="W62" i="108"/>
  <c r="AG62" i="108"/>
  <c r="D66" i="108"/>
  <c r="Z66" i="108"/>
  <c r="O67" i="108"/>
  <c r="AI67" i="108"/>
  <c r="Z68" i="108"/>
  <c r="O69" i="108"/>
  <c r="AE69" i="108"/>
  <c r="H80" i="108" a="1"/>
  <c r="H80" i="108" s="1"/>
  <c r="M80" i="108" a="1"/>
  <c r="M80" i="108" s="1"/>
  <c r="H81" i="108" a="1"/>
  <c r="H81" i="108" s="1"/>
  <c r="M81" i="108" a="1"/>
  <c r="M81" i="108" s="1"/>
  <c r="H82" i="108" a="1"/>
  <c r="H82" i="108" s="1"/>
  <c r="M82" i="108" a="1"/>
  <c r="M82" i="108" s="1"/>
  <c r="P90" i="108" a="1"/>
  <c r="P90" i="108" s="1"/>
  <c r="L90" i="108" a="1"/>
  <c r="L90" i="108" s="1"/>
  <c r="H90" i="108" a="1"/>
  <c r="H90" i="108" s="1"/>
  <c r="D90" i="108" a="1"/>
  <c r="D90" i="108" s="1"/>
  <c r="P89" i="108" a="1"/>
  <c r="P89" i="108" s="1"/>
  <c r="L89" i="108" a="1"/>
  <c r="L89" i="108" s="1"/>
  <c r="H89" i="108" a="1"/>
  <c r="H89" i="108" s="1"/>
  <c r="D89" i="108" a="1"/>
  <c r="D89" i="108" s="1"/>
  <c r="N88" i="108" a="1"/>
  <c r="N88" i="108" s="1"/>
  <c r="K88" i="108" a="1"/>
  <c r="K88" i="108" s="1"/>
  <c r="F88" i="108" a="1"/>
  <c r="F88" i="108" s="1"/>
  <c r="C88" i="108" a="1"/>
  <c r="C88" i="108" s="1"/>
  <c r="N87" i="108" a="1"/>
  <c r="N87" i="108" s="1"/>
  <c r="K87" i="108" a="1"/>
  <c r="K87" i="108" s="1"/>
  <c r="F87" i="108" a="1"/>
  <c r="F87" i="108" s="1"/>
  <c r="C87" i="108" a="1"/>
  <c r="C87" i="108" s="1"/>
  <c r="N90" i="108" a="1"/>
  <c r="N90" i="108" s="1"/>
  <c r="I90" i="108" a="1"/>
  <c r="I90" i="108" s="1"/>
  <c r="C90" i="108" a="1"/>
  <c r="C90" i="108" s="1"/>
  <c r="N89" i="108" a="1"/>
  <c r="N89" i="108" s="1"/>
  <c r="I89" i="108" a="1"/>
  <c r="I89" i="108" s="1"/>
  <c r="C89" i="108" a="1"/>
  <c r="C89" i="108" s="1"/>
  <c r="O88" i="108" a="1"/>
  <c r="O88" i="108" s="1"/>
  <c r="L88" i="108" a="1"/>
  <c r="L88" i="108" s="1"/>
  <c r="H88" i="108" a="1"/>
  <c r="H88" i="108" s="1"/>
  <c r="O90" i="108" a="1"/>
  <c r="O90" i="108" s="1"/>
  <c r="G90" i="108" a="1"/>
  <c r="G90" i="108" s="1"/>
  <c r="Q89" i="108" a="1"/>
  <c r="Q89" i="108" s="1"/>
  <c r="J89" i="108" a="1"/>
  <c r="J89" i="108" s="1"/>
  <c r="R88" i="108" a="1"/>
  <c r="R88" i="108" s="1"/>
  <c r="M88" i="108" a="1"/>
  <c r="M88" i="108" s="1"/>
  <c r="I88" i="108" a="1"/>
  <c r="I88" i="108" s="1"/>
  <c r="D88" i="108" a="1"/>
  <c r="D88" i="108" s="1"/>
  <c r="O87" i="108" a="1"/>
  <c r="O87" i="108" s="1"/>
  <c r="L87" i="108" a="1"/>
  <c r="L87" i="108" s="1"/>
  <c r="H87" i="108" a="1"/>
  <c r="H87" i="108" s="1"/>
  <c r="M90" i="108" a="1"/>
  <c r="M90" i="108" s="1"/>
  <c r="F90" i="108" a="1"/>
  <c r="F90" i="108" s="1"/>
  <c r="O89" i="108" a="1"/>
  <c r="O89" i="108" s="1"/>
  <c r="G89" i="108" a="1"/>
  <c r="G89" i="108" s="1"/>
  <c r="Q88" i="108" a="1"/>
  <c r="Q88" i="108" s="1"/>
  <c r="G88" i="108" a="1"/>
  <c r="G88" i="108" s="1"/>
  <c r="R87" i="108" a="1"/>
  <c r="R87" i="108" s="1"/>
  <c r="G87" i="108" a="1"/>
  <c r="G87" i="108" s="1"/>
  <c r="D87" i="108" a="1"/>
  <c r="D87" i="108" s="1"/>
  <c r="R90" i="108" a="1"/>
  <c r="R90" i="108" s="1"/>
  <c r="K90" i="108" a="1"/>
  <c r="K90" i="108" s="1"/>
  <c r="E90" i="108" a="1"/>
  <c r="E90" i="108" s="1"/>
  <c r="M89" i="108" a="1"/>
  <c r="M89" i="108" s="1"/>
  <c r="F89" i="108" a="1"/>
  <c r="F89" i="108" s="1"/>
  <c r="P88" i="108" a="1"/>
  <c r="P88" i="108" s="1"/>
  <c r="Q87" i="108" a="1"/>
  <c r="Q87" i="108" s="1"/>
  <c r="M87" i="108" a="1"/>
  <c r="M87" i="108" s="1"/>
  <c r="J87" i="108" a="1"/>
  <c r="J87" i="108" s="1"/>
  <c r="P85" i="108" a="1"/>
  <c r="P85" i="108" s="1"/>
  <c r="I87" i="108" a="1"/>
  <c r="I87" i="108" s="1"/>
  <c r="E88" i="108" a="1"/>
  <c r="E88" i="108" s="1"/>
  <c r="J90" i="108" a="1"/>
  <c r="J90" i="108" s="1"/>
  <c r="X31" i="107"/>
  <c r="AC31" i="107"/>
  <c r="AH31" i="107"/>
  <c r="X32" i="107"/>
  <c r="AC32" i="107"/>
  <c r="AH32" i="107"/>
  <c r="X33" i="107"/>
  <c r="AC33" i="107"/>
  <c r="AH33" i="107"/>
  <c r="X34" i="107"/>
  <c r="AC34" i="107"/>
  <c r="AH34" i="107"/>
  <c r="X59" i="107"/>
  <c r="AC59" i="107"/>
  <c r="AH59" i="107"/>
  <c r="X60" i="107"/>
  <c r="AC60" i="107"/>
  <c r="AH60" i="107"/>
  <c r="X61" i="107"/>
  <c r="AC61" i="107"/>
  <c r="AH61" i="107"/>
  <c r="X62" i="107"/>
  <c r="AC62" i="107"/>
  <c r="AH62" i="107"/>
  <c r="D24" i="109"/>
  <c r="I24" i="109"/>
  <c r="N24" i="109"/>
  <c r="C25" i="109"/>
  <c r="H25" i="109"/>
  <c r="N25" i="109"/>
  <c r="D26" i="109"/>
  <c r="I26" i="109"/>
  <c r="N26" i="109"/>
  <c r="G27" i="109"/>
  <c r="L27" i="109"/>
  <c r="R27" i="109"/>
  <c r="AA31" i="109"/>
  <c r="X32" i="109"/>
  <c r="X33" i="109"/>
  <c r="P36" i="109"/>
  <c r="F38" i="109"/>
  <c r="L38" i="109"/>
  <c r="Q38" i="109"/>
  <c r="C39" i="109"/>
  <c r="J39" i="109"/>
  <c r="P39" i="109"/>
  <c r="F40" i="109"/>
  <c r="M40" i="109"/>
  <c r="H41" i="109"/>
  <c r="O41" i="109"/>
  <c r="AD48" i="109"/>
  <c r="AF48" i="109"/>
  <c r="AH46" i="109"/>
  <c r="U46" i="109"/>
  <c r="AF43" i="109"/>
  <c r="AE45" i="109"/>
  <c r="AF46" i="109"/>
  <c r="Q69" i="109"/>
  <c r="P69" i="109"/>
  <c r="K69" i="109"/>
  <c r="F69" i="109"/>
  <c r="Q68" i="109"/>
  <c r="L68" i="109"/>
  <c r="F68" i="109"/>
  <c r="P67" i="109"/>
  <c r="K67" i="109"/>
  <c r="F67" i="109"/>
  <c r="Q66" i="109"/>
  <c r="L66" i="109"/>
  <c r="F66" i="109"/>
  <c r="P64" i="109"/>
  <c r="H66" i="109"/>
  <c r="N66" i="109"/>
  <c r="D67" i="109"/>
  <c r="L67" i="109"/>
  <c r="D68" i="109"/>
  <c r="J68" i="109"/>
  <c r="R68" i="109"/>
  <c r="H69" i="109"/>
  <c r="O69" i="109"/>
  <c r="AH97" i="109"/>
  <c r="AF94" i="109"/>
  <c r="I94" i="109"/>
  <c r="P94" i="109"/>
  <c r="C95" i="109"/>
  <c r="J95" i="109"/>
  <c r="P95" i="109"/>
  <c r="I96" i="109"/>
  <c r="P96" i="109"/>
  <c r="F97" i="109"/>
  <c r="N97" i="109"/>
  <c r="P99" i="109"/>
  <c r="H101" i="109"/>
  <c r="P101" i="109"/>
  <c r="G102" i="109"/>
  <c r="Q102" i="109"/>
  <c r="K103" i="109"/>
  <c r="C104" i="109"/>
  <c r="M104" i="109"/>
  <c r="G17" i="108"/>
  <c r="J18" i="108"/>
  <c r="C19" i="108"/>
  <c r="Q19" i="108"/>
  <c r="G20" i="108"/>
  <c r="K24" i="108"/>
  <c r="X24" i="108"/>
  <c r="AE24" i="108"/>
  <c r="C25" i="108"/>
  <c r="R25" i="108"/>
  <c r="AA25" i="108"/>
  <c r="AG25" i="108"/>
  <c r="M26" i="108"/>
  <c r="X26" i="108"/>
  <c r="AE26" i="108"/>
  <c r="F27" i="108"/>
  <c r="AA27" i="108"/>
  <c r="AI27" i="108"/>
  <c r="O31" i="108"/>
  <c r="AG31" i="108"/>
  <c r="O32" i="108"/>
  <c r="AC32" i="108"/>
  <c r="K33" i="108"/>
  <c r="AA33" i="108"/>
  <c r="G34" i="108"/>
  <c r="AA34" i="108"/>
  <c r="R41" i="108"/>
  <c r="J41" i="108"/>
  <c r="C41" i="108"/>
  <c r="M40" i="108"/>
  <c r="O41" i="108"/>
  <c r="G41" i="108"/>
  <c r="O40" i="108"/>
  <c r="G40" i="108"/>
  <c r="O39" i="108"/>
  <c r="I39" i="108"/>
  <c r="R38" i="108"/>
  <c r="J38" i="108"/>
  <c r="C38" i="108"/>
  <c r="P36" i="108" a="1"/>
  <c r="P36" i="108" s="1"/>
  <c r="AH36" i="108" a="1"/>
  <c r="AH36" i="108" s="1"/>
  <c r="M38" i="108"/>
  <c r="W38" i="108"/>
  <c r="AC38" i="108"/>
  <c r="C39" i="108"/>
  <c r="M39" i="108"/>
  <c r="W39" i="108"/>
  <c r="AE39" i="108"/>
  <c r="C40" i="108"/>
  <c r="N40" i="108"/>
  <c r="AB40" i="108"/>
  <c r="AJ40" i="108"/>
  <c r="N41" i="108"/>
  <c r="AB41" i="108"/>
  <c r="O48" i="108"/>
  <c r="P48" i="108"/>
  <c r="E48" i="108"/>
  <c r="M47" i="108"/>
  <c r="C47" i="108"/>
  <c r="K46" i="108"/>
  <c r="H45" i="108"/>
  <c r="C48" i="108"/>
  <c r="P47" i="108"/>
  <c r="M46" i="108"/>
  <c r="K45" i="108"/>
  <c r="C45" i="108"/>
  <c r="C46" i="108"/>
  <c r="M48" i="108"/>
  <c r="Q54" i="108"/>
  <c r="W59" i="108"/>
  <c r="AF59" i="108"/>
  <c r="W60" i="108"/>
  <c r="AG60" i="108"/>
  <c r="Y61" i="108"/>
  <c r="AI61" i="108"/>
  <c r="AA62" i="108"/>
  <c r="H66" i="108"/>
  <c r="AG66" i="108"/>
  <c r="V67" i="108"/>
  <c r="AE68" i="108"/>
  <c r="U69" i="108"/>
  <c r="M76" i="108"/>
  <c r="R76" i="108"/>
  <c r="E76" i="108"/>
  <c r="F75" i="108"/>
  <c r="G74" i="108"/>
  <c r="J73" i="108"/>
  <c r="K76" i="108"/>
  <c r="J75" i="108"/>
  <c r="E74" i="108"/>
  <c r="G76" i="108"/>
  <c r="K74" i="108"/>
  <c r="R83" i="108" a="1"/>
  <c r="R83" i="108" s="1"/>
  <c r="O83" i="108" a="1"/>
  <c r="O83" i="108" s="1"/>
  <c r="J83" i="108" a="1"/>
  <c r="J83" i="108" s="1"/>
  <c r="G83" i="108" a="1"/>
  <c r="G83" i="108" s="1"/>
  <c r="Q83" i="108" a="1"/>
  <c r="Q83" i="108" s="1"/>
  <c r="L83" i="108" a="1"/>
  <c r="L83" i="108" s="1"/>
  <c r="I83" i="108" a="1"/>
  <c r="I83" i="108" s="1"/>
  <c r="D83" i="108" a="1"/>
  <c r="D83" i="108" s="1"/>
  <c r="Q82" i="108" a="1"/>
  <c r="Q82" i="108" s="1"/>
  <c r="L82" i="108" a="1"/>
  <c r="L82" i="108" s="1"/>
  <c r="I82" i="108" a="1"/>
  <c r="I82" i="108" s="1"/>
  <c r="D82" i="108" a="1"/>
  <c r="D82" i="108" s="1"/>
  <c r="Q81" i="108" a="1"/>
  <c r="Q81" i="108" s="1"/>
  <c r="L81" i="108" a="1"/>
  <c r="L81" i="108" s="1"/>
  <c r="I81" i="108" a="1"/>
  <c r="I81" i="108" s="1"/>
  <c r="D81" i="108" a="1"/>
  <c r="D81" i="108" s="1"/>
  <c r="Q80" i="108" a="1"/>
  <c r="Q80" i="108" s="1"/>
  <c r="L80" i="108" a="1"/>
  <c r="L80" i="108" s="1"/>
  <c r="I80" i="108" a="1"/>
  <c r="I80" i="108" s="1"/>
  <c r="D80" i="108" a="1"/>
  <c r="D80" i="108" s="1"/>
  <c r="N83" i="108" a="1"/>
  <c r="N83" i="108" s="1"/>
  <c r="K83" i="108" a="1"/>
  <c r="K83" i="108" s="1"/>
  <c r="F83" i="108" a="1"/>
  <c r="F83" i="108" s="1"/>
  <c r="C83" i="108" a="1"/>
  <c r="C83" i="108" s="1"/>
  <c r="N82" i="108" a="1"/>
  <c r="N82" i="108" s="1"/>
  <c r="K82" i="108" a="1"/>
  <c r="K82" i="108" s="1"/>
  <c r="F82" i="108" a="1"/>
  <c r="F82" i="108" s="1"/>
  <c r="C82" i="108" a="1"/>
  <c r="C82" i="108" s="1"/>
  <c r="N81" i="108" a="1"/>
  <c r="N81" i="108" s="1"/>
  <c r="K81" i="108" a="1"/>
  <c r="K81" i="108" s="1"/>
  <c r="F81" i="108" a="1"/>
  <c r="F81" i="108" s="1"/>
  <c r="C81" i="108" a="1"/>
  <c r="C81" i="108" s="1"/>
  <c r="N80" i="108" a="1"/>
  <c r="N80" i="108" s="1"/>
  <c r="K80" i="108" a="1"/>
  <c r="K80" i="108" s="1"/>
  <c r="F80" i="108" a="1"/>
  <c r="F80" i="108" s="1"/>
  <c r="C80" i="108" a="1"/>
  <c r="C80" i="108" s="1"/>
  <c r="P78" i="108" a="1"/>
  <c r="P78" i="108" s="1"/>
  <c r="J80" i="108" a="1"/>
  <c r="J80" i="108" s="1"/>
  <c r="O80" i="108" a="1"/>
  <c r="O80" i="108" s="1"/>
  <c r="J81" i="108" a="1"/>
  <c r="J81" i="108" s="1"/>
  <c r="O81" i="108" a="1"/>
  <c r="O81" i="108" s="1"/>
  <c r="J82" i="108" a="1"/>
  <c r="J82" i="108" s="1"/>
  <c r="O82" i="108" a="1"/>
  <c r="O82" i="108" s="1"/>
  <c r="E83" i="108" a="1"/>
  <c r="E83" i="108" s="1"/>
  <c r="P83" i="108" a="1"/>
  <c r="P83" i="108" s="1"/>
  <c r="J88" i="108" a="1"/>
  <c r="J88" i="108" s="1"/>
  <c r="E89" i="108" a="1"/>
  <c r="E89" i="108" s="1"/>
  <c r="Q90" i="108" a="1"/>
  <c r="Q90" i="108" s="1"/>
  <c r="K17" i="108"/>
  <c r="P18" i="108"/>
  <c r="G19" i="108"/>
  <c r="R19" i="108"/>
  <c r="M27" i="108"/>
  <c r="C27" i="108"/>
  <c r="I26" i="108"/>
  <c r="Q25" i="108"/>
  <c r="G25" i="108"/>
  <c r="M24" i="108"/>
  <c r="C24" i="108"/>
  <c r="P22" i="108" a="1"/>
  <c r="P22" i="108" s="1"/>
  <c r="Q24" i="108"/>
  <c r="I25" i="108"/>
  <c r="N26" i="108"/>
  <c r="G27" i="108"/>
  <c r="Q32" i="108"/>
  <c r="O33" i="108"/>
  <c r="X38" i="108"/>
  <c r="AF38" i="108"/>
  <c r="Y39" i="108"/>
  <c r="AF39" i="108"/>
  <c r="AC40" i="108"/>
  <c r="U41" i="108"/>
  <c r="AH62" i="108"/>
  <c r="AJ62" i="108"/>
  <c r="AE62" i="108"/>
  <c r="Y62" i="108"/>
  <c r="AG61" i="108"/>
  <c r="AB61" i="108"/>
  <c r="W61" i="108"/>
  <c r="AI60" i="108"/>
  <c r="AC60" i="108"/>
  <c r="X60" i="108"/>
  <c r="AJ59" i="108"/>
  <c r="AE59" i="108"/>
  <c r="Y59" i="108"/>
  <c r="AF62" i="108"/>
  <c r="X62" i="108"/>
  <c r="AJ61" i="108"/>
  <c r="AC61" i="108"/>
  <c r="U61" i="108"/>
  <c r="AF60" i="108"/>
  <c r="Y60" i="108"/>
  <c r="AI59" i="108"/>
  <c r="AB59" i="108"/>
  <c r="U59" i="108"/>
  <c r="X59" i="108"/>
  <c r="AG59" i="108"/>
  <c r="AA60" i="108"/>
  <c r="AJ60" i="108"/>
  <c r="AA61" i="108"/>
  <c r="AB62" i="108"/>
  <c r="Q69" i="108"/>
  <c r="L69" i="108"/>
  <c r="H68" i="108"/>
  <c r="D67" i="108"/>
  <c r="O66" i="108"/>
  <c r="H69" i="108"/>
  <c r="L68" i="108"/>
  <c r="L67" i="108"/>
  <c r="L66" i="108"/>
  <c r="P64" i="108" a="1"/>
  <c r="P64" i="108" s="1"/>
  <c r="U66" i="108"/>
  <c r="AI66" i="108"/>
  <c r="Y67" i="108"/>
  <c r="O68" i="108"/>
  <c r="AI68" i="108"/>
  <c r="O76" i="108"/>
  <c r="E81" i="108" a="1"/>
  <c r="E81" i="108" s="1"/>
  <c r="P81" i="108" a="1"/>
  <c r="P81" i="108" s="1"/>
  <c r="E82" i="108" a="1"/>
  <c r="E82" i="108" s="1"/>
  <c r="P82" i="108" a="1"/>
  <c r="P82" i="108" s="1"/>
  <c r="H83" i="108" a="1"/>
  <c r="H83" i="108" s="1"/>
  <c r="P87" i="108" a="1"/>
  <c r="P87" i="108" s="1"/>
  <c r="K89" i="108" a="1"/>
  <c r="K89" i="108" s="1"/>
  <c r="J20" i="108"/>
  <c r="K19" i="108"/>
  <c r="M18" i="108"/>
  <c r="D18" i="108"/>
  <c r="O17" i="108"/>
  <c r="E17" i="108"/>
  <c r="L17" i="108"/>
  <c r="E18" i="108"/>
  <c r="R18" i="108"/>
  <c r="I19" i="108"/>
  <c r="O20" i="108"/>
  <c r="K27" i="108"/>
  <c r="K34" i="108"/>
  <c r="G33" i="108"/>
  <c r="G32" i="108"/>
  <c r="Q31" i="108"/>
  <c r="D31" i="108"/>
  <c r="P29" i="108" a="1"/>
  <c r="P29" i="108" s="1"/>
  <c r="G31" i="108"/>
  <c r="D32" i="108"/>
  <c r="Q33" i="108"/>
  <c r="Q34" i="108"/>
  <c r="AH41" i="108"/>
  <c r="AJ41" i="108"/>
  <c r="AE41" i="108"/>
  <c r="Y41" i="108"/>
  <c r="AF40" i="108"/>
  <c r="AA40" i="108"/>
  <c r="U40" i="108"/>
  <c r="AG41" i="108"/>
  <c r="AA41" i="108"/>
  <c r="AG40" i="108"/>
  <c r="Y40" i="108"/>
  <c r="AI39" i="108"/>
  <c r="AC39" i="108"/>
  <c r="X39" i="108"/>
  <c r="AJ38" i="108"/>
  <c r="AE38" i="108"/>
  <c r="Y38" i="108"/>
  <c r="AA38" i="108"/>
  <c r="AG38" i="108"/>
  <c r="AA39" i="108"/>
  <c r="AG39" i="108"/>
  <c r="W40" i="108"/>
  <c r="AE40" i="108"/>
  <c r="W41" i="108"/>
  <c r="AF41" i="108"/>
  <c r="K55" i="108"/>
  <c r="K54" i="108"/>
  <c r="K53" i="108"/>
  <c r="K52" i="108"/>
  <c r="Q55" i="108"/>
  <c r="C52" i="108"/>
  <c r="P50" i="108" a="1"/>
  <c r="P50" i="108" s="1"/>
  <c r="Q52" i="108"/>
  <c r="C53" i="108"/>
  <c r="AI69" i="108"/>
  <c r="Y69" i="108"/>
  <c r="AG68" i="108"/>
  <c r="Y68" i="108"/>
  <c r="AD67" i="108"/>
  <c r="U67" i="108"/>
  <c r="AA66" i="108"/>
  <c r="AH64" i="108" a="1"/>
  <c r="AH64" i="108" s="1"/>
  <c r="AA69" i="108"/>
  <c r="AA68" i="108"/>
  <c r="AA67" i="108"/>
  <c r="AE66" i="108"/>
  <c r="Y66" i="108"/>
  <c r="AE67" i="108"/>
  <c r="U68" i="108"/>
  <c r="AD69" i="108"/>
  <c r="G82" i="108" a="1"/>
  <c r="G82" i="108" s="1"/>
  <c r="R82" i="108" a="1"/>
  <c r="R82" i="108" s="1"/>
  <c r="E87" i="108" a="1"/>
  <c r="E87" i="108" s="1"/>
  <c r="R89" i="108" a="1"/>
  <c r="R89" i="108" s="1"/>
  <c r="AH92" i="108" a="1"/>
  <c r="AH92" i="108" s="1"/>
  <c r="X94" i="108" a="1"/>
  <c r="X94" i="108" s="1"/>
  <c r="AB94" i="108" a="1"/>
  <c r="AB94" i="108" s="1"/>
  <c r="AG94" i="108" a="1"/>
  <c r="AG94" i="108" s="1"/>
  <c r="Y95" i="108" a="1"/>
  <c r="Y95" i="108" s="1"/>
  <c r="AI95" i="108" a="1"/>
  <c r="AI95" i="108" s="1"/>
  <c r="AE96" i="108" a="1"/>
  <c r="AE96" i="108" s="1"/>
  <c r="V97" i="108" a="1"/>
  <c r="V97" i="108" s="1"/>
  <c r="N104" i="108"/>
  <c r="P104" i="108" a="1"/>
  <c r="P104" i="108" s="1"/>
  <c r="L104" i="108" a="1"/>
  <c r="L104" i="108" s="1"/>
  <c r="H104" i="108" a="1"/>
  <c r="H104" i="108" s="1"/>
  <c r="D104" i="108" a="1"/>
  <c r="D104" i="108" s="1"/>
  <c r="P103" i="108" a="1"/>
  <c r="P103" i="108" s="1"/>
  <c r="L103" i="108" a="1"/>
  <c r="L103" i="108" s="1"/>
  <c r="H103" i="108" a="1"/>
  <c r="H103" i="108" s="1"/>
  <c r="D103" i="108" a="1"/>
  <c r="D103" i="108" s="1"/>
  <c r="P102" i="108" a="1"/>
  <c r="P102" i="108" s="1"/>
  <c r="L102" i="108" a="1"/>
  <c r="L102" i="108" s="1"/>
  <c r="H102" i="108" a="1"/>
  <c r="H102" i="108" s="1"/>
  <c r="D102" i="108" a="1"/>
  <c r="D102" i="108" s="1"/>
  <c r="P101" i="108" a="1"/>
  <c r="P101" i="108" s="1"/>
  <c r="L101" i="108" a="1"/>
  <c r="L101" i="108" s="1"/>
  <c r="H101" i="108" a="1"/>
  <c r="H101" i="108" s="1"/>
  <c r="D101" i="108" a="1"/>
  <c r="D101" i="108" s="1"/>
  <c r="O104" i="108" a="1"/>
  <c r="O104" i="108" s="1"/>
  <c r="J104" i="108" a="1"/>
  <c r="J104" i="108" s="1"/>
  <c r="E104" i="108" a="1"/>
  <c r="E104" i="108" s="1"/>
  <c r="O103" i="108" a="1"/>
  <c r="O103" i="108" s="1"/>
  <c r="J103" i="108" a="1"/>
  <c r="J103" i="108" s="1"/>
  <c r="E103" i="108" a="1"/>
  <c r="E103" i="108" s="1"/>
  <c r="O102" i="108" a="1"/>
  <c r="O102" i="108" s="1"/>
  <c r="J102" i="108" a="1"/>
  <c r="J102" i="108" s="1"/>
  <c r="E102" i="108" a="1"/>
  <c r="E102" i="108" s="1"/>
  <c r="O101" i="108" a="1"/>
  <c r="O101" i="108" s="1"/>
  <c r="J101" i="108" a="1"/>
  <c r="J101" i="108" s="1"/>
  <c r="E101" i="108" a="1"/>
  <c r="E101" i="108" s="1"/>
  <c r="M104" i="108" a="1"/>
  <c r="M104" i="108" s="1"/>
  <c r="F104" i="108" a="1"/>
  <c r="F104" i="108" s="1"/>
  <c r="N103" i="108" a="1"/>
  <c r="N103" i="108" s="1"/>
  <c r="G103" i="108" a="1"/>
  <c r="G103" i="108" s="1"/>
  <c r="Q102" i="108" a="1"/>
  <c r="Q102" i="108" s="1"/>
  <c r="I102" i="108" a="1"/>
  <c r="I102" i="108" s="1"/>
  <c r="R101" i="108" a="1"/>
  <c r="R101" i="108" s="1"/>
  <c r="K101" i="108" a="1"/>
  <c r="K101" i="108" s="1"/>
  <c r="C101" i="108" a="1"/>
  <c r="C101" i="108" s="1"/>
  <c r="I101" i="108" a="1"/>
  <c r="I101" i="108" s="1"/>
  <c r="C102" i="108" a="1"/>
  <c r="C102" i="108" s="1"/>
  <c r="M102" i="108" a="1"/>
  <c r="M102" i="108" s="1"/>
  <c r="F103" i="108" a="1"/>
  <c r="F103" i="108" s="1"/>
  <c r="Q103" i="108" a="1"/>
  <c r="Q103" i="108" s="1"/>
  <c r="I104" i="108" a="1"/>
  <c r="I104" i="108" s="1"/>
  <c r="R104" i="108" a="1"/>
  <c r="R104" i="108" s="1"/>
  <c r="R17" i="110"/>
  <c r="J18" i="110"/>
  <c r="D19" i="110"/>
  <c r="E59" i="109"/>
  <c r="J59" i="109"/>
  <c r="P59" i="109"/>
  <c r="D60" i="109"/>
  <c r="J60" i="109"/>
  <c r="O60" i="109"/>
  <c r="E61" i="109"/>
  <c r="J61" i="109"/>
  <c r="P61" i="109"/>
  <c r="D62" i="109"/>
  <c r="J62" i="109"/>
  <c r="O62" i="109"/>
  <c r="E87" i="109"/>
  <c r="J87" i="109"/>
  <c r="P87" i="109"/>
  <c r="D88" i="109"/>
  <c r="J88" i="109"/>
  <c r="O88" i="109"/>
  <c r="E89" i="109"/>
  <c r="J89" i="109"/>
  <c r="P89" i="109"/>
  <c r="D90" i="109"/>
  <c r="J90" i="109"/>
  <c r="O90" i="109"/>
  <c r="AH10" i="108"/>
  <c r="AH11" i="108"/>
  <c r="AH12" i="108"/>
  <c r="AI18" i="108"/>
  <c r="AG19" i="108"/>
  <c r="AH48" i="108"/>
  <c r="Z48" i="108"/>
  <c r="AE47" i="108"/>
  <c r="Y47" i="108"/>
  <c r="AD46" i="108"/>
  <c r="W46" i="108"/>
  <c r="AI45" i="108"/>
  <c r="AC45" i="108"/>
  <c r="U45" i="108"/>
  <c r="Y45" i="108"/>
  <c r="AH45" i="108"/>
  <c r="Z46" i="108"/>
  <c r="AI46" i="108"/>
  <c r="AC47" i="108"/>
  <c r="U48" i="108"/>
  <c r="AD48" i="108"/>
  <c r="F62" i="108"/>
  <c r="Q62" i="108"/>
  <c r="I59" i="108"/>
  <c r="P57" i="108" a="1"/>
  <c r="P57" i="108" s="1"/>
  <c r="V80" i="108" a="1"/>
  <c r="V80" i="108" s="1"/>
  <c r="AA80" i="108" a="1"/>
  <c r="AA80" i="108" s="1"/>
  <c r="AD80" i="108" a="1"/>
  <c r="AD80" i="108" s="1"/>
  <c r="AI80" i="108" a="1"/>
  <c r="AI80" i="108" s="1"/>
  <c r="V81" i="108" a="1"/>
  <c r="V81" i="108" s="1"/>
  <c r="AA81" i="108" a="1"/>
  <c r="AA81" i="108" s="1"/>
  <c r="AD81" i="108" a="1"/>
  <c r="AD81" i="108" s="1"/>
  <c r="AI81" i="108" a="1"/>
  <c r="AI81" i="108" s="1"/>
  <c r="V82" i="108" a="1"/>
  <c r="V82" i="108" s="1"/>
  <c r="AA82" i="108" a="1"/>
  <c r="AA82" i="108" s="1"/>
  <c r="AD82" i="108" a="1"/>
  <c r="AD82" i="108" s="1"/>
  <c r="AI82" i="108" a="1"/>
  <c r="AI82" i="108" s="1"/>
  <c r="V83" i="108" a="1"/>
  <c r="V83" i="108" s="1"/>
  <c r="AA83" i="108" a="1"/>
  <c r="AA83" i="108" s="1"/>
  <c r="AD83" i="108" a="1"/>
  <c r="AD83" i="108" s="1"/>
  <c r="Y94" i="108" a="1"/>
  <c r="Y94" i="108" s="1"/>
  <c r="AI94" i="108" a="1"/>
  <c r="AI94" i="108" s="1"/>
  <c r="AE95" i="108" a="1"/>
  <c r="AE95" i="108" s="1"/>
  <c r="V96" i="108" a="1"/>
  <c r="V96" i="108" s="1"/>
  <c r="AF96" i="108" a="1"/>
  <c r="AF96" i="108" s="1"/>
  <c r="AJ96" i="108" a="1"/>
  <c r="AJ96" i="108" s="1"/>
  <c r="X97" i="108" a="1"/>
  <c r="X97" i="108" s="1"/>
  <c r="P99" i="108" a="1"/>
  <c r="P99" i="108" s="1"/>
  <c r="M101" i="108" a="1"/>
  <c r="M101" i="108" s="1"/>
  <c r="F102" i="108" a="1"/>
  <c r="F102" i="108" s="1"/>
  <c r="N102" i="108" a="1"/>
  <c r="N102" i="108" s="1"/>
  <c r="I103" i="108" a="1"/>
  <c r="I103" i="108" s="1"/>
  <c r="R103" i="108" a="1"/>
  <c r="R103" i="108" s="1"/>
  <c r="K104" i="108" a="1"/>
  <c r="K104" i="108" s="1"/>
  <c r="F17" i="110"/>
  <c r="R18" i="110"/>
  <c r="K19" i="110"/>
  <c r="AJ97" i="108" a="1"/>
  <c r="AJ97" i="108" s="1"/>
  <c r="AF97" i="108" a="1"/>
  <c r="AF97" i="108" s="1"/>
  <c r="AB97" i="108" a="1"/>
  <c r="AB97" i="108" s="1"/>
  <c r="AI97" i="108" a="1"/>
  <c r="AI97" i="108" s="1"/>
  <c r="AD97" i="108" a="1"/>
  <c r="AD97" i="108" s="1"/>
  <c r="Z97" i="108" a="1"/>
  <c r="Z97" i="108" s="1"/>
  <c r="U97" i="108" a="1"/>
  <c r="U97" i="108" s="1"/>
  <c r="AH96" i="108" a="1"/>
  <c r="AH96" i="108" s="1"/>
  <c r="AC96" i="108" a="1"/>
  <c r="AC96" i="108" s="1"/>
  <c r="Z96" i="108" a="1"/>
  <c r="Z96" i="108" s="1"/>
  <c r="U96" i="108" a="1"/>
  <c r="U96" i="108" s="1"/>
  <c r="AH95" i="108" a="1"/>
  <c r="AH95" i="108" s="1"/>
  <c r="AC95" i="108" a="1"/>
  <c r="AC95" i="108" s="1"/>
  <c r="Z95" i="108" a="1"/>
  <c r="Z95" i="108" s="1"/>
  <c r="U95" i="108" a="1"/>
  <c r="U95" i="108" s="1"/>
  <c r="AH94" i="108" a="1"/>
  <c r="AH94" i="108" s="1"/>
  <c r="AC94" i="108" a="1"/>
  <c r="AC94" i="108" s="1"/>
  <c r="Z94" i="108" a="1"/>
  <c r="Z94" i="108" s="1"/>
  <c r="U94" i="108" a="1"/>
  <c r="U94" i="108" s="1"/>
  <c r="AG97" i="108" a="1"/>
  <c r="AG97" i="108" s="1"/>
  <c r="AA97" i="108" a="1"/>
  <c r="AA97" i="108" s="1"/>
  <c r="W97" i="108" a="1"/>
  <c r="W97" i="108" s="1"/>
  <c r="AD96" i="108" a="1"/>
  <c r="AD96" i="108" s="1"/>
  <c r="AA96" i="108" a="1"/>
  <c r="AA96" i="108" s="1"/>
  <c r="W96" i="108" a="1"/>
  <c r="W96" i="108" s="1"/>
  <c r="AD95" i="108" a="1"/>
  <c r="AD95" i="108" s="1"/>
  <c r="AA95" i="108" a="1"/>
  <c r="AA95" i="108" s="1"/>
  <c r="W95" i="108" a="1"/>
  <c r="W95" i="108" s="1"/>
  <c r="AD94" i="108" a="1"/>
  <c r="AD94" i="108" s="1"/>
  <c r="AA94" i="108" a="1"/>
  <c r="AA94" i="108" s="1"/>
  <c r="W94" i="108" a="1"/>
  <c r="W94" i="108" s="1"/>
  <c r="AE94" i="108" a="1"/>
  <c r="AE94" i="108" s="1"/>
  <c r="V95" i="108" a="1"/>
  <c r="V95" i="108" s="1"/>
  <c r="AF95" i="108" a="1"/>
  <c r="AF95" i="108" s="1"/>
  <c r="AJ95" i="108" a="1"/>
  <c r="AJ95" i="108" s="1"/>
  <c r="X96" i="108" a="1"/>
  <c r="X96" i="108" s="1"/>
  <c r="AB96" i="108" a="1"/>
  <c r="AB96" i="108" s="1"/>
  <c r="AG96" i="108" a="1"/>
  <c r="AG96" i="108" s="1"/>
  <c r="Y97" i="108" a="1"/>
  <c r="Y97" i="108" s="1"/>
  <c r="AE97" i="108" a="1"/>
  <c r="AE97" i="108" s="1"/>
  <c r="Q20" i="110"/>
  <c r="O20" i="110"/>
  <c r="J20" i="110"/>
  <c r="D20" i="110"/>
  <c r="R19" i="110"/>
  <c r="L19" i="110"/>
  <c r="G19" i="110"/>
  <c r="P18" i="110"/>
  <c r="K18" i="110"/>
  <c r="F18" i="110"/>
  <c r="O17" i="110"/>
  <c r="J17" i="110"/>
  <c r="D17" i="110"/>
  <c r="P15" i="110" a="1"/>
  <c r="P15" i="110" s="1"/>
  <c r="L20" i="110"/>
  <c r="F20" i="110"/>
  <c r="O19" i="110"/>
  <c r="H19" i="110"/>
  <c r="L18" i="110"/>
  <c r="D18" i="110"/>
  <c r="P17" i="110"/>
  <c r="H17" i="110"/>
  <c r="K20" i="110"/>
  <c r="P19" i="110"/>
  <c r="F19" i="110"/>
  <c r="N18" i="110"/>
  <c r="C18" i="110"/>
  <c r="K17" i="110"/>
  <c r="R20" i="110"/>
  <c r="H20" i="110"/>
  <c r="N20" i="110"/>
  <c r="C20" i="110"/>
  <c r="J19" i="110"/>
  <c r="O18" i="110"/>
  <c r="G18" i="110"/>
  <c r="L17" i="110"/>
  <c r="C17" i="110"/>
  <c r="G17" i="110"/>
  <c r="N19" i="110"/>
  <c r="P20" i="110"/>
  <c r="X95" i="108" a="1"/>
  <c r="X95" i="108" s="1"/>
  <c r="AB95" i="108" a="1"/>
  <c r="AB95" i="108" s="1"/>
  <c r="AG95" i="108" a="1"/>
  <c r="AG95" i="108" s="1"/>
  <c r="Y96" i="108" a="1"/>
  <c r="Y96" i="108" s="1"/>
  <c r="AI96" i="108" a="1"/>
  <c r="AI96" i="108" s="1"/>
  <c r="AH97" i="108" a="1"/>
  <c r="AH97" i="108" s="1"/>
  <c r="AE26" i="110"/>
  <c r="AH25" i="110"/>
  <c r="AH24" i="110"/>
  <c r="AH22" i="110" a="1"/>
  <c r="AH22" i="110" s="1"/>
  <c r="AA25" i="110"/>
  <c r="AE24" i="110"/>
  <c r="AA27" i="110"/>
  <c r="W27" i="110"/>
  <c r="AA26" i="110"/>
  <c r="W24" i="110"/>
  <c r="AE25" i="110"/>
  <c r="W26" i="110"/>
  <c r="P97" i="108" a="1"/>
  <c r="P97" i="108" s="1"/>
  <c r="K97" i="108" a="1"/>
  <c r="K97" i="108" s="1"/>
  <c r="H97" i="108" a="1"/>
  <c r="H97" i="108" s="1"/>
  <c r="C97" i="108" a="1"/>
  <c r="C97" i="108" s="1"/>
  <c r="P96" i="108" a="1"/>
  <c r="P96" i="108" s="1"/>
  <c r="K96" i="108" a="1"/>
  <c r="K96" i="108" s="1"/>
  <c r="H96" i="108" a="1"/>
  <c r="H96" i="108" s="1"/>
  <c r="C96" i="108" a="1"/>
  <c r="C96" i="108" s="1"/>
  <c r="P95" i="108" a="1"/>
  <c r="P95" i="108" s="1"/>
  <c r="K95" i="108" a="1"/>
  <c r="K95" i="108" s="1"/>
  <c r="H95" i="108" a="1"/>
  <c r="H95" i="108" s="1"/>
  <c r="C95" i="108" a="1"/>
  <c r="C95" i="108" s="1"/>
  <c r="P94" i="108" a="1"/>
  <c r="P94" i="108" s="1"/>
  <c r="K94" i="108" a="1"/>
  <c r="K94" i="108" s="1"/>
  <c r="H94" i="108" a="1"/>
  <c r="H94" i="108" s="1"/>
  <c r="C94" i="108" a="1"/>
  <c r="C94" i="108" s="1"/>
  <c r="P92" i="108" a="1"/>
  <c r="P92" i="108" s="1"/>
  <c r="G94" i="108" a="1"/>
  <c r="G94" i="108" s="1"/>
  <c r="J94" i="108" a="1"/>
  <c r="J94" i="108" s="1"/>
  <c r="N94" i="108" a="1"/>
  <c r="N94" i="108" s="1"/>
  <c r="G95" i="108" a="1"/>
  <c r="G95" i="108" s="1"/>
  <c r="J95" i="108" a="1"/>
  <c r="J95" i="108" s="1"/>
  <c r="N95" i="108" a="1"/>
  <c r="N95" i="108" s="1"/>
  <c r="G96" i="108" a="1"/>
  <c r="G96" i="108" s="1"/>
  <c r="J96" i="108" a="1"/>
  <c r="J96" i="108" s="1"/>
  <c r="N96" i="108" a="1"/>
  <c r="N96" i="108" s="1"/>
  <c r="G97" i="108" a="1"/>
  <c r="G97" i="108" s="1"/>
  <c r="J97" i="108" a="1"/>
  <c r="J97" i="108" s="1"/>
  <c r="N97" i="108" a="1"/>
  <c r="N97" i="108" s="1"/>
  <c r="N13" i="110"/>
  <c r="E13" i="110"/>
  <c r="P12" i="110"/>
  <c r="E12" i="110"/>
  <c r="N11" i="110"/>
  <c r="E11" i="110"/>
  <c r="M10" i="110"/>
  <c r="G10" i="110"/>
  <c r="P8" i="110"/>
  <c r="L13" i="110"/>
  <c r="Q12" i="110"/>
  <c r="D12" i="110"/>
  <c r="F11" i="110"/>
  <c r="K10" i="110"/>
  <c r="H10" i="110"/>
  <c r="L11" i="110"/>
  <c r="F13" i="110"/>
  <c r="AB17" i="110"/>
  <c r="AG18" i="110"/>
  <c r="X19" i="110"/>
  <c r="AH33" i="110"/>
  <c r="N41" i="110"/>
  <c r="D39" i="110"/>
  <c r="I38" i="110"/>
  <c r="I40" i="110"/>
  <c r="N40" i="110"/>
  <c r="I41" i="110"/>
  <c r="D38" i="110"/>
  <c r="N39" i="110"/>
  <c r="P36" i="110" a="1"/>
  <c r="P36" i="110" s="1"/>
  <c r="N38" i="110"/>
  <c r="D40" i="110"/>
  <c r="L12" i="110"/>
  <c r="AD20" i="110"/>
  <c r="Y20" i="110"/>
  <c r="AD19" i="110"/>
  <c r="AJ18" i="110"/>
  <c r="AB18" i="110"/>
  <c r="AH17" i="110"/>
  <c r="X17" i="110"/>
  <c r="V20" i="110"/>
  <c r="AB19" i="110"/>
  <c r="AH18" i="110"/>
  <c r="V18" i="110"/>
  <c r="AC17" i="110"/>
  <c r="AH15" i="110" a="1"/>
  <c r="AH15" i="110" s="1"/>
  <c r="V17" i="110"/>
  <c r="AC18" i="110"/>
  <c r="AH19" i="110"/>
  <c r="AC20" i="110"/>
  <c r="AC34" i="110"/>
  <c r="X33" i="110"/>
  <c r="AH34" i="110"/>
  <c r="AC33" i="110"/>
  <c r="AF32" i="110"/>
  <c r="AH31" i="110"/>
  <c r="AH29" i="110" a="1"/>
  <c r="AH29" i="110" s="1"/>
  <c r="AJ32" i="110"/>
  <c r="AD31" i="110"/>
  <c r="AC32" i="110"/>
  <c r="D41" i="110"/>
  <c r="AF48" i="110"/>
  <c r="AJ48" i="110"/>
  <c r="Y48" i="110"/>
  <c r="AF47" i="110"/>
  <c r="Y47" i="110"/>
  <c r="AG46" i="110"/>
  <c r="Z46" i="110"/>
  <c r="AJ45" i="110"/>
  <c r="AB45" i="110"/>
  <c r="U45" i="110"/>
  <c r="AG48" i="110"/>
  <c r="AB47" i="110"/>
  <c r="AB46" i="110"/>
  <c r="Z45" i="110"/>
  <c r="AH43" i="110" a="1"/>
  <c r="AH43" i="110" s="1"/>
  <c r="V45" i="110"/>
  <c r="AG45" i="110"/>
  <c r="V46" i="110"/>
  <c r="AJ46" i="110"/>
  <c r="V47" i="110"/>
  <c r="AJ47" i="110"/>
  <c r="AB48" i="110"/>
  <c r="P64" i="110" a="1"/>
  <c r="P64" i="110" s="1"/>
  <c r="AA66" i="110"/>
  <c r="Z67" i="110"/>
  <c r="AJ67" i="110"/>
  <c r="AF68" i="110"/>
  <c r="AJ74" i="110" a="1"/>
  <c r="AJ74" i="110" s="1"/>
  <c r="AD75" i="110" a="1"/>
  <c r="AD75" i="110" s="1"/>
  <c r="AD48" i="110"/>
  <c r="AI69" i="110"/>
  <c r="AA69" i="110"/>
  <c r="AJ68" i="110"/>
  <c r="AD68" i="110"/>
  <c r="V68" i="110"/>
  <c r="AE67" i="110"/>
  <c r="X67" i="110"/>
  <c r="AF66" i="110"/>
  <c r="Z66" i="110"/>
  <c r="AD69" i="110"/>
  <c r="AI68" i="110"/>
  <c r="Z68" i="110"/>
  <c r="AF67" i="110"/>
  <c r="V67" i="110"/>
  <c r="AD66" i="110"/>
  <c r="AH64" i="110" a="1"/>
  <c r="AH64" i="110" s="1"/>
  <c r="AE66" i="110"/>
  <c r="AA67" i="110"/>
  <c r="X68" i="110"/>
  <c r="V69" i="110"/>
  <c r="AF69" i="110"/>
  <c r="AI76" i="110" a="1"/>
  <c r="AI76" i="110" s="1"/>
  <c r="AF76" i="110" a="1"/>
  <c r="AF76" i="110" s="1"/>
  <c r="Y76" i="110" a="1"/>
  <c r="Y76" i="110" s="1"/>
  <c r="V76" i="110" a="1"/>
  <c r="V76" i="110" s="1"/>
  <c r="AI75" i="110" a="1"/>
  <c r="AI75" i="110" s="1"/>
  <c r="AE75" i="110" a="1"/>
  <c r="AE75" i="110" s="1"/>
  <c r="AB75" i="110" a="1"/>
  <c r="AB75" i="110" s="1"/>
  <c r="U75" i="110" a="1"/>
  <c r="U75" i="110" s="1"/>
  <c r="AI74" i="110" a="1"/>
  <c r="AI74" i="110" s="1"/>
  <c r="AF74" i="110" a="1"/>
  <c r="AF74" i="110" s="1"/>
  <c r="Y74" i="110" a="1"/>
  <c r="Y74" i="110" s="1"/>
  <c r="V74" i="110" a="1"/>
  <c r="V74" i="110" s="1"/>
  <c r="AI73" i="110" a="1"/>
  <c r="AI73" i="110" s="1"/>
  <c r="AE73" i="110" a="1"/>
  <c r="AE73" i="110" s="1"/>
  <c r="AB73" i="110" a="1"/>
  <c r="AB73" i="110" s="1"/>
  <c r="Y73" i="110" a="1"/>
  <c r="Y73" i="110" s="1"/>
  <c r="V73" i="110" a="1"/>
  <c r="V73" i="110" s="1"/>
  <c r="AJ76" i="110" a="1"/>
  <c r="AJ76" i="110" s="1"/>
  <c r="AE76" i="110" a="1"/>
  <c r="AE76" i="110" s="1"/>
  <c r="AA76" i="110" a="1"/>
  <c r="AA76" i="110" s="1"/>
  <c r="AF75" i="110" a="1"/>
  <c r="AF75" i="110" s="1"/>
  <c r="AA75" i="110" a="1"/>
  <c r="AA75" i="110" s="1"/>
  <c r="W75" i="110" a="1"/>
  <c r="W75" i="110" s="1"/>
  <c r="AG74" i="110" a="1"/>
  <c r="AG74" i="110" s="1"/>
  <c r="AC74" i="110" a="1"/>
  <c r="AC74" i="110" s="1"/>
  <c r="X74" i="110" a="1"/>
  <c r="X74" i="110" s="1"/>
  <c r="AH73" i="110" a="1"/>
  <c r="AH73" i="110" s="1"/>
  <c r="AD73" i="110" a="1"/>
  <c r="AD73" i="110" s="1"/>
  <c r="Z73" i="110" a="1"/>
  <c r="Z73" i="110" s="1"/>
  <c r="U73" i="110" a="1"/>
  <c r="U73" i="110" s="1"/>
  <c r="AH76" i="110" a="1"/>
  <c r="AH76" i="110" s="1"/>
  <c r="AD76" i="110" a="1"/>
  <c r="AD76" i="110" s="1"/>
  <c r="Z76" i="110" a="1"/>
  <c r="Z76" i="110" s="1"/>
  <c r="U76" i="110" a="1"/>
  <c r="U76" i="110" s="1"/>
  <c r="AJ75" i="110" a="1"/>
  <c r="AJ75" i="110" s="1"/>
  <c r="Z75" i="110" a="1"/>
  <c r="Z75" i="110" s="1"/>
  <c r="V75" i="110" a="1"/>
  <c r="V75" i="110" s="1"/>
  <c r="AB74" i="110" a="1"/>
  <c r="AB74" i="110" s="1"/>
  <c r="W74" i="110" a="1"/>
  <c r="W74" i="110" s="1"/>
  <c r="AG73" i="110" a="1"/>
  <c r="AG73" i="110" s="1"/>
  <c r="AC73" i="110" a="1"/>
  <c r="AC73" i="110" s="1"/>
  <c r="X73" i="110" a="1"/>
  <c r="X73" i="110" s="1"/>
  <c r="AB76" i="110" a="1"/>
  <c r="AB76" i="110" s="1"/>
  <c r="W76" i="110" a="1"/>
  <c r="W76" i="110" s="1"/>
  <c r="AG75" i="110" a="1"/>
  <c r="AG75" i="110" s="1"/>
  <c r="AC75" i="110" a="1"/>
  <c r="AC75" i="110" s="1"/>
  <c r="X75" i="110" a="1"/>
  <c r="X75" i="110" s="1"/>
  <c r="AH74" i="110" a="1"/>
  <c r="AH74" i="110" s="1"/>
  <c r="AD74" i="110" a="1"/>
  <c r="AD74" i="110" s="1"/>
  <c r="Z74" i="110" a="1"/>
  <c r="Z74" i="110" s="1"/>
  <c r="U74" i="110" a="1"/>
  <c r="U74" i="110" s="1"/>
  <c r="AJ73" i="110" a="1"/>
  <c r="AJ73" i="110" s="1"/>
  <c r="W73" i="110" a="1"/>
  <c r="W73" i="110" s="1"/>
  <c r="AH75" i="110" a="1"/>
  <c r="AH75" i="110" s="1"/>
  <c r="AC76" i="110" a="1"/>
  <c r="AC76" i="110" s="1"/>
  <c r="Y52" i="108"/>
  <c r="AE52" i="108"/>
  <c r="Y53" i="108"/>
  <c r="AE53" i="108"/>
  <c r="Y54" i="108"/>
  <c r="AE54" i="108"/>
  <c r="Y55" i="108"/>
  <c r="U73" i="108" a="1"/>
  <c r="U73" i="108" s="1"/>
  <c r="W73" i="108" a="1"/>
  <c r="W73" i="108" s="1"/>
  <c r="Y73" i="108" a="1"/>
  <c r="Y73" i="108" s="1"/>
  <c r="AA73" i="108" a="1"/>
  <c r="AA73" i="108" s="1"/>
  <c r="AC73" i="108" a="1"/>
  <c r="AC73" i="108" s="1"/>
  <c r="AE73" i="108" a="1"/>
  <c r="AE73" i="108" s="1"/>
  <c r="AG73" i="108" a="1"/>
  <c r="AG73" i="108" s="1"/>
  <c r="AI73" i="108" a="1"/>
  <c r="AI73" i="108" s="1"/>
  <c r="V76" i="108" a="1"/>
  <c r="V76" i="108" s="1"/>
  <c r="X76" i="108" a="1"/>
  <c r="X76" i="108" s="1"/>
  <c r="Z76" i="108" a="1"/>
  <c r="Z76" i="108" s="1"/>
  <c r="AB76" i="108" a="1"/>
  <c r="AB76" i="108" s="1"/>
  <c r="AD76" i="108" a="1"/>
  <c r="AD76" i="108" s="1"/>
  <c r="AF76" i="108" a="1"/>
  <c r="AF76" i="108" s="1"/>
  <c r="AH76" i="108" a="1"/>
  <c r="AH76" i="108" s="1"/>
  <c r="U87" i="108" a="1"/>
  <c r="U87" i="108" s="1"/>
  <c r="W87" i="108" a="1"/>
  <c r="W87" i="108" s="1"/>
  <c r="Y87" i="108" a="1"/>
  <c r="Y87" i="108" s="1"/>
  <c r="AA87" i="108" a="1"/>
  <c r="AA87" i="108" s="1"/>
  <c r="AC87" i="108" a="1"/>
  <c r="AC87" i="108" s="1"/>
  <c r="AE87" i="108" a="1"/>
  <c r="AE87" i="108" s="1"/>
  <c r="AG87" i="108" a="1"/>
  <c r="AG87" i="108" s="1"/>
  <c r="AI87" i="108" a="1"/>
  <c r="AI87" i="108" s="1"/>
  <c r="U88" i="108" a="1"/>
  <c r="U88" i="108" s="1"/>
  <c r="W88" i="108" a="1"/>
  <c r="W88" i="108" s="1"/>
  <c r="Y88" i="108" a="1"/>
  <c r="Y88" i="108" s="1"/>
  <c r="AA88" i="108" a="1"/>
  <c r="AA88" i="108" s="1"/>
  <c r="AC88" i="108" a="1"/>
  <c r="AC88" i="108" s="1"/>
  <c r="AE88" i="108" a="1"/>
  <c r="AE88" i="108" s="1"/>
  <c r="AG88" i="108" a="1"/>
  <c r="AG88" i="108" s="1"/>
  <c r="AI88" i="108" a="1"/>
  <c r="AI88" i="108" s="1"/>
  <c r="U89" i="108" a="1"/>
  <c r="U89" i="108" s="1"/>
  <c r="W89" i="108" a="1"/>
  <c r="W89" i="108" s="1"/>
  <c r="Y89" i="108" a="1"/>
  <c r="Y89" i="108" s="1"/>
  <c r="AA89" i="108" a="1"/>
  <c r="AA89" i="108" s="1"/>
  <c r="AC89" i="108" a="1"/>
  <c r="AC89" i="108" s="1"/>
  <c r="AE89" i="108" a="1"/>
  <c r="AE89" i="108" s="1"/>
  <c r="AG89" i="108" a="1"/>
  <c r="AG89" i="108" s="1"/>
  <c r="AI89" i="108" a="1"/>
  <c r="AI89" i="108" s="1"/>
  <c r="U90" i="108" a="1"/>
  <c r="U90" i="108" s="1"/>
  <c r="W90" i="108" a="1"/>
  <c r="W90" i="108" s="1"/>
  <c r="Y90" i="108" a="1"/>
  <c r="Y90" i="108" s="1"/>
  <c r="AA90" i="108" a="1"/>
  <c r="AA90" i="108" s="1"/>
  <c r="AC90" i="108" a="1"/>
  <c r="AC90" i="108" s="1"/>
  <c r="AE90" i="108" a="1"/>
  <c r="AE90" i="108" s="1"/>
  <c r="AG90" i="108" a="1"/>
  <c r="AG90" i="108" s="1"/>
  <c r="AF13" i="110"/>
  <c r="AA12" i="110"/>
  <c r="AB11" i="110"/>
  <c r="X10" i="110"/>
  <c r="V10" i="110"/>
  <c r="V11" i="110"/>
  <c r="AH12" i="110"/>
  <c r="AI13" i="110"/>
  <c r="Q48" i="110"/>
  <c r="O48" i="110"/>
  <c r="J48" i="110"/>
  <c r="D48" i="110"/>
  <c r="P47" i="110"/>
  <c r="K47" i="110"/>
  <c r="F47" i="110"/>
  <c r="R46" i="110"/>
  <c r="L46" i="110"/>
  <c r="G46" i="110"/>
  <c r="N45" i="110"/>
  <c r="H45" i="110"/>
  <c r="C45" i="110"/>
  <c r="R48" i="110"/>
  <c r="K48" i="110"/>
  <c r="C48" i="110"/>
  <c r="R47" i="110"/>
  <c r="J47" i="110"/>
  <c r="C47" i="110"/>
  <c r="P46" i="110"/>
  <c r="J46" i="110"/>
  <c r="C46" i="110"/>
  <c r="P45" i="110"/>
  <c r="J45" i="110"/>
  <c r="F45" i="110"/>
  <c r="O45" i="110"/>
  <c r="AD45" i="110"/>
  <c r="F46" i="110"/>
  <c r="O46" i="110"/>
  <c r="AD46" i="110"/>
  <c r="G47" i="110"/>
  <c r="O47" i="110"/>
  <c r="AD47" i="110"/>
  <c r="G48" i="110"/>
  <c r="P48" i="110"/>
  <c r="J55" i="110"/>
  <c r="M54" i="110"/>
  <c r="P53" i="110"/>
  <c r="E53" i="110"/>
  <c r="J52" i="110"/>
  <c r="H55" i="110"/>
  <c r="R54" i="110"/>
  <c r="E54" i="110"/>
  <c r="M53" i="110"/>
  <c r="M52" i="110"/>
  <c r="R52" i="110"/>
  <c r="H53" i="110"/>
  <c r="P55" i="110"/>
  <c r="Q62" i="110"/>
  <c r="R62" i="110"/>
  <c r="L62" i="110"/>
  <c r="G62" i="110"/>
  <c r="O61" i="110"/>
  <c r="J61" i="110"/>
  <c r="D61" i="110"/>
  <c r="P60" i="110"/>
  <c r="K60" i="110"/>
  <c r="F60" i="110"/>
  <c r="N59" i="110"/>
  <c r="H59" i="110"/>
  <c r="C59" i="110"/>
  <c r="P62" i="110"/>
  <c r="J62" i="110"/>
  <c r="C62" i="110"/>
  <c r="N61" i="110"/>
  <c r="G61" i="110"/>
  <c r="R60" i="110"/>
  <c r="J60" i="110"/>
  <c r="C60" i="110"/>
  <c r="O59" i="110"/>
  <c r="G59" i="110"/>
  <c r="D59" i="110"/>
  <c r="L59" i="110"/>
  <c r="D60" i="110"/>
  <c r="N60" i="110"/>
  <c r="F61" i="110"/>
  <c r="P61" i="110"/>
  <c r="F62" i="110"/>
  <c r="O62" i="110"/>
  <c r="V66" i="110"/>
  <c r="AI66" i="110"/>
  <c r="AD67" i="110"/>
  <c r="AA68" i="110"/>
  <c r="X69" i="110"/>
  <c r="AJ69" i="110"/>
  <c r="AH71" i="110" a="1"/>
  <c r="AH71" i="110" s="1"/>
  <c r="AA73" i="110" a="1"/>
  <c r="AA73" i="110" s="1"/>
  <c r="AA74" i="110" a="1"/>
  <c r="AA74" i="110" s="1"/>
  <c r="AG76" i="110" a="1"/>
  <c r="AG76" i="110" s="1"/>
  <c r="P83" i="110" a="1"/>
  <c r="P83" i="110" s="1"/>
  <c r="L83" i="110" a="1"/>
  <c r="L83" i="110" s="1"/>
  <c r="I83" i="110" a="1"/>
  <c r="I83" i="110" s="1"/>
  <c r="N82" i="110" a="1"/>
  <c r="N82" i="110" s="1"/>
  <c r="K82" i="110" a="1"/>
  <c r="K82" i="110" s="1"/>
  <c r="G82" i="110" a="1"/>
  <c r="G82" i="110" s="1"/>
  <c r="D82" i="110" a="1"/>
  <c r="D82" i="110" s="1"/>
  <c r="P81" i="110" a="1"/>
  <c r="P81" i="110" s="1"/>
  <c r="L81" i="110" a="1"/>
  <c r="L81" i="110" s="1"/>
  <c r="I81" i="110" a="1"/>
  <c r="I81" i="110" s="1"/>
  <c r="N80" i="110" a="1"/>
  <c r="N80" i="110" s="1"/>
  <c r="K80" i="110" a="1"/>
  <c r="K80" i="110" s="1"/>
  <c r="G80" i="110" a="1"/>
  <c r="G80" i="110" s="1"/>
  <c r="D80" i="110" a="1"/>
  <c r="D80" i="110" s="1"/>
  <c r="F80" i="110" a="1"/>
  <c r="F80" i="110" s="1"/>
  <c r="P80" i="110" a="1"/>
  <c r="P80" i="110" s="1"/>
  <c r="F81" i="110" a="1"/>
  <c r="F81" i="110" s="1"/>
  <c r="K81" i="110" a="1"/>
  <c r="K81" i="110" s="1"/>
  <c r="O81" i="110" a="1"/>
  <c r="O81" i="110" s="1"/>
  <c r="J82" i="110" a="1"/>
  <c r="J82" i="110" s="1"/>
  <c r="O82" i="110" a="1"/>
  <c r="O82" i="110" s="1"/>
  <c r="E83" i="110" a="1"/>
  <c r="E83" i="110" s="1"/>
  <c r="J83" i="110" a="1"/>
  <c r="J83" i="110" s="1"/>
  <c r="N83" i="110" a="1"/>
  <c r="N83" i="110" s="1"/>
  <c r="R83" i="110" a="1"/>
  <c r="R83" i="110" s="1"/>
  <c r="AH85" i="110" a="1"/>
  <c r="AH85" i="110" s="1"/>
  <c r="X87" i="110" a="1"/>
  <c r="X87" i="110" s="1"/>
  <c r="AD87" i="110" a="1"/>
  <c r="AD87" i="110" s="1"/>
  <c r="AI87" i="110" a="1"/>
  <c r="AI87" i="110" s="1"/>
  <c r="W88" i="110" a="1"/>
  <c r="W88" i="110" s="1"/>
  <c r="AC88" i="110" a="1"/>
  <c r="AC88" i="110" s="1"/>
  <c r="AH88" i="110" a="1"/>
  <c r="AH88" i="110" s="1"/>
  <c r="AB89" i="110" a="1"/>
  <c r="AB89" i="110" s="1"/>
  <c r="AI89" i="110" a="1"/>
  <c r="AI89" i="110" s="1"/>
  <c r="AE90" i="110" a="1"/>
  <c r="AE90" i="110" s="1"/>
  <c r="Z90" i="110" a="1"/>
  <c r="Z90" i="110" s="1"/>
  <c r="AG90" i="110" a="1"/>
  <c r="AG90" i="110" s="1"/>
  <c r="I24" i="110"/>
  <c r="P24" i="110"/>
  <c r="I25" i="110"/>
  <c r="P25" i="110"/>
  <c r="I26" i="110"/>
  <c r="P26" i="110"/>
  <c r="I27" i="110"/>
  <c r="Q34" i="110"/>
  <c r="O34" i="110"/>
  <c r="J34" i="110"/>
  <c r="D34" i="110"/>
  <c r="N33" i="110"/>
  <c r="H33" i="110"/>
  <c r="G31" i="110"/>
  <c r="L31" i="110"/>
  <c r="R31" i="110"/>
  <c r="G32" i="110"/>
  <c r="L32" i="110"/>
  <c r="R32" i="110"/>
  <c r="F33" i="110"/>
  <c r="L33" i="110"/>
  <c r="G34" i="110"/>
  <c r="N34" i="110"/>
  <c r="AF61" i="110"/>
  <c r="U59" i="110"/>
  <c r="N76" i="110"/>
  <c r="G76" i="110"/>
  <c r="N75" i="110"/>
  <c r="G75" i="110"/>
  <c r="N74" i="110"/>
  <c r="G74" i="110"/>
  <c r="O73" i="110"/>
  <c r="J73" i="110"/>
  <c r="D73" i="110"/>
  <c r="P71" i="110" a="1"/>
  <c r="P71" i="110" s="1"/>
  <c r="C73" i="110"/>
  <c r="K73" i="110"/>
  <c r="R73" i="110"/>
  <c r="F74" i="110"/>
  <c r="P74" i="110"/>
  <c r="C75" i="110"/>
  <c r="L75" i="110"/>
  <c r="K76" i="110"/>
  <c r="E80" i="110" a="1"/>
  <c r="E80" i="110" s="1"/>
  <c r="I80" i="110" a="1"/>
  <c r="I80" i="110" s="1"/>
  <c r="M80" i="110" a="1"/>
  <c r="M80" i="110" s="1"/>
  <c r="R80" i="110" a="1"/>
  <c r="R80" i="110" s="1"/>
  <c r="D81" i="110" a="1"/>
  <c r="D81" i="110" s="1"/>
  <c r="H81" i="110" a="1"/>
  <c r="H81" i="110" s="1"/>
  <c r="M81" i="110" a="1"/>
  <c r="M81" i="110" s="1"/>
  <c r="C82" i="110" a="1"/>
  <c r="C82" i="110" s="1"/>
  <c r="H82" i="110" a="1"/>
  <c r="H82" i="110" s="1"/>
  <c r="L82" i="110" a="1"/>
  <c r="L82" i="110" s="1"/>
  <c r="Q82" i="110" a="1"/>
  <c r="Q82" i="110" s="1"/>
  <c r="C83" i="110" a="1"/>
  <c r="C83" i="110" s="1"/>
  <c r="G83" i="110" a="1"/>
  <c r="G83" i="110" s="1"/>
  <c r="Q83" i="110" a="1"/>
  <c r="Q83" i="110" s="1"/>
  <c r="U87" i="110" a="1"/>
  <c r="U87" i="110" s="1"/>
  <c r="AG87" i="110" a="1"/>
  <c r="AG87" i="110" s="1"/>
  <c r="Z88" i="110" a="1"/>
  <c r="Z88" i="110" s="1"/>
  <c r="AF88" i="110" a="1"/>
  <c r="AF88" i="110" s="1"/>
  <c r="X89" i="110" a="1"/>
  <c r="X89" i="110" s="1"/>
  <c r="J80" i="110" a="1"/>
  <c r="J80" i="110" s="1"/>
  <c r="O80" i="110" a="1"/>
  <c r="O80" i="110" s="1"/>
  <c r="E81" i="110" a="1"/>
  <c r="E81" i="110" s="1"/>
  <c r="J81" i="110" a="1"/>
  <c r="J81" i="110" s="1"/>
  <c r="N81" i="110" a="1"/>
  <c r="N81" i="110" s="1"/>
  <c r="R81" i="110" a="1"/>
  <c r="R81" i="110" s="1"/>
  <c r="E82" i="110" a="1"/>
  <c r="E82" i="110" s="1"/>
  <c r="I82" i="110" a="1"/>
  <c r="I82" i="110" s="1"/>
  <c r="M82" i="110" a="1"/>
  <c r="M82" i="110" s="1"/>
  <c r="R82" i="110" a="1"/>
  <c r="R82" i="110" s="1"/>
  <c r="D83" i="110" a="1"/>
  <c r="D83" i="110" s="1"/>
  <c r="H83" i="110" a="1"/>
  <c r="H83" i="110" s="1"/>
  <c r="M83" i="110" a="1"/>
  <c r="M83" i="110" s="1"/>
  <c r="AH90" i="110" a="1"/>
  <c r="AH90" i="110" s="1"/>
  <c r="AA90" i="110" a="1"/>
  <c r="AA90" i="110" s="1"/>
  <c r="X90" i="110" a="1"/>
  <c r="X90" i="110" s="1"/>
  <c r="U90" i="110" a="1"/>
  <c r="U90" i="110" s="1"/>
  <c r="AH89" i="110" a="1"/>
  <c r="AH89" i="110" s="1"/>
  <c r="AA89" i="110" a="1"/>
  <c r="AA89" i="110" s="1"/>
  <c r="AJ90" i="110" a="1"/>
  <c r="AJ90" i="110" s="1"/>
  <c r="AF90" i="110" a="1"/>
  <c r="AF90" i="110" s="1"/>
  <c r="AB90" i="110" a="1"/>
  <c r="AB90" i="110" s="1"/>
  <c r="W90" i="110" a="1"/>
  <c r="W90" i="110" s="1"/>
  <c r="AG89" i="110" a="1"/>
  <c r="AG89" i="110" s="1"/>
  <c r="AC89" i="110" a="1"/>
  <c r="AC89" i="110" s="1"/>
  <c r="Y89" i="110" a="1"/>
  <c r="Y89" i="110" s="1"/>
  <c r="V89" i="110" a="1"/>
  <c r="V89" i="110" s="1"/>
  <c r="AE88" i="110" a="1"/>
  <c r="AE88" i="110" s="1"/>
  <c r="AB88" i="110" a="1"/>
  <c r="AB88" i="110" s="1"/>
  <c r="Y88" i="110" a="1"/>
  <c r="Y88" i="110" s="1"/>
  <c r="V88" i="110" a="1"/>
  <c r="V88" i="110" s="1"/>
  <c r="AE87" i="110" a="1"/>
  <c r="AE87" i="110" s="1"/>
  <c r="AB87" i="110" a="1"/>
  <c r="AB87" i="110" s="1"/>
  <c r="Y87" i="110" a="1"/>
  <c r="Y87" i="110" s="1"/>
  <c r="V87" i="110" a="1"/>
  <c r="V87" i="110" s="1"/>
  <c r="AI90" i="110" a="1"/>
  <c r="AI90" i="110" s="1"/>
  <c r="AD90" i="110" a="1"/>
  <c r="AD90" i="110" s="1"/>
  <c r="Y90" i="110" a="1"/>
  <c r="Y90" i="110" s="1"/>
  <c r="AJ89" i="110" a="1"/>
  <c r="AJ89" i="110" s="1"/>
  <c r="AE89" i="110" a="1"/>
  <c r="AE89" i="110" s="1"/>
  <c r="Z89" i="110" a="1"/>
  <c r="Z89" i="110" s="1"/>
  <c r="U89" i="110" a="1"/>
  <c r="U89" i="110" s="1"/>
  <c r="AI88" i="110" a="1"/>
  <c r="AI88" i="110" s="1"/>
  <c r="AJ87" i="110" a="1"/>
  <c r="AJ87" i="110" s="1"/>
  <c r="AF87" i="110" a="1"/>
  <c r="AF87" i="110" s="1"/>
  <c r="AA87" i="110" a="1"/>
  <c r="AA87" i="110" s="1"/>
  <c r="W87" i="110" a="1"/>
  <c r="W87" i="110" s="1"/>
  <c r="AC87" i="110" a="1"/>
  <c r="AC87" i="110" s="1"/>
  <c r="AH87" i="110" a="1"/>
  <c r="AH87" i="110" s="1"/>
  <c r="U88" i="110" a="1"/>
  <c r="U88" i="110" s="1"/>
  <c r="AA88" i="110" a="1"/>
  <c r="AA88" i="110" s="1"/>
  <c r="AG88" i="110" a="1"/>
  <c r="AG88" i="110" s="1"/>
  <c r="V90" i="110" a="1"/>
  <c r="V90" i="110" s="1"/>
  <c r="AC90" i="110" a="1"/>
  <c r="AC90" i="110" s="1"/>
  <c r="AA38" i="110"/>
  <c r="X39" i="110"/>
  <c r="AI39" i="110"/>
  <c r="V40" i="110"/>
  <c r="AF40" i="110"/>
  <c r="Z52" i="110"/>
  <c r="AJ53" i="110"/>
  <c r="AE54" i="110"/>
  <c r="Z55" i="110"/>
  <c r="AF83" i="110" a="1"/>
  <c r="AF83" i="110" s="1"/>
  <c r="AC83" i="110" a="1"/>
  <c r="AC83" i="110" s="1"/>
  <c r="W80" i="110" a="1"/>
  <c r="W80" i="110" s="1"/>
  <c r="Z80" i="110" a="1"/>
  <c r="Z80" i="110" s="1"/>
  <c r="AG80" i="110" a="1"/>
  <c r="AG80" i="110" s="1"/>
  <c r="AJ80" i="110" a="1"/>
  <c r="AJ80" i="110" s="1"/>
  <c r="U81" i="110" a="1"/>
  <c r="U81" i="110" s="1"/>
  <c r="X81" i="110" a="1"/>
  <c r="X81" i="110" s="1"/>
  <c r="AB81" i="110" a="1"/>
  <c r="AB81" i="110" s="1"/>
  <c r="AE81" i="110" a="1"/>
  <c r="AE81" i="110" s="1"/>
  <c r="AI81" i="110" a="1"/>
  <c r="AI81" i="110" s="1"/>
  <c r="W82" i="110" a="1"/>
  <c r="W82" i="110" s="1"/>
  <c r="Z82" i="110" a="1"/>
  <c r="Z82" i="110" s="1"/>
  <c r="AG82" i="110" a="1"/>
  <c r="AG82" i="110" s="1"/>
  <c r="AJ82" i="110" a="1"/>
  <c r="AJ82" i="110" s="1"/>
  <c r="U83" i="110" a="1"/>
  <c r="U83" i="110" s="1"/>
  <c r="X83" i="110" a="1"/>
  <c r="X83" i="110" s="1"/>
  <c r="AB83" i="110" a="1"/>
  <c r="AB83" i="110" s="1"/>
  <c r="AG83" i="110" a="1"/>
  <c r="AG83" i="110" s="1"/>
  <c r="R90" i="110"/>
  <c r="P90" i="110" a="1"/>
  <c r="P90" i="110" s="1"/>
  <c r="M90" i="110" a="1"/>
  <c r="M90" i="110" s="1"/>
  <c r="H90" i="110" a="1"/>
  <c r="H90" i="110" s="1"/>
  <c r="E90" i="110" a="1"/>
  <c r="E90" i="110" s="1"/>
  <c r="Q90" i="110" a="1"/>
  <c r="Q90" i="110" s="1"/>
  <c r="N90" i="110" a="1"/>
  <c r="N90" i="110" s="1"/>
  <c r="J90" i="110" a="1"/>
  <c r="J90" i="110" s="1"/>
  <c r="C90" i="110" a="1"/>
  <c r="C90" i="110" s="1"/>
  <c r="N89" i="110" a="1"/>
  <c r="N89" i="110" s="1"/>
  <c r="K89" i="110" a="1"/>
  <c r="K89" i="110" s="1"/>
  <c r="F89" i="110" a="1"/>
  <c r="F89" i="110" s="1"/>
  <c r="C89" i="110" a="1"/>
  <c r="C89" i="110" s="1"/>
  <c r="N88" i="110" a="1"/>
  <c r="N88" i="110" s="1"/>
  <c r="K88" i="110" a="1"/>
  <c r="K88" i="110" s="1"/>
  <c r="F88" i="110" a="1"/>
  <c r="F88" i="110" s="1"/>
  <c r="C88" i="110" a="1"/>
  <c r="C88" i="110" s="1"/>
  <c r="N87" i="110" a="1"/>
  <c r="N87" i="110" s="1"/>
  <c r="K87" i="110" a="1"/>
  <c r="K87" i="110" s="1"/>
  <c r="F87" i="110" a="1"/>
  <c r="F87" i="110" s="1"/>
  <c r="C87" i="110" a="1"/>
  <c r="C87" i="110" s="1"/>
  <c r="P85" i="110" a="1"/>
  <c r="P85" i="110" s="1"/>
  <c r="J87" i="110" a="1"/>
  <c r="J87" i="110" s="1"/>
  <c r="M87" i="110" a="1"/>
  <c r="M87" i="110" s="1"/>
  <c r="Q87" i="110" a="1"/>
  <c r="Q87" i="110" s="1"/>
  <c r="E88" i="110" a="1"/>
  <c r="E88" i="110" s="1"/>
  <c r="I88" i="110" a="1"/>
  <c r="I88" i="110" s="1"/>
  <c r="P88" i="110" a="1"/>
  <c r="P88" i="110" s="1"/>
  <c r="H89" i="110" a="1"/>
  <c r="H89" i="110" s="1"/>
  <c r="L89" i="110" a="1"/>
  <c r="L89" i="110" s="1"/>
  <c r="O89" i="110" a="1"/>
  <c r="O89" i="110" s="1"/>
  <c r="G90" i="110" a="1"/>
  <c r="G90" i="110" s="1"/>
  <c r="L90" i="110" a="1"/>
  <c r="L90" i="110" s="1"/>
  <c r="U97" i="110" a="1"/>
  <c r="U97" i="110" s="1"/>
  <c r="Z97" i="110" a="1"/>
  <c r="Z97" i="110" s="1"/>
  <c r="O102" i="110"/>
  <c r="P104" i="110" a="1"/>
  <c r="P104" i="110" s="1"/>
  <c r="L104" i="110" a="1"/>
  <c r="L104" i="110" s="1"/>
  <c r="H104" i="110" a="1"/>
  <c r="H104" i="110" s="1"/>
  <c r="D104" i="110" a="1"/>
  <c r="D104" i="110" s="1"/>
  <c r="P103" i="110" a="1"/>
  <c r="P103" i="110" s="1"/>
  <c r="L103" i="110" a="1"/>
  <c r="L103" i="110" s="1"/>
  <c r="H103" i="110" a="1"/>
  <c r="H103" i="110" s="1"/>
  <c r="D103" i="110" a="1"/>
  <c r="D103" i="110" s="1"/>
  <c r="P102" i="110" a="1"/>
  <c r="P102" i="110" s="1"/>
  <c r="L102" i="110" a="1"/>
  <c r="L102" i="110" s="1"/>
  <c r="H102" i="110" a="1"/>
  <c r="H102" i="110" s="1"/>
  <c r="D102" i="110" a="1"/>
  <c r="D102" i="110" s="1"/>
  <c r="P101" i="110" a="1"/>
  <c r="P101" i="110" s="1"/>
  <c r="L101" i="110" a="1"/>
  <c r="L101" i="110" s="1"/>
  <c r="H101" i="110" a="1"/>
  <c r="H101" i="110" s="1"/>
  <c r="D101" i="110" a="1"/>
  <c r="D101" i="110" s="1"/>
  <c r="P99" i="110" a="1"/>
  <c r="P99" i="110" s="1"/>
  <c r="C101" i="110" a="1"/>
  <c r="C101" i="110" s="1"/>
  <c r="I101" i="110" a="1"/>
  <c r="I101" i="110" s="1"/>
  <c r="N101" i="110" a="1"/>
  <c r="N101" i="110" s="1"/>
  <c r="C102" i="110" a="1"/>
  <c r="C102" i="110" s="1"/>
  <c r="I102" i="110" a="1"/>
  <c r="I102" i="110" s="1"/>
  <c r="N102" i="110" a="1"/>
  <c r="N102" i="110" s="1"/>
  <c r="C103" i="110" a="1"/>
  <c r="C103" i="110" s="1"/>
  <c r="I103" i="110" a="1"/>
  <c r="I103" i="110" s="1"/>
  <c r="N103" i="110" a="1"/>
  <c r="N103" i="110" s="1"/>
  <c r="C104" i="110" a="1"/>
  <c r="C104" i="110" s="1"/>
  <c r="I104" i="110" a="1"/>
  <c r="I104" i="110" s="1"/>
  <c r="N104" i="110" a="1"/>
  <c r="N104" i="110" s="1"/>
  <c r="E103" i="110" a="1"/>
  <c r="E103" i="110" s="1"/>
  <c r="J103" i="110" a="1"/>
  <c r="J103" i="110" s="1"/>
  <c r="O103" i="110" a="1"/>
  <c r="O103" i="110" s="1"/>
  <c r="E104" i="110" a="1"/>
  <c r="E104" i="110" s="1"/>
  <c r="J104" i="110" a="1"/>
  <c r="J104" i="110" s="1"/>
  <c r="O104" i="110" a="1"/>
  <c r="O104" i="110" s="1"/>
  <c r="AC94" i="110"/>
  <c r="AI97" i="110" a="1"/>
  <c r="AI97" i="110" s="1"/>
  <c r="AE97" i="110" a="1"/>
  <c r="AE97" i="110" s="1"/>
  <c r="AA97" i="110" a="1"/>
  <c r="AA97" i="110" s="1"/>
  <c r="W97" i="110" a="1"/>
  <c r="W97" i="110" s="1"/>
  <c r="AI96" i="110" a="1"/>
  <c r="AI96" i="110" s="1"/>
  <c r="AE96" i="110" a="1"/>
  <c r="AE96" i="110" s="1"/>
  <c r="AA96" i="110" a="1"/>
  <c r="AA96" i="110" s="1"/>
  <c r="W96" i="110" a="1"/>
  <c r="W96" i="110" s="1"/>
  <c r="AI95" i="110" a="1"/>
  <c r="AI95" i="110" s="1"/>
  <c r="AE95" i="110" a="1"/>
  <c r="AE95" i="110" s="1"/>
  <c r="AA95" i="110" a="1"/>
  <c r="AA95" i="110" s="1"/>
  <c r="W95" i="110" a="1"/>
  <c r="W95" i="110" s="1"/>
  <c r="AI94" i="110" a="1"/>
  <c r="AI94" i="110" s="1"/>
  <c r="AE94" i="110" a="1"/>
  <c r="AE94" i="110" s="1"/>
  <c r="AA94" i="110" a="1"/>
  <c r="AA94" i="110" s="1"/>
  <c r="W94" i="110" a="1"/>
  <c r="W94" i="110" s="1"/>
  <c r="AH92" i="110" a="1"/>
  <c r="AH92" i="110" s="1"/>
  <c r="U94" i="110" a="1"/>
  <c r="U94" i="110" s="1"/>
  <c r="Z94" i="110" a="1"/>
  <c r="Z94" i="110" s="1"/>
  <c r="AF94" i="110" a="1"/>
  <c r="AF94" i="110" s="1"/>
  <c r="X95" i="110" a="1"/>
  <c r="X95" i="110" s="1"/>
  <c r="AC95" i="110" a="1"/>
  <c r="AC95" i="110" s="1"/>
  <c r="AH95" i="110" a="1"/>
  <c r="AH95" i="110" s="1"/>
  <c r="X96" i="110" a="1"/>
  <c r="X96" i="110" s="1"/>
  <c r="AC96" i="110" a="1"/>
  <c r="AC96" i="110" s="1"/>
  <c r="AH96" i="110" a="1"/>
  <c r="AH96" i="110" s="1"/>
  <c r="X97" i="110" a="1"/>
  <c r="X97" i="110" s="1"/>
  <c r="AC97" i="110" a="1"/>
  <c r="AC97" i="110" s="1"/>
  <c r="AH97" i="110" a="1"/>
  <c r="AH97" i="110" s="1"/>
  <c r="AH104" i="110" a="1"/>
  <c r="AH104" i="110" s="1"/>
  <c r="AD104" i="110" a="1"/>
  <c r="AD104" i="110" s="1"/>
  <c r="Z104" i="110" a="1"/>
  <c r="Z104" i="110" s="1"/>
  <c r="V104" i="110" a="1"/>
  <c r="V104" i="110" s="1"/>
  <c r="AH103" i="110" a="1"/>
  <c r="AH103" i="110" s="1"/>
  <c r="AD103" i="110" a="1"/>
  <c r="AD103" i="110" s="1"/>
  <c r="Z103" i="110" a="1"/>
  <c r="Z103" i="110" s="1"/>
  <c r="V103" i="110" a="1"/>
  <c r="V103" i="110" s="1"/>
  <c r="AH102" i="110" a="1"/>
  <c r="AH102" i="110" s="1"/>
  <c r="AD102" i="110" a="1"/>
  <c r="AD102" i="110" s="1"/>
  <c r="Z102" i="110" a="1"/>
  <c r="Z102" i="110" s="1"/>
  <c r="V102" i="110" a="1"/>
  <c r="V102" i="110" s="1"/>
  <c r="AH101" i="110" a="1"/>
  <c r="AH101" i="110" s="1"/>
  <c r="AD101" i="110" a="1"/>
  <c r="AD101" i="110" s="1"/>
  <c r="Z101" i="110" a="1"/>
  <c r="Z101" i="110" s="1"/>
  <c r="V101" i="110" a="1"/>
  <c r="V101" i="110" s="1"/>
  <c r="F101" i="110" a="1"/>
  <c r="F101" i="110" s="1"/>
  <c r="K101" i="110" a="1"/>
  <c r="K101" i="110" s="1"/>
  <c r="Q101" i="110" a="1"/>
  <c r="Q101" i="110" s="1"/>
  <c r="X101" i="110" a="1"/>
  <c r="X101" i="110" s="1"/>
  <c r="AC101" i="110" a="1"/>
  <c r="AC101" i="110" s="1"/>
  <c r="AI101" i="110" a="1"/>
  <c r="AI101" i="110" s="1"/>
  <c r="F102" i="110" a="1"/>
  <c r="F102" i="110" s="1"/>
  <c r="K102" i="110" a="1"/>
  <c r="K102" i="110" s="1"/>
  <c r="Q102" i="110" a="1"/>
  <c r="Q102" i="110" s="1"/>
  <c r="X102" i="110" a="1"/>
  <c r="X102" i="110" s="1"/>
  <c r="AC102" i="110" a="1"/>
  <c r="AC102" i="110" s="1"/>
  <c r="AI102" i="110" a="1"/>
  <c r="AI102" i="110" s="1"/>
  <c r="F103" i="110" a="1"/>
  <c r="F103" i="110" s="1"/>
  <c r="K103" i="110" a="1"/>
  <c r="K103" i="110" s="1"/>
  <c r="Q103" i="110" a="1"/>
  <c r="Q103" i="110" s="1"/>
  <c r="X103" i="110" a="1"/>
  <c r="X103" i="110" s="1"/>
  <c r="AC103" i="110" a="1"/>
  <c r="AC103" i="110" s="1"/>
  <c r="AI103" i="110" a="1"/>
  <c r="AI103" i="110" s="1"/>
  <c r="F104" i="110" a="1"/>
  <c r="F104" i="110" s="1"/>
  <c r="K104" i="110" a="1"/>
  <c r="K104" i="110" s="1"/>
  <c r="Q104" i="110" a="1"/>
  <c r="Q104" i="110" s="1"/>
  <c r="X104" i="110" a="1"/>
  <c r="X104" i="110" s="1"/>
  <c r="AC104" i="110" a="1"/>
  <c r="AC104" i="110" s="1"/>
  <c r="AI104" i="110" a="1"/>
  <c r="AI104" i="110" s="1"/>
  <c r="V94" i="110" a="1"/>
  <c r="V94" i="110" s="1"/>
  <c r="AB94" i="110" a="1"/>
  <c r="AB94" i="110" s="1"/>
  <c r="AG94" i="110" a="1"/>
  <c r="AG94" i="110" s="1"/>
  <c r="Y95" i="110" a="1"/>
  <c r="Y95" i="110" s="1"/>
  <c r="AD95" i="110" a="1"/>
  <c r="AD95" i="110" s="1"/>
  <c r="AJ95" i="110" a="1"/>
  <c r="AJ95" i="110" s="1"/>
  <c r="Y96" i="110" a="1"/>
  <c r="Y96" i="110" s="1"/>
  <c r="AD96" i="110" a="1"/>
  <c r="AD96" i="110" s="1"/>
  <c r="AJ96" i="110" a="1"/>
  <c r="AJ96" i="110" s="1"/>
  <c r="Y97" i="110" a="1"/>
  <c r="Y97" i="110" s="1"/>
  <c r="AD97" i="110" a="1"/>
  <c r="AD97" i="110" s="1"/>
  <c r="AJ97" i="110" a="1"/>
  <c r="AJ97" i="110" s="1"/>
  <c r="AH99" i="110" a="1"/>
  <c r="AH99" i="110" s="1"/>
  <c r="G101" i="110" a="1"/>
  <c r="G101" i="110" s="1"/>
  <c r="M101" i="110" a="1"/>
  <c r="M101" i="110" s="1"/>
  <c r="R101" i="110" a="1"/>
  <c r="R101" i="110" s="1"/>
  <c r="Y101" i="110" a="1"/>
  <c r="Y101" i="110" s="1"/>
  <c r="AE101" i="110" a="1"/>
  <c r="AE101" i="110" s="1"/>
  <c r="AJ101" i="110" a="1"/>
  <c r="AJ101" i="110" s="1"/>
  <c r="G102" i="110" a="1"/>
  <c r="G102" i="110" s="1"/>
  <c r="M102" i="110" a="1"/>
  <c r="M102" i="110" s="1"/>
  <c r="R102" i="110" a="1"/>
  <c r="R102" i="110" s="1"/>
  <c r="Y102" i="110" a="1"/>
  <c r="Y102" i="110" s="1"/>
  <c r="AE102" i="110" a="1"/>
  <c r="AE102" i="110" s="1"/>
  <c r="AJ102" i="110" a="1"/>
  <c r="AJ102" i="110" s="1"/>
  <c r="G103" i="110" a="1"/>
  <c r="G103" i="110" s="1"/>
  <c r="M103" i="110" a="1"/>
  <c r="M103" i="110" s="1"/>
  <c r="R103" i="110" a="1"/>
  <c r="R103" i="110" s="1"/>
  <c r="Y103" i="110" a="1"/>
  <c r="Y103" i="110" s="1"/>
  <c r="AE103" i="110" a="1"/>
  <c r="AE103" i="110" s="1"/>
  <c r="AJ103" i="110" a="1"/>
  <c r="AJ103" i="110" s="1"/>
  <c r="G104" i="110" a="1"/>
  <c r="G104" i="110" s="1"/>
  <c r="M104" i="110" a="1"/>
  <c r="M104" i="110" s="1"/>
  <c r="R104" i="110" a="1"/>
  <c r="R104" i="110" s="1"/>
  <c r="Y104" i="110" a="1"/>
  <c r="Y104" i="110" s="1"/>
  <c r="AE104" i="110" a="1"/>
  <c r="AE104" i="110" s="1"/>
  <c r="AJ104" i="110" a="1"/>
  <c r="AJ104" i="110" s="1"/>
  <c r="G94" i="110" a="1"/>
  <c r="G94" i="110" s="1"/>
  <c r="J94" i="110" a="1"/>
  <c r="J94" i="110" s="1"/>
  <c r="O94" i="110" a="1"/>
  <c r="O94" i="110" s="1"/>
  <c r="R94" i="110" a="1"/>
  <c r="R94" i="110" s="1"/>
  <c r="D95" i="110" a="1"/>
  <c r="D95" i="110" s="1"/>
  <c r="I95" i="110" a="1"/>
  <c r="I95" i="110" s="1"/>
  <c r="L95" i="110" a="1"/>
  <c r="L95" i="110" s="1"/>
  <c r="Q95" i="110" a="1"/>
  <c r="Q95" i="110" s="1"/>
  <c r="E96" i="110" a="1"/>
  <c r="E96" i="110" s="1"/>
  <c r="I96" i="110" a="1"/>
  <c r="I96" i="110" s="1"/>
  <c r="M96" i="110" a="1"/>
  <c r="M96" i="110" s="1"/>
  <c r="Q96" i="110" a="1"/>
  <c r="Q96" i="110" s="1"/>
  <c r="E97" i="110" a="1"/>
  <c r="E97" i="110" s="1"/>
  <c r="I97" i="110" a="1"/>
  <c r="I97" i="110" s="1"/>
  <c r="M97" i="110" a="1"/>
  <c r="M97" i="110" s="1"/>
  <c r="Q97" i="110" a="1"/>
  <c r="Q97" i="110" s="1"/>
  <c r="E15" i="114"/>
  <c r="E17" i="114" s="1"/>
  <c r="H28" i="114"/>
  <c r="E21" i="114"/>
  <c r="G21" i="114" s="1"/>
  <c r="H44" i="82"/>
  <c r="H42" i="82"/>
  <c r="H40" i="82"/>
  <c r="H38" i="82"/>
  <c r="H36" i="82"/>
  <c r="D42" i="82"/>
  <c r="D41" i="82"/>
  <c r="H37" i="82"/>
  <c r="H41" i="82"/>
  <c r="D38" i="82"/>
  <c r="D37" i="82"/>
  <c r="D39" i="82"/>
  <c r="H35" i="82"/>
  <c r="D44" i="82"/>
  <c r="D35" i="82"/>
  <c r="H43" i="82"/>
  <c r="D40" i="82"/>
  <c r="D43" i="82"/>
  <c r="H39" i="82"/>
  <c r="D36" i="82"/>
  <c r="H14" i="82"/>
  <c r="G14" i="82" s="1"/>
  <c r="F14" i="82" s="1"/>
  <c r="H12" i="82"/>
  <c r="G12" i="82" s="1"/>
  <c r="F12" i="82" s="1"/>
  <c r="H10" i="82"/>
  <c r="G10" i="82" s="1"/>
  <c r="F10" i="82" s="1"/>
  <c r="H13" i="82"/>
  <c r="G13" i="82" s="1"/>
  <c r="F13" i="82" s="1"/>
  <c r="H15" i="82"/>
  <c r="G15" i="82" s="1"/>
  <c r="F15" i="82" s="1"/>
  <c r="H7" i="82"/>
  <c r="G7" i="82" s="1"/>
  <c r="F7" i="82" s="1"/>
  <c r="H11" i="82"/>
  <c r="G11" i="82" s="1"/>
  <c r="F11" i="82" s="1"/>
  <c r="H8" i="82"/>
  <c r="G8" i="82" s="1"/>
  <c r="F8" i="82" s="1"/>
  <c r="H9" i="82"/>
  <c r="G9" i="82" s="1"/>
  <c r="F9" i="82" s="1"/>
  <c r="H6" i="82"/>
  <c r="G6" i="82" s="1"/>
  <c r="F6" i="82" s="1"/>
  <c r="S114" i="79"/>
  <c r="S130" i="79"/>
  <c r="S146" i="79"/>
  <c r="D98" i="98"/>
  <c r="D14" i="82"/>
  <c r="C14" i="82" s="1"/>
  <c r="B14" i="82" s="1"/>
  <c r="D13" i="82"/>
  <c r="C13" i="82" s="1"/>
  <c r="B13" i="82" s="1"/>
  <c r="D9" i="82"/>
  <c r="C9" i="82" s="1"/>
  <c r="B9" i="82" s="1"/>
  <c r="D7" i="82"/>
  <c r="C7" i="82" s="1"/>
  <c r="B7" i="82" s="1"/>
  <c r="D10" i="82"/>
  <c r="C10" i="82" s="1"/>
  <c r="B10" i="82" s="1"/>
  <c r="D8" i="82"/>
  <c r="C8" i="82" s="1"/>
  <c r="B8" i="82" s="1"/>
  <c r="D6" i="82"/>
  <c r="C6" i="82" s="1"/>
  <c r="B6" i="82" s="1"/>
  <c r="D12" i="82"/>
  <c r="C12" i="82" s="1"/>
  <c r="B12" i="82" s="1"/>
  <c r="D15" i="82"/>
  <c r="C15" i="82" s="1"/>
  <c r="B15" i="82" s="1"/>
  <c r="D11" i="82"/>
  <c r="C11" i="82" s="1"/>
  <c r="B11" i="82" s="1"/>
  <c r="S2" i="79"/>
  <c r="C19" i="87"/>
  <c r="B19" i="87" s="1"/>
  <c r="C15" i="87"/>
  <c r="B15" i="87" s="1"/>
  <c r="C11" i="87"/>
  <c r="B11" i="87" s="1"/>
  <c r="C7" i="87"/>
  <c r="B7" i="87" s="1"/>
  <c r="C18" i="87"/>
  <c r="B18" i="87" s="1"/>
  <c r="C14" i="87"/>
  <c r="B14" i="87" s="1"/>
  <c r="C10" i="87"/>
  <c r="B10" i="87" s="1"/>
  <c r="C6" i="87"/>
  <c r="C17" i="87"/>
  <c r="B17" i="87" s="1"/>
  <c r="C13" i="87"/>
  <c r="B13" i="87" s="1"/>
  <c r="C9" i="87"/>
  <c r="B9" i="87" s="1"/>
  <c r="C20" i="87"/>
  <c r="B20" i="87" s="1"/>
  <c r="C16" i="87"/>
  <c r="B16" i="87" s="1"/>
  <c r="C12" i="87"/>
  <c r="B12" i="87" s="1"/>
  <c r="C8" i="87"/>
  <c r="B8" i="87" s="1"/>
  <c r="L29" i="82"/>
  <c r="H28" i="82"/>
  <c r="L25" i="82"/>
  <c r="H24" i="82"/>
  <c r="L21" i="82"/>
  <c r="H20" i="82"/>
  <c r="H29" i="82"/>
  <c r="L28" i="82"/>
  <c r="H26" i="82"/>
  <c r="H23" i="82"/>
  <c r="L26" i="82"/>
  <c r="L23" i="82"/>
  <c r="H21" i="82"/>
  <c r="L20" i="82"/>
  <c r="L27" i="82"/>
  <c r="H25" i="82"/>
  <c r="H27" i="82"/>
  <c r="L22" i="82"/>
  <c r="L24" i="82"/>
  <c r="H22" i="82"/>
  <c r="S106" i="79"/>
  <c r="S122" i="79"/>
  <c r="S138" i="79"/>
  <c r="S150" i="79"/>
  <c r="F87" i="101"/>
  <c r="J87" i="101"/>
  <c r="N87" i="101"/>
  <c r="R87" i="101"/>
  <c r="E88" i="101"/>
  <c r="I88" i="101"/>
  <c r="M88" i="101"/>
  <c r="Q88" i="101"/>
  <c r="D89" i="101"/>
  <c r="H89" i="101"/>
  <c r="L89" i="101"/>
  <c r="P89" i="101"/>
  <c r="C90" i="101"/>
  <c r="G90" i="101"/>
  <c r="K90" i="101"/>
  <c r="O90" i="101"/>
  <c r="S90" i="101"/>
  <c r="Q97" i="101" s="1"/>
  <c r="E122" i="101"/>
  <c r="I122" i="101"/>
  <c r="M122" i="101"/>
  <c r="Q122" i="101"/>
  <c r="E123" i="101"/>
  <c r="I123" i="101"/>
  <c r="M123" i="101"/>
  <c r="Q123" i="101"/>
  <c r="E124" i="101"/>
  <c r="I124" i="101"/>
  <c r="M124" i="101"/>
  <c r="Q124" i="101"/>
  <c r="H15" i="114"/>
  <c r="H17" i="114" s="1"/>
  <c r="Y13" i="111"/>
  <c r="AG13" i="111"/>
  <c r="Y25" i="111"/>
  <c r="AG25" i="111"/>
  <c r="Y33" i="111"/>
  <c r="AG33" i="111"/>
  <c r="D21" i="101"/>
  <c r="E21" i="101" s="1"/>
  <c r="G21" i="101" s="1"/>
  <c r="G23" i="101" s="1"/>
  <c r="F28" i="101"/>
  <c r="C87" i="101"/>
  <c r="G87" i="101"/>
  <c r="K87" i="101"/>
  <c r="O87" i="101"/>
  <c r="S87" i="101"/>
  <c r="F88" i="101"/>
  <c r="J88" i="101"/>
  <c r="N88" i="101"/>
  <c r="R88" i="101"/>
  <c r="E89" i="101"/>
  <c r="I89" i="101"/>
  <c r="M89" i="101"/>
  <c r="Q89" i="101"/>
  <c r="D90" i="101"/>
  <c r="H90" i="101"/>
  <c r="L90" i="101"/>
  <c r="P90" i="101"/>
  <c r="F122" i="101"/>
  <c r="J122" i="101"/>
  <c r="N122" i="101"/>
  <c r="R122" i="101"/>
  <c r="F123" i="101"/>
  <c r="J123" i="101"/>
  <c r="N123" i="101"/>
  <c r="R123" i="101"/>
  <c r="F124" i="101"/>
  <c r="J124" i="101"/>
  <c r="N124" i="101"/>
  <c r="R124" i="101"/>
  <c r="D88" i="98"/>
  <c r="D95" i="98" s="1"/>
  <c r="H88" i="98"/>
  <c r="L88" i="98"/>
  <c r="L95" i="98" s="1"/>
  <c r="P88" i="98"/>
  <c r="P95" i="98" s="1"/>
  <c r="C89" i="98"/>
  <c r="C96" i="98" s="1"/>
  <c r="G89" i="98"/>
  <c r="K89" i="98"/>
  <c r="O89" i="98"/>
  <c r="S89" i="98"/>
  <c r="F90" i="98"/>
  <c r="F97" i="98" s="1"/>
  <c r="J90" i="98"/>
  <c r="J97" i="98" s="1"/>
  <c r="N90" i="98"/>
  <c r="N97" i="98" s="1"/>
  <c r="R90" i="98"/>
  <c r="R97" i="98" s="1"/>
  <c r="E91" i="98"/>
  <c r="E98" i="98" s="1"/>
  <c r="I91" i="98"/>
  <c r="I98" i="98" s="1"/>
  <c r="M91" i="98"/>
  <c r="M98" i="98" s="1"/>
  <c r="Q91" i="98"/>
  <c r="Q98" i="98" s="1"/>
  <c r="E104" i="98"/>
  <c r="I104" i="98"/>
  <c r="M104" i="98"/>
  <c r="Q104" i="98"/>
  <c r="E105" i="98"/>
  <c r="I105" i="98"/>
  <c r="M105" i="98"/>
  <c r="Q105" i="98"/>
  <c r="E106" i="98"/>
  <c r="I106" i="98"/>
  <c r="M106" i="98"/>
  <c r="Q106" i="98"/>
  <c r="E107" i="98"/>
  <c r="I107" i="98"/>
  <c r="M107" i="98"/>
  <c r="Q107" i="98"/>
  <c r="C111" i="98"/>
  <c r="G111" i="98"/>
  <c r="K111" i="98"/>
  <c r="O111" i="98"/>
  <c r="C112" i="98"/>
  <c r="G112" i="98"/>
  <c r="K112" i="98"/>
  <c r="O112" i="98"/>
  <c r="C113" i="98"/>
  <c r="G113" i="98"/>
  <c r="K113" i="98"/>
  <c r="O113" i="98"/>
  <c r="C114" i="98"/>
  <c r="G114" i="98"/>
  <c r="K114" i="98"/>
  <c r="O114" i="98"/>
  <c r="E118" i="98"/>
  <c r="I118" i="98"/>
  <c r="M118" i="98"/>
  <c r="Q118" i="98"/>
  <c r="E119" i="98"/>
  <c r="I119" i="98"/>
  <c r="M119" i="98"/>
  <c r="Q119" i="98"/>
  <c r="E120" i="98"/>
  <c r="I120" i="98"/>
  <c r="M120" i="98"/>
  <c r="Q120" i="98"/>
  <c r="E121" i="98"/>
  <c r="I121" i="98"/>
  <c r="M121" i="98"/>
  <c r="C125" i="98"/>
  <c r="G125" i="98"/>
  <c r="K125" i="98"/>
  <c r="O125" i="98"/>
  <c r="C126" i="98"/>
  <c r="G126" i="98"/>
  <c r="K126" i="98"/>
  <c r="O126" i="98"/>
  <c r="C127" i="98"/>
  <c r="G127" i="98"/>
  <c r="K127" i="98"/>
  <c r="O127" i="98"/>
  <c r="C128" i="98"/>
  <c r="G128" i="98"/>
  <c r="K128" i="98"/>
  <c r="O128" i="98"/>
  <c r="AF13" i="111"/>
  <c r="X13" i="111"/>
  <c r="AJ13" i="111"/>
  <c r="AB13" i="111"/>
  <c r="AF25" i="111"/>
  <c r="X25" i="111"/>
  <c r="AJ25" i="111"/>
  <c r="AB25" i="111"/>
  <c r="AF33" i="111"/>
  <c r="X33" i="111"/>
  <c r="AJ33" i="111"/>
  <c r="AB33" i="111"/>
  <c r="D87" i="101"/>
  <c r="H87" i="101"/>
  <c r="L87" i="101"/>
  <c r="P87" i="101"/>
  <c r="C88" i="101"/>
  <c r="G88" i="101"/>
  <c r="K88" i="101"/>
  <c r="O88" i="101"/>
  <c r="S88" i="101"/>
  <c r="F89" i="101"/>
  <c r="J89" i="101"/>
  <c r="N89" i="101"/>
  <c r="R89" i="101"/>
  <c r="E90" i="101"/>
  <c r="I90" i="101"/>
  <c r="M90" i="101"/>
  <c r="E101" i="101"/>
  <c r="I101" i="101"/>
  <c r="M101" i="101"/>
  <c r="Q101" i="101"/>
  <c r="E102" i="101"/>
  <c r="I102" i="101"/>
  <c r="M102" i="101"/>
  <c r="Q102" i="101"/>
  <c r="E103" i="101"/>
  <c r="I103" i="101"/>
  <c r="M103" i="101"/>
  <c r="Q103" i="101"/>
  <c r="E104" i="101"/>
  <c r="I104" i="101"/>
  <c r="M104" i="101"/>
  <c r="Q104" i="101"/>
  <c r="C108" i="101"/>
  <c r="G108" i="101"/>
  <c r="K108" i="101"/>
  <c r="O108" i="101"/>
  <c r="C109" i="101"/>
  <c r="G109" i="101"/>
  <c r="K109" i="101"/>
  <c r="O109" i="101"/>
  <c r="C110" i="101"/>
  <c r="G110" i="101"/>
  <c r="K110" i="101"/>
  <c r="O110" i="101"/>
  <c r="C111" i="101"/>
  <c r="G111" i="101"/>
  <c r="K111" i="101"/>
  <c r="O111" i="101"/>
  <c r="E115" i="101"/>
  <c r="I115" i="101"/>
  <c r="M115" i="101"/>
  <c r="Q115" i="101"/>
  <c r="E116" i="101"/>
  <c r="I116" i="101"/>
  <c r="M116" i="101"/>
  <c r="Q116" i="101"/>
  <c r="E117" i="101"/>
  <c r="I117" i="101"/>
  <c r="M117" i="101"/>
  <c r="Q117" i="101"/>
  <c r="E118" i="101"/>
  <c r="I118" i="101"/>
  <c r="M118" i="101"/>
  <c r="Q118" i="101"/>
  <c r="C122" i="101"/>
  <c r="G122" i="101"/>
  <c r="K122" i="101"/>
  <c r="O122" i="101"/>
  <c r="C123" i="101"/>
  <c r="G123" i="101"/>
  <c r="K123" i="101"/>
  <c r="O123" i="101"/>
  <c r="C124" i="101"/>
  <c r="G124" i="101"/>
  <c r="K124" i="101"/>
  <c r="C125" i="101"/>
  <c r="G125" i="101"/>
  <c r="K125" i="101"/>
  <c r="F204" i="100"/>
  <c r="F203" i="100"/>
  <c r="N203" i="100"/>
  <c r="AI203" i="100" s="1"/>
  <c r="N204" i="100"/>
  <c r="R204" i="100"/>
  <c r="R203" i="100"/>
  <c r="J204" i="100"/>
  <c r="AE204" i="100" s="1"/>
  <c r="Y9" i="111"/>
  <c r="AG9" i="111"/>
  <c r="AC13" i="111"/>
  <c r="Y17" i="111"/>
  <c r="AG17" i="111"/>
  <c r="AC25" i="111"/>
  <c r="Y29" i="111"/>
  <c r="AG29" i="111"/>
  <c r="AC33" i="111"/>
  <c r="Y41" i="111"/>
  <c r="AG41" i="111"/>
  <c r="F88" i="98"/>
  <c r="F95" i="98" s="1"/>
  <c r="J88" i="98"/>
  <c r="J95" i="98" s="1"/>
  <c r="N88" i="98"/>
  <c r="N95" i="98" s="1"/>
  <c r="R88" i="98"/>
  <c r="R95" i="98" s="1"/>
  <c r="E89" i="98"/>
  <c r="I89" i="98"/>
  <c r="M89" i="98"/>
  <c r="Q89" i="98"/>
  <c r="D90" i="98"/>
  <c r="D97" i="98" s="1"/>
  <c r="H90" i="98"/>
  <c r="H97" i="98" s="1"/>
  <c r="L90" i="98"/>
  <c r="L97" i="98" s="1"/>
  <c r="P90" i="98"/>
  <c r="P97" i="98" s="1"/>
  <c r="C91" i="98"/>
  <c r="C98" i="98" s="1"/>
  <c r="G91" i="98"/>
  <c r="G98" i="98" s="1"/>
  <c r="K91" i="98"/>
  <c r="K98" i="98" s="1"/>
  <c r="O91" i="98"/>
  <c r="O98" i="98" s="1"/>
  <c r="E125" i="98"/>
  <c r="I125" i="98"/>
  <c r="M125" i="98"/>
  <c r="Q125" i="98"/>
  <c r="E126" i="98"/>
  <c r="I126" i="98"/>
  <c r="M126" i="98"/>
  <c r="Q126" i="98"/>
  <c r="E127" i="98"/>
  <c r="I127" i="98"/>
  <c r="M127" i="98"/>
  <c r="Q127" i="98"/>
  <c r="E128" i="98"/>
  <c r="I128" i="98"/>
  <c r="M128" i="98"/>
  <c r="AF9" i="111"/>
  <c r="X9" i="111"/>
  <c r="AJ9" i="111"/>
  <c r="AB9" i="111"/>
  <c r="AF17" i="111"/>
  <c r="X17" i="111"/>
  <c r="AJ17" i="111"/>
  <c r="AB17" i="111"/>
  <c r="AF29" i="111"/>
  <c r="X29" i="111"/>
  <c r="AJ29" i="111"/>
  <c r="AB29" i="111"/>
  <c r="AF41" i="111"/>
  <c r="X41" i="111"/>
  <c r="AJ41" i="111"/>
  <c r="AB41" i="111"/>
  <c r="S198" i="100"/>
  <c r="K199" i="100"/>
  <c r="I204" i="100"/>
  <c r="AD204" i="100" s="1"/>
  <c r="AC8" i="111"/>
  <c r="AK8" i="111"/>
  <c r="AC12" i="111"/>
  <c r="AK12" i="111"/>
  <c r="AC16" i="111"/>
  <c r="AK16" i="111"/>
  <c r="AC24" i="111"/>
  <c r="AK24" i="111"/>
  <c r="AC28" i="111"/>
  <c r="AK28" i="111"/>
  <c r="AC32" i="111"/>
  <c r="AK32" i="111"/>
  <c r="AC40" i="111"/>
  <c r="AK40" i="111"/>
  <c r="AC44" i="111"/>
  <c r="AK44" i="111"/>
  <c r="AB45" i="111"/>
  <c r="AJ45" i="111"/>
  <c r="AC48" i="111"/>
  <c r="AK48" i="111"/>
  <c r="AB49" i="111"/>
  <c r="AJ49" i="111"/>
  <c r="AC52" i="111"/>
  <c r="AK52" i="111"/>
  <c r="AB56" i="111"/>
  <c r="AJ56" i="111"/>
  <c r="AC59" i="111"/>
  <c r="AK59" i="111"/>
  <c r="AB60" i="111"/>
  <c r="AJ60" i="111"/>
  <c r="AC63" i="111"/>
  <c r="AK63" i="111"/>
  <c r="AB64" i="111"/>
  <c r="AJ64" i="111"/>
  <c r="AC67" i="111"/>
  <c r="AK67" i="111"/>
  <c r="AB68" i="111"/>
  <c r="AJ68" i="111"/>
  <c r="AB10" i="102"/>
  <c r="AJ10" i="102"/>
  <c r="AB11" i="102"/>
  <c r="AJ11" i="102"/>
  <c r="AB12" i="102"/>
  <c r="AJ12" i="102"/>
  <c r="AB13" i="102"/>
  <c r="AJ13" i="102"/>
  <c r="X24" i="102"/>
  <c r="AF24" i="102"/>
  <c r="AC25" i="102"/>
  <c r="AC26" i="102"/>
  <c r="AC45" i="111"/>
  <c r="AK45" i="111"/>
  <c r="AC49" i="111"/>
  <c r="AK49" i="111"/>
  <c r="AC56" i="111"/>
  <c r="AK56" i="111"/>
  <c r="AC60" i="111"/>
  <c r="AK60" i="111"/>
  <c r="AC64" i="111"/>
  <c r="AK64" i="111"/>
  <c r="AC68" i="111"/>
  <c r="AK68" i="111"/>
  <c r="AI27" i="102"/>
  <c r="AE27" i="102"/>
  <c r="AA27" i="102"/>
  <c r="W27" i="102"/>
  <c r="AI26" i="102"/>
  <c r="AE26" i="102"/>
  <c r="AA26" i="102"/>
  <c r="W26" i="102"/>
  <c r="AI25" i="102"/>
  <c r="AE25" i="102"/>
  <c r="AA25" i="102"/>
  <c r="W25" i="102"/>
  <c r="AF27" i="102"/>
  <c r="Z27" i="102"/>
  <c r="U27" i="102"/>
  <c r="AF26" i="102"/>
  <c r="Z26" i="102"/>
  <c r="U26" i="102"/>
  <c r="AF25" i="102"/>
  <c r="Z25" i="102"/>
  <c r="U25" i="102"/>
  <c r="AH24" i="102"/>
  <c r="AD24" i="102"/>
  <c r="Z24" i="102"/>
  <c r="V24" i="102"/>
  <c r="AJ27" i="102"/>
  <c r="AD27" i="102"/>
  <c r="Y27" i="102"/>
  <c r="AJ26" i="102"/>
  <c r="AD26" i="102"/>
  <c r="Y26" i="102"/>
  <c r="AJ25" i="102"/>
  <c r="AD25" i="102"/>
  <c r="Y25" i="102"/>
  <c r="AG24" i="102"/>
  <c r="AC24" i="102"/>
  <c r="Y24" i="102"/>
  <c r="U24" i="102"/>
  <c r="AA24" i="102"/>
  <c r="AI24" i="102"/>
  <c r="V25" i="102"/>
  <c r="AG25" i="102"/>
  <c r="V26" i="102"/>
  <c r="AG26" i="102"/>
  <c r="V27" i="102"/>
  <c r="AG27" i="102"/>
  <c r="K198" i="100"/>
  <c r="I199" i="100"/>
  <c r="AD199" i="100" s="1"/>
  <c r="S199" i="100"/>
  <c r="S203" i="100"/>
  <c r="AN203" i="100" s="1"/>
  <c r="K204" i="100"/>
  <c r="AF204" i="100" s="1"/>
  <c r="Q204" i="100"/>
  <c r="AL204" i="100" s="1"/>
  <c r="X8" i="111"/>
  <c r="AB8" i="111"/>
  <c r="AF8" i="111"/>
  <c r="AJ8" i="111"/>
  <c r="Y8" i="111"/>
  <c r="W9" i="111"/>
  <c r="AA9" i="111"/>
  <c r="AE9" i="111"/>
  <c r="AI9" i="111"/>
  <c r="X12" i="111"/>
  <c r="AB12" i="111"/>
  <c r="AF12" i="111"/>
  <c r="AJ12" i="111"/>
  <c r="Y12" i="111"/>
  <c r="W13" i="111"/>
  <c r="AA13" i="111"/>
  <c r="AE13" i="111"/>
  <c r="AI13" i="111"/>
  <c r="X16" i="111"/>
  <c r="AB16" i="111"/>
  <c r="AF16" i="111"/>
  <c r="AJ16" i="111"/>
  <c r="Y16" i="111"/>
  <c r="W17" i="111"/>
  <c r="AA17" i="111"/>
  <c r="AE17" i="111"/>
  <c r="AI17" i="111"/>
  <c r="X24" i="111"/>
  <c r="AB24" i="111"/>
  <c r="AF24" i="111"/>
  <c r="AJ24" i="111"/>
  <c r="Y24" i="111"/>
  <c r="W25" i="111"/>
  <c r="AA25" i="111"/>
  <c r="AE25" i="111"/>
  <c r="AI25" i="111"/>
  <c r="X28" i="111"/>
  <c r="AB28" i="111"/>
  <c r="AF28" i="111"/>
  <c r="AJ28" i="111"/>
  <c r="Y28" i="111"/>
  <c r="W29" i="111"/>
  <c r="AA29" i="111"/>
  <c r="AE29" i="111"/>
  <c r="AI29" i="111"/>
  <c r="X32" i="111"/>
  <c r="AB32" i="111"/>
  <c r="AF32" i="111"/>
  <c r="AJ32" i="111"/>
  <c r="Y32" i="111"/>
  <c r="W33" i="111"/>
  <c r="AA33" i="111"/>
  <c r="AE33" i="111"/>
  <c r="AI33" i="111"/>
  <c r="X40" i="111"/>
  <c r="AB40" i="111"/>
  <c r="AF40" i="111"/>
  <c r="AJ40" i="111"/>
  <c r="Y40" i="111"/>
  <c r="W41" i="111"/>
  <c r="AA41" i="111"/>
  <c r="AE41" i="111"/>
  <c r="AI41" i="111"/>
  <c r="X44" i="111"/>
  <c r="AB44" i="111"/>
  <c r="AF44" i="111"/>
  <c r="AJ44" i="111"/>
  <c r="Y44" i="111"/>
  <c r="W45" i="111"/>
  <c r="AA45" i="111"/>
  <c r="AE45" i="111"/>
  <c r="AI45" i="111"/>
  <c r="X45" i="111"/>
  <c r="X48" i="111"/>
  <c r="AB48" i="111"/>
  <c r="AF48" i="111"/>
  <c r="AJ48" i="111"/>
  <c r="Y48" i="111"/>
  <c r="W49" i="111"/>
  <c r="AA49" i="111"/>
  <c r="AE49" i="111"/>
  <c r="AI49" i="111"/>
  <c r="X49" i="111"/>
  <c r="X52" i="111"/>
  <c r="AB52" i="111"/>
  <c r="AF52" i="111"/>
  <c r="AJ52" i="111"/>
  <c r="Y52" i="111"/>
  <c r="W56" i="111"/>
  <c r="AA56" i="111"/>
  <c r="AE56" i="111"/>
  <c r="AI56" i="111"/>
  <c r="X56" i="111"/>
  <c r="X59" i="111"/>
  <c r="AB59" i="111"/>
  <c r="AF59" i="111"/>
  <c r="AJ59" i="111"/>
  <c r="Y59" i="111"/>
  <c r="W60" i="111"/>
  <c r="AA60" i="111"/>
  <c r="AE60" i="111"/>
  <c r="AI60" i="111"/>
  <c r="X60" i="111"/>
  <c r="AF60" i="111"/>
  <c r="X63" i="111"/>
  <c r="AB63" i="111"/>
  <c r="AF63" i="111"/>
  <c r="AJ63" i="111"/>
  <c r="Y63" i="111"/>
  <c r="W64" i="111"/>
  <c r="AA64" i="111"/>
  <c r="AE64" i="111"/>
  <c r="AI64" i="111"/>
  <c r="X64" i="111"/>
  <c r="AF64" i="111"/>
  <c r="X67" i="111"/>
  <c r="AB67" i="111"/>
  <c r="AF67" i="111"/>
  <c r="AJ67" i="111"/>
  <c r="Y67" i="111"/>
  <c r="W68" i="111"/>
  <c r="AA68" i="111"/>
  <c r="AE68" i="111"/>
  <c r="AI68" i="111"/>
  <c r="X68" i="111"/>
  <c r="AF68" i="111"/>
  <c r="X10" i="102"/>
  <c r="AF10" i="102"/>
  <c r="X11" i="102"/>
  <c r="AF11" i="102"/>
  <c r="X12" i="102"/>
  <c r="AF12" i="102"/>
  <c r="X13" i="102"/>
  <c r="AH20" i="102"/>
  <c r="AD20" i="102"/>
  <c r="Z20" i="102"/>
  <c r="V20" i="102"/>
  <c r="AH19" i="102"/>
  <c r="AD19" i="102"/>
  <c r="Z19" i="102"/>
  <c r="V19" i="102"/>
  <c r="AH18" i="102"/>
  <c r="AD18" i="102"/>
  <c r="Z18" i="102"/>
  <c r="V18" i="102"/>
  <c r="AH17" i="102"/>
  <c r="AD17" i="102"/>
  <c r="Z17" i="102"/>
  <c r="V17" i="102"/>
  <c r="AG20" i="102"/>
  <c r="AC20" i="102"/>
  <c r="Y20" i="102"/>
  <c r="U20" i="102"/>
  <c r="AG19" i="102"/>
  <c r="AC19" i="102"/>
  <c r="Y19" i="102"/>
  <c r="U19" i="102"/>
  <c r="AG18" i="102"/>
  <c r="AC18" i="102"/>
  <c r="Y18" i="102"/>
  <c r="U18" i="102"/>
  <c r="AG17" i="102"/>
  <c r="AC17" i="102"/>
  <c r="Y17" i="102"/>
  <c r="U17" i="102"/>
  <c r="AA17" i="102"/>
  <c r="AI17" i="102"/>
  <c r="AA18" i="102"/>
  <c r="AI18" i="102"/>
  <c r="AA19" i="102"/>
  <c r="AI19" i="102"/>
  <c r="AA20" i="102"/>
  <c r="AI20" i="102"/>
  <c r="AH22" i="102"/>
  <c r="AB24" i="102"/>
  <c r="AJ24" i="102"/>
  <c r="X25" i="102"/>
  <c r="AH25" i="102"/>
  <c r="X26" i="102"/>
  <c r="AH26" i="102"/>
  <c r="X27" i="102"/>
  <c r="AH27" i="102"/>
  <c r="G198" i="100"/>
  <c r="AB198" i="100" s="1"/>
  <c r="O199" i="100"/>
  <c r="AJ199" i="100" s="1"/>
  <c r="M204" i="100"/>
  <c r="AH204" i="100" s="1"/>
  <c r="Y60" i="111"/>
  <c r="Y64" i="111"/>
  <c r="Y68" i="111"/>
  <c r="AH13" i="102"/>
  <c r="AD13" i="102"/>
  <c r="Z13" i="102"/>
  <c r="V13" i="102"/>
  <c r="AH12" i="102"/>
  <c r="AD12" i="102"/>
  <c r="Z12" i="102"/>
  <c r="V12" i="102"/>
  <c r="AH11" i="102"/>
  <c r="AD11" i="102"/>
  <c r="Z11" i="102"/>
  <c r="V11" i="102"/>
  <c r="AH10" i="102"/>
  <c r="AD10" i="102"/>
  <c r="Z10" i="102"/>
  <c r="V10" i="102"/>
  <c r="AG13" i="102"/>
  <c r="AC13" i="102"/>
  <c r="Y13" i="102"/>
  <c r="U13" i="102"/>
  <c r="AG12" i="102"/>
  <c r="AC12" i="102"/>
  <c r="Y12" i="102"/>
  <c r="U12" i="102"/>
  <c r="AG11" i="102"/>
  <c r="AC11" i="102"/>
  <c r="Y11" i="102"/>
  <c r="U11" i="102"/>
  <c r="AG10" i="102"/>
  <c r="AC10" i="102"/>
  <c r="Y10" i="102"/>
  <c r="U10" i="102"/>
  <c r="AA10" i="102"/>
  <c r="AI10" i="102"/>
  <c r="AA11" i="102"/>
  <c r="AI11" i="102"/>
  <c r="AA12" i="102"/>
  <c r="AI12" i="102"/>
  <c r="AA13" i="102"/>
  <c r="AI13" i="102"/>
  <c r="W24" i="102"/>
  <c r="AE24" i="102"/>
  <c r="AB25" i="102"/>
  <c r="AB26" i="102"/>
  <c r="AB27" i="102"/>
  <c r="D8" i="81"/>
  <c r="K11" i="81"/>
  <c r="E11" i="81"/>
  <c r="G11" i="81"/>
  <c r="J11" i="81"/>
  <c r="C11" i="81"/>
  <c r="D12" i="81"/>
  <c r="K15" i="81"/>
  <c r="E15" i="81"/>
  <c r="G15" i="81"/>
  <c r="J15" i="81"/>
  <c r="C15" i="81"/>
  <c r="D16" i="81"/>
  <c r="K19" i="81"/>
  <c r="E19" i="81"/>
  <c r="G19" i="81"/>
  <c r="J19" i="81"/>
  <c r="C19" i="81"/>
  <c r="D20" i="81"/>
  <c r="K23" i="81"/>
  <c r="E23" i="81"/>
  <c r="G23" i="81"/>
  <c r="J23" i="81"/>
  <c r="C23" i="81"/>
  <c r="D24" i="81"/>
  <c r="K27" i="81"/>
  <c r="E27" i="81"/>
  <c r="G27" i="81"/>
  <c r="J27" i="81"/>
  <c r="C27" i="81"/>
  <c r="D28" i="81"/>
  <c r="K31" i="81"/>
  <c r="E31" i="81"/>
  <c r="G31" i="81"/>
  <c r="J31" i="81"/>
  <c r="C31" i="81"/>
  <c r="D32" i="81"/>
  <c r="H41" i="81"/>
  <c r="J46" i="81"/>
  <c r="C10" i="102"/>
  <c r="G10" i="102"/>
  <c r="K10" i="102"/>
  <c r="O10" i="102"/>
  <c r="C11" i="102"/>
  <c r="G11" i="102"/>
  <c r="K11" i="102"/>
  <c r="O11" i="102"/>
  <c r="C12" i="102"/>
  <c r="G12" i="102"/>
  <c r="K12" i="102"/>
  <c r="O12" i="102"/>
  <c r="C13" i="102"/>
  <c r="G13" i="102"/>
  <c r="K13" i="102"/>
  <c r="O13" i="102"/>
  <c r="C17" i="102"/>
  <c r="G17" i="102"/>
  <c r="K17" i="102"/>
  <c r="O17" i="102"/>
  <c r="C18" i="102"/>
  <c r="G18" i="102"/>
  <c r="K18" i="102"/>
  <c r="O18" i="102"/>
  <c r="C19" i="102"/>
  <c r="G19" i="102"/>
  <c r="K19" i="102"/>
  <c r="O19" i="102"/>
  <c r="C20" i="102"/>
  <c r="G20" i="102"/>
  <c r="K20" i="102"/>
  <c r="O20" i="102"/>
  <c r="Q27" i="102"/>
  <c r="M27" i="102"/>
  <c r="I27" i="102"/>
  <c r="E27" i="102"/>
  <c r="Q26" i="102"/>
  <c r="M26" i="102"/>
  <c r="I26" i="102"/>
  <c r="E26" i="102"/>
  <c r="Q25" i="102"/>
  <c r="M25" i="102"/>
  <c r="I25" i="102"/>
  <c r="C24" i="102"/>
  <c r="G24" i="102"/>
  <c r="K24" i="102"/>
  <c r="O24" i="102"/>
  <c r="C25" i="102"/>
  <c r="G25" i="102"/>
  <c r="L25" i="102"/>
  <c r="R25" i="102"/>
  <c r="G26" i="102"/>
  <c r="L26" i="102"/>
  <c r="R26" i="102"/>
  <c r="G27" i="102"/>
  <c r="L27" i="102"/>
  <c r="R27" i="102"/>
  <c r="K10" i="81"/>
  <c r="E10" i="81"/>
  <c r="J10" i="81"/>
  <c r="C10" i="81"/>
  <c r="G10" i="81"/>
  <c r="D11" i="81"/>
  <c r="K14" i="81"/>
  <c r="E14" i="81"/>
  <c r="J14" i="81"/>
  <c r="C14" i="81"/>
  <c r="G14" i="81"/>
  <c r="D15" i="81"/>
  <c r="K18" i="81"/>
  <c r="E18" i="81"/>
  <c r="J18" i="81"/>
  <c r="C18" i="81"/>
  <c r="G18" i="81"/>
  <c r="D19" i="81"/>
  <c r="K22" i="81"/>
  <c r="E22" i="81"/>
  <c r="J22" i="81"/>
  <c r="C22" i="81"/>
  <c r="G22" i="81"/>
  <c r="D23" i="81"/>
  <c r="K26" i="81"/>
  <c r="E26" i="81"/>
  <c r="J26" i="81"/>
  <c r="C26" i="81"/>
  <c r="G26" i="81"/>
  <c r="D27" i="81"/>
  <c r="K30" i="81"/>
  <c r="E30" i="81"/>
  <c r="J30" i="81"/>
  <c r="C30" i="81"/>
  <c r="G30" i="81"/>
  <c r="D31" i="81"/>
  <c r="K34" i="81"/>
  <c r="E34" i="81"/>
  <c r="J34" i="81"/>
  <c r="C34" i="81"/>
  <c r="G34" i="81"/>
  <c r="J41" i="81"/>
  <c r="H44" i="81"/>
  <c r="P8" i="102"/>
  <c r="D10" i="102"/>
  <c r="H10" i="102"/>
  <c r="L10" i="102"/>
  <c r="P10" i="102"/>
  <c r="D11" i="102"/>
  <c r="H11" i="102"/>
  <c r="L11" i="102"/>
  <c r="P11" i="102"/>
  <c r="D12" i="102"/>
  <c r="H12" i="102"/>
  <c r="L12" i="102"/>
  <c r="P12" i="102"/>
  <c r="D13" i="102"/>
  <c r="H13" i="102"/>
  <c r="L13" i="102"/>
  <c r="P15" i="102"/>
  <c r="D17" i="102"/>
  <c r="H17" i="102"/>
  <c r="L17" i="102"/>
  <c r="P17" i="102"/>
  <c r="D18" i="102"/>
  <c r="H18" i="102"/>
  <c r="L18" i="102"/>
  <c r="P18" i="102"/>
  <c r="D19" i="102"/>
  <c r="H19" i="102"/>
  <c r="L19" i="102"/>
  <c r="P19" i="102"/>
  <c r="D20" i="102"/>
  <c r="H20" i="102"/>
  <c r="L20" i="102"/>
  <c r="P22" i="102"/>
  <c r="D24" i="102"/>
  <c r="H24" i="102"/>
  <c r="L24" i="102"/>
  <c r="P24" i="102"/>
  <c r="D25" i="102"/>
  <c r="H25" i="102"/>
  <c r="N25" i="102"/>
  <c r="C26" i="102"/>
  <c r="H26" i="102"/>
  <c r="N26" i="102"/>
  <c r="C27" i="102"/>
  <c r="H27" i="102"/>
  <c r="N27" i="102"/>
  <c r="Q34" i="102"/>
  <c r="M34" i="102"/>
  <c r="I34" i="102"/>
  <c r="E34" i="102"/>
  <c r="Q33" i="102"/>
  <c r="M33" i="102"/>
  <c r="I33" i="102"/>
  <c r="E33" i="102"/>
  <c r="Q32" i="102"/>
  <c r="M32" i="102"/>
  <c r="I32" i="102"/>
  <c r="E32" i="102"/>
  <c r="Q31" i="102"/>
  <c r="M31" i="102"/>
  <c r="I31" i="102"/>
  <c r="E31" i="102"/>
  <c r="C31" i="102"/>
  <c r="H31" i="102"/>
  <c r="N31" i="102"/>
  <c r="C32" i="102"/>
  <c r="H32" i="102"/>
  <c r="N32" i="102"/>
  <c r="C33" i="102"/>
  <c r="H33" i="102"/>
  <c r="N33" i="102"/>
  <c r="C34" i="102"/>
  <c r="H34" i="102"/>
  <c r="N34" i="102"/>
  <c r="Q41" i="102"/>
  <c r="M41" i="102"/>
  <c r="I41" i="102"/>
  <c r="E41" i="102"/>
  <c r="Q40" i="102"/>
  <c r="M40" i="102"/>
  <c r="I40" i="102"/>
  <c r="E40" i="102"/>
  <c r="Q39" i="102"/>
  <c r="M39" i="102"/>
  <c r="I39" i="102"/>
  <c r="E39" i="102"/>
  <c r="Q38" i="102"/>
  <c r="M38" i="102"/>
  <c r="I38" i="102"/>
  <c r="E38" i="102"/>
  <c r="C38" i="102"/>
  <c r="H38" i="102"/>
  <c r="N38" i="102"/>
  <c r="C39" i="102"/>
  <c r="H39" i="102"/>
  <c r="N39" i="102"/>
  <c r="C40" i="102"/>
  <c r="H40" i="102"/>
  <c r="N40" i="102"/>
  <c r="C41" i="102"/>
  <c r="H41" i="102"/>
  <c r="N41" i="102"/>
  <c r="Q48" i="102"/>
  <c r="M48" i="102"/>
  <c r="I48" i="102"/>
  <c r="E48" i="102"/>
  <c r="Q47" i="102"/>
  <c r="M47" i="102"/>
  <c r="I47" i="102"/>
  <c r="E47" i="102"/>
  <c r="Q46" i="102"/>
  <c r="M46" i="102"/>
  <c r="I46" i="102"/>
  <c r="E46" i="102"/>
  <c r="Q45" i="102"/>
  <c r="M45" i="102"/>
  <c r="I45" i="102"/>
  <c r="E45" i="102"/>
  <c r="C45" i="102"/>
  <c r="H45" i="102"/>
  <c r="N45" i="102"/>
  <c r="C46" i="102"/>
  <c r="H46" i="102"/>
  <c r="N46" i="102"/>
  <c r="C47" i="102"/>
  <c r="H47" i="102"/>
  <c r="N47" i="102"/>
  <c r="C48" i="102"/>
  <c r="H48" i="102"/>
  <c r="N48" i="102"/>
  <c r="Q55" i="102"/>
  <c r="M55" i="102"/>
  <c r="I55" i="102"/>
  <c r="E55" i="102"/>
  <c r="Q54" i="102"/>
  <c r="M54" i="102"/>
  <c r="I54" i="102"/>
  <c r="E54" i="102"/>
  <c r="Q53" i="102"/>
  <c r="M53" i="102"/>
  <c r="I53" i="102"/>
  <c r="E53" i="102"/>
  <c r="Q52" i="102"/>
  <c r="M52" i="102"/>
  <c r="I52" i="102"/>
  <c r="E52" i="102"/>
  <c r="C52" i="102"/>
  <c r="H52" i="102"/>
  <c r="N52" i="102"/>
  <c r="C53" i="102"/>
  <c r="H53" i="102"/>
  <c r="N53" i="102"/>
  <c r="C54" i="102"/>
  <c r="H54" i="102"/>
  <c r="N54" i="102"/>
  <c r="C55" i="102"/>
  <c r="H55" i="102"/>
  <c r="N55" i="102"/>
  <c r="Q62" i="102"/>
  <c r="M62" i="102"/>
  <c r="I62" i="102"/>
  <c r="E62" i="102"/>
  <c r="Q61" i="102"/>
  <c r="M61" i="102"/>
  <c r="I61" i="102"/>
  <c r="E61" i="102"/>
  <c r="Q60" i="102"/>
  <c r="M60" i="102"/>
  <c r="I60" i="102"/>
  <c r="E60" i="102"/>
  <c r="Q59" i="102"/>
  <c r="M59" i="102"/>
  <c r="N62" i="102"/>
  <c r="H62" i="102"/>
  <c r="C62" i="102"/>
  <c r="N61" i="102"/>
  <c r="H61" i="102"/>
  <c r="C61" i="102"/>
  <c r="N60" i="102"/>
  <c r="H60" i="102"/>
  <c r="C60" i="102"/>
  <c r="N59" i="102"/>
  <c r="I59" i="102"/>
  <c r="E59" i="102"/>
  <c r="C59" i="102"/>
  <c r="H59" i="102"/>
  <c r="O59" i="102"/>
  <c r="D60" i="102"/>
  <c r="K60" i="102"/>
  <c r="R60" i="102"/>
  <c r="G61" i="102"/>
  <c r="O61" i="102"/>
  <c r="D62" i="102"/>
  <c r="K62" i="102"/>
  <c r="R62" i="102"/>
  <c r="K9" i="81"/>
  <c r="E9" i="81"/>
  <c r="G9" i="81"/>
  <c r="J9" i="81"/>
  <c r="C9" i="81"/>
  <c r="D10" i="81"/>
  <c r="H11" i="81"/>
  <c r="K13" i="81"/>
  <c r="E13" i="81"/>
  <c r="G13" i="81"/>
  <c r="J13" i="81"/>
  <c r="C13" i="81"/>
  <c r="D14" i="81"/>
  <c r="H15" i="81"/>
  <c r="K17" i="81"/>
  <c r="E17" i="81"/>
  <c r="G17" i="81"/>
  <c r="J17" i="81"/>
  <c r="C17" i="81"/>
  <c r="D18" i="81"/>
  <c r="H19" i="81"/>
  <c r="K21" i="81"/>
  <c r="E21" i="81"/>
  <c r="G21" i="81"/>
  <c r="J21" i="81"/>
  <c r="C21" i="81"/>
  <c r="D22" i="81"/>
  <c r="H23" i="81"/>
  <c r="K25" i="81"/>
  <c r="E25" i="81"/>
  <c r="G25" i="81"/>
  <c r="J25" i="81"/>
  <c r="C25" i="81"/>
  <c r="D26" i="81"/>
  <c r="H27" i="81"/>
  <c r="K29" i="81"/>
  <c r="E29" i="81"/>
  <c r="G29" i="81"/>
  <c r="J29" i="81"/>
  <c r="C29" i="81"/>
  <c r="D30" i="81"/>
  <c r="H31" i="81"/>
  <c r="K33" i="81"/>
  <c r="E33" i="81"/>
  <c r="G33" i="81"/>
  <c r="J33" i="81"/>
  <c r="C33" i="81"/>
  <c r="D34" i="81"/>
  <c r="H39" i="81"/>
  <c r="J40" i="81"/>
  <c r="H43" i="81"/>
  <c r="J44" i="81"/>
  <c r="H47" i="81"/>
  <c r="K8" i="81"/>
  <c r="E8" i="81"/>
  <c r="J8" i="81"/>
  <c r="C8" i="81"/>
  <c r="G8" i="81"/>
  <c r="K12" i="81"/>
  <c r="E12" i="81"/>
  <c r="J12" i="81"/>
  <c r="C12" i="81"/>
  <c r="G12" i="81"/>
  <c r="K16" i="81"/>
  <c r="E16" i="81"/>
  <c r="J16" i="81"/>
  <c r="C16" i="81"/>
  <c r="G16" i="81"/>
  <c r="K20" i="81"/>
  <c r="E20" i="81"/>
  <c r="J20" i="81"/>
  <c r="C20" i="81"/>
  <c r="G20" i="81"/>
  <c r="K24" i="81"/>
  <c r="E24" i="81"/>
  <c r="J24" i="81"/>
  <c r="C24" i="81"/>
  <c r="G24" i="81"/>
  <c r="K28" i="81"/>
  <c r="E28" i="81"/>
  <c r="J28" i="81"/>
  <c r="C28" i="81"/>
  <c r="G28" i="81"/>
  <c r="K32" i="81"/>
  <c r="E32" i="81"/>
  <c r="J32" i="81"/>
  <c r="C32" i="81"/>
  <c r="G32" i="81"/>
  <c r="J43" i="81"/>
  <c r="G74" i="81"/>
  <c r="G75" i="81"/>
  <c r="C75" i="81"/>
  <c r="G82" i="81"/>
  <c r="G83" i="81"/>
  <c r="C83" i="81"/>
  <c r="G90" i="81"/>
  <c r="G91" i="81"/>
  <c r="C91" i="81"/>
  <c r="G98" i="81"/>
  <c r="G100" i="81"/>
  <c r="G102" i="81"/>
  <c r="G104" i="81"/>
  <c r="G106" i="81"/>
  <c r="G108" i="81"/>
  <c r="G110" i="81"/>
  <c r="G112" i="81"/>
  <c r="G114" i="81"/>
  <c r="G116" i="81"/>
  <c r="G118" i="81"/>
  <c r="G120" i="81"/>
  <c r="G122" i="81"/>
  <c r="G124" i="81"/>
  <c r="H124" i="81" s="1"/>
  <c r="F10" i="107"/>
  <c r="K10" i="107"/>
  <c r="P10" i="107"/>
  <c r="F11" i="107"/>
  <c r="K11" i="107"/>
  <c r="P11" i="107"/>
  <c r="F12" i="107"/>
  <c r="K12" i="107"/>
  <c r="P12" i="107"/>
  <c r="F13" i="107"/>
  <c r="K13" i="107"/>
  <c r="P13" i="107"/>
  <c r="F17" i="107"/>
  <c r="K17" i="107"/>
  <c r="P17" i="107"/>
  <c r="F18" i="107"/>
  <c r="K18" i="107"/>
  <c r="P18" i="107"/>
  <c r="F19" i="107"/>
  <c r="K19" i="107"/>
  <c r="P19" i="107"/>
  <c r="F20" i="107"/>
  <c r="K20" i="107"/>
  <c r="P20" i="107"/>
  <c r="F24" i="107"/>
  <c r="K24" i="107"/>
  <c r="P24" i="107"/>
  <c r="F25" i="107"/>
  <c r="K25" i="107"/>
  <c r="P25" i="107"/>
  <c r="F26" i="107"/>
  <c r="K26" i="107"/>
  <c r="P26" i="107"/>
  <c r="F27" i="107"/>
  <c r="K27" i="107"/>
  <c r="P27" i="107"/>
  <c r="F31" i="107"/>
  <c r="K31" i="107"/>
  <c r="P31" i="107"/>
  <c r="F32" i="107"/>
  <c r="K32" i="107"/>
  <c r="P32" i="107"/>
  <c r="F33" i="107"/>
  <c r="K33" i="107"/>
  <c r="P33" i="107"/>
  <c r="F34" i="107"/>
  <c r="K34" i="107"/>
  <c r="P34" i="107"/>
  <c r="F38" i="107"/>
  <c r="K38" i="107"/>
  <c r="P38" i="107"/>
  <c r="F39" i="107"/>
  <c r="K39" i="107"/>
  <c r="P39" i="107"/>
  <c r="F40" i="107"/>
  <c r="K40" i="107"/>
  <c r="P40" i="107"/>
  <c r="F41" i="107"/>
  <c r="K41" i="107"/>
  <c r="P41" i="107"/>
  <c r="F45" i="107"/>
  <c r="K45" i="107"/>
  <c r="P45" i="107"/>
  <c r="F46" i="107"/>
  <c r="K46" i="107"/>
  <c r="P46" i="107"/>
  <c r="F47" i="107"/>
  <c r="K47" i="107"/>
  <c r="P47" i="107"/>
  <c r="F48" i="107"/>
  <c r="K48" i="107"/>
  <c r="P48" i="107"/>
  <c r="F52" i="107"/>
  <c r="K52" i="107"/>
  <c r="P52" i="107"/>
  <c r="F53" i="107"/>
  <c r="K53" i="107"/>
  <c r="P53" i="107"/>
  <c r="F54" i="107"/>
  <c r="K54" i="107"/>
  <c r="P54" i="107"/>
  <c r="F55" i="107"/>
  <c r="K55" i="107"/>
  <c r="P55" i="107"/>
  <c r="F59" i="107"/>
  <c r="K59" i="107"/>
  <c r="P59" i="107"/>
  <c r="F60" i="107"/>
  <c r="K60" i="107"/>
  <c r="P60" i="107"/>
  <c r="F61" i="107"/>
  <c r="K61" i="107"/>
  <c r="P61" i="107"/>
  <c r="F62" i="107"/>
  <c r="K62" i="107"/>
  <c r="P62" i="107"/>
  <c r="F66" i="107"/>
  <c r="K66" i="107"/>
  <c r="P66" i="107"/>
  <c r="F67" i="107"/>
  <c r="K67" i="107"/>
  <c r="P67" i="107"/>
  <c r="F68" i="107"/>
  <c r="K68" i="107"/>
  <c r="P68" i="107"/>
  <c r="F69" i="107"/>
  <c r="K69" i="107"/>
  <c r="P69" i="107"/>
  <c r="F73" i="107"/>
  <c r="K73" i="107"/>
  <c r="P73" i="107"/>
  <c r="F74" i="107"/>
  <c r="K74" i="107"/>
  <c r="P74" i="107"/>
  <c r="F75" i="107"/>
  <c r="K75" i="107"/>
  <c r="P75" i="107"/>
  <c r="F76" i="107"/>
  <c r="K76" i="107"/>
  <c r="P76" i="107"/>
  <c r="F80" i="107"/>
  <c r="K80" i="107"/>
  <c r="P80" i="107"/>
  <c r="E81" i="107"/>
  <c r="M81" i="107"/>
  <c r="I82" i="107"/>
  <c r="P82" i="107"/>
  <c r="E83" i="107"/>
  <c r="M83" i="107"/>
  <c r="J49" i="81"/>
  <c r="J53" i="81"/>
  <c r="J57" i="81"/>
  <c r="E68" i="81"/>
  <c r="K69" i="81"/>
  <c r="F70" i="81"/>
  <c r="G72" i="81"/>
  <c r="H72" i="81" s="1"/>
  <c r="G73" i="81"/>
  <c r="H73" i="81" s="1"/>
  <c r="C73" i="81"/>
  <c r="C74" i="81"/>
  <c r="D75" i="81"/>
  <c r="I75" i="81"/>
  <c r="E76" i="81"/>
  <c r="K77" i="81"/>
  <c r="F78" i="81"/>
  <c r="G80" i="81"/>
  <c r="H80" i="81" s="1"/>
  <c r="G81" i="81"/>
  <c r="H81" i="81" s="1"/>
  <c r="C81" i="81"/>
  <c r="E81" i="81" s="1"/>
  <c r="C82" i="81"/>
  <c r="D83" i="81"/>
  <c r="I83" i="81"/>
  <c r="K85" i="81"/>
  <c r="F86" i="81"/>
  <c r="G88" i="81"/>
  <c r="H88" i="81" s="1"/>
  <c r="G89" i="81"/>
  <c r="H89" i="81" s="1"/>
  <c r="C89" i="81"/>
  <c r="E89" i="81" s="1"/>
  <c r="C90" i="81"/>
  <c r="D91" i="81"/>
  <c r="I91" i="81"/>
  <c r="F94" i="81"/>
  <c r="F97" i="81"/>
  <c r="C98" i="81"/>
  <c r="C100" i="81"/>
  <c r="C102" i="81"/>
  <c r="C104" i="81"/>
  <c r="C106" i="81"/>
  <c r="C108" i="81"/>
  <c r="C110" i="81"/>
  <c r="C112" i="81"/>
  <c r="C114" i="81"/>
  <c r="C116" i="81"/>
  <c r="C118" i="81"/>
  <c r="C120" i="81"/>
  <c r="C122" i="81"/>
  <c r="C124" i="81"/>
  <c r="F124" i="81" s="1"/>
  <c r="G10" i="107"/>
  <c r="L10" i="107"/>
  <c r="R10" i="107"/>
  <c r="G11" i="107"/>
  <c r="L11" i="107"/>
  <c r="R11" i="107"/>
  <c r="G12" i="107"/>
  <c r="L12" i="107"/>
  <c r="R12" i="107"/>
  <c r="G13" i="107"/>
  <c r="L13" i="107"/>
  <c r="G17" i="107"/>
  <c r="L17" i="107"/>
  <c r="R17" i="107"/>
  <c r="G18" i="107"/>
  <c r="L18" i="107"/>
  <c r="R18" i="107"/>
  <c r="G19" i="107"/>
  <c r="L19" i="107"/>
  <c r="R19" i="107"/>
  <c r="G20" i="107"/>
  <c r="L20" i="107"/>
  <c r="G24" i="107"/>
  <c r="L24" i="107"/>
  <c r="R24" i="107"/>
  <c r="G25" i="107"/>
  <c r="L25" i="107"/>
  <c r="R25" i="107"/>
  <c r="G26" i="107"/>
  <c r="L26" i="107"/>
  <c r="R26" i="107"/>
  <c r="G27" i="107"/>
  <c r="L27" i="107"/>
  <c r="G31" i="107"/>
  <c r="L31" i="107"/>
  <c r="R31" i="107"/>
  <c r="G32" i="107"/>
  <c r="L32" i="107"/>
  <c r="R32" i="107"/>
  <c r="G33" i="107"/>
  <c r="L33" i="107"/>
  <c r="R33" i="107"/>
  <c r="G34" i="107"/>
  <c r="L34" i="107"/>
  <c r="G38" i="107"/>
  <c r="L38" i="107"/>
  <c r="R38" i="107"/>
  <c r="G39" i="107"/>
  <c r="L39" i="107"/>
  <c r="R39" i="107"/>
  <c r="G40" i="107"/>
  <c r="L40" i="107"/>
  <c r="R40" i="107"/>
  <c r="G41" i="107"/>
  <c r="L41" i="107"/>
  <c r="G45" i="107"/>
  <c r="L45" i="107"/>
  <c r="R45" i="107"/>
  <c r="G46" i="107"/>
  <c r="L46" i="107"/>
  <c r="R46" i="107"/>
  <c r="G47" i="107"/>
  <c r="L47" i="107"/>
  <c r="R47" i="107"/>
  <c r="G48" i="107"/>
  <c r="L48" i="107"/>
  <c r="G52" i="107"/>
  <c r="L52" i="107"/>
  <c r="R52" i="107"/>
  <c r="G53" i="107"/>
  <c r="L53" i="107"/>
  <c r="R53" i="107"/>
  <c r="G54" i="107"/>
  <c r="L54" i="107"/>
  <c r="R54" i="107"/>
  <c r="G55" i="107"/>
  <c r="L55" i="107"/>
  <c r="G59" i="107"/>
  <c r="L59" i="107"/>
  <c r="R59" i="107"/>
  <c r="G60" i="107"/>
  <c r="L60" i="107"/>
  <c r="R60" i="107"/>
  <c r="G61" i="107"/>
  <c r="L61" i="107"/>
  <c r="R61" i="107"/>
  <c r="G62" i="107"/>
  <c r="L62" i="107"/>
  <c r="G66" i="107"/>
  <c r="L66" i="107"/>
  <c r="R66" i="107"/>
  <c r="G67" i="107"/>
  <c r="L67" i="107"/>
  <c r="R67" i="107"/>
  <c r="G68" i="107"/>
  <c r="L68" i="107"/>
  <c r="R68" i="107"/>
  <c r="G69" i="107"/>
  <c r="L69" i="107"/>
  <c r="G73" i="107"/>
  <c r="L73" i="107"/>
  <c r="R73" i="107"/>
  <c r="G74" i="107"/>
  <c r="L74" i="107"/>
  <c r="R74" i="107"/>
  <c r="G75" i="107"/>
  <c r="L75" i="107"/>
  <c r="R75" i="107"/>
  <c r="G76" i="107"/>
  <c r="L76" i="107"/>
  <c r="G80" i="107"/>
  <c r="L80" i="107"/>
  <c r="R80" i="107"/>
  <c r="H81" i="107"/>
  <c r="N81" i="107"/>
  <c r="D82" i="107"/>
  <c r="J82" i="107"/>
  <c r="R82" i="107"/>
  <c r="H83" i="107"/>
  <c r="W31" i="102"/>
  <c r="AA31" i="102"/>
  <c r="AE31" i="102"/>
  <c r="AI31" i="102"/>
  <c r="W32" i="102"/>
  <c r="AA32" i="102"/>
  <c r="AE32" i="102"/>
  <c r="AI32" i="102"/>
  <c r="W33" i="102"/>
  <c r="AA33" i="102"/>
  <c r="AE33" i="102"/>
  <c r="AI33" i="102"/>
  <c r="W34" i="102"/>
  <c r="AA34" i="102"/>
  <c r="AE34" i="102"/>
  <c r="W38" i="102"/>
  <c r="AA38" i="102"/>
  <c r="AE38" i="102"/>
  <c r="AI38" i="102"/>
  <c r="W39" i="102"/>
  <c r="AA39" i="102"/>
  <c r="AE39" i="102"/>
  <c r="AI39" i="102"/>
  <c r="W40" i="102"/>
  <c r="AA40" i="102"/>
  <c r="AE40" i="102"/>
  <c r="AI40" i="102"/>
  <c r="W41" i="102"/>
  <c r="AA41" i="102"/>
  <c r="AE41" i="102"/>
  <c r="W45" i="102"/>
  <c r="AA45" i="102"/>
  <c r="AE45" i="102"/>
  <c r="AI45" i="102"/>
  <c r="W46" i="102"/>
  <c r="AA46" i="102"/>
  <c r="AE46" i="102"/>
  <c r="AI46" i="102"/>
  <c r="W47" i="102"/>
  <c r="AA47" i="102"/>
  <c r="AE47" i="102"/>
  <c r="AI47" i="102"/>
  <c r="W48" i="102"/>
  <c r="AA48" i="102"/>
  <c r="AE48" i="102"/>
  <c r="W52" i="102"/>
  <c r="AA52" i="102"/>
  <c r="AE52" i="102"/>
  <c r="AI52" i="102"/>
  <c r="W53" i="102"/>
  <c r="AA53" i="102"/>
  <c r="AE53" i="102"/>
  <c r="AI53" i="102"/>
  <c r="W54" i="102"/>
  <c r="AA54" i="102"/>
  <c r="AE54" i="102"/>
  <c r="AI54" i="102"/>
  <c r="W55" i="102"/>
  <c r="AA55" i="102"/>
  <c r="AE55" i="102"/>
  <c r="AI62" i="102"/>
  <c r="AE62" i="102"/>
  <c r="AA62" i="102"/>
  <c r="W62" i="102"/>
  <c r="AI61" i="102"/>
  <c r="AE61" i="102"/>
  <c r="AA61" i="102"/>
  <c r="W61" i="102"/>
  <c r="AI60" i="102"/>
  <c r="AE60" i="102"/>
  <c r="AA60" i="102"/>
  <c r="W60" i="102"/>
  <c r="AI59" i="102"/>
  <c r="AE59" i="102"/>
  <c r="AA59" i="102"/>
  <c r="W59" i="102"/>
  <c r="U59" i="102"/>
  <c r="Z59" i="102"/>
  <c r="AF59" i="102"/>
  <c r="U60" i="102"/>
  <c r="Z60" i="102"/>
  <c r="AF60" i="102"/>
  <c r="U61" i="102"/>
  <c r="Z61" i="102"/>
  <c r="AF61" i="102"/>
  <c r="U62" i="102"/>
  <c r="Z62" i="102"/>
  <c r="AF62" i="102"/>
  <c r="Q69" i="102"/>
  <c r="M69" i="102"/>
  <c r="I69" i="102"/>
  <c r="E69" i="102"/>
  <c r="Q68" i="102"/>
  <c r="M68" i="102"/>
  <c r="I68" i="102"/>
  <c r="E68" i="102"/>
  <c r="Q67" i="102"/>
  <c r="M67" i="102"/>
  <c r="I67" i="102"/>
  <c r="E67" i="102"/>
  <c r="Q66" i="102"/>
  <c r="M66" i="102"/>
  <c r="I66" i="102"/>
  <c r="E66" i="102"/>
  <c r="C66" i="102"/>
  <c r="H66" i="102"/>
  <c r="N66" i="102"/>
  <c r="C67" i="102"/>
  <c r="H67" i="102"/>
  <c r="N67" i="102"/>
  <c r="C68" i="102"/>
  <c r="H68" i="102"/>
  <c r="N68" i="102"/>
  <c r="C69" i="102"/>
  <c r="H69" i="102"/>
  <c r="N69" i="102"/>
  <c r="Q104" i="102"/>
  <c r="M104" i="102"/>
  <c r="I104" i="102"/>
  <c r="E104" i="102"/>
  <c r="Q103" i="102"/>
  <c r="M103" i="102"/>
  <c r="I103" i="102"/>
  <c r="E103" i="102"/>
  <c r="Q102" i="102"/>
  <c r="M102" i="102"/>
  <c r="I102" i="102"/>
  <c r="E102" i="102"/>
  <c r="Q101" i="102"/>
  <c r="M101" i="102"/>
  <c r="I101" i="102"/>
  <c r="E101" i="102"/>
  <c r="Q76" i="102"/>
  <c r="M76" i="102"/>
  <c r="I76" i="102"/>
  <c r="E76" i="102"/>
  <c r="Q75" i="102"/>
  <c r="M75" i="102"/>
  <c r="I75" i="102"/>
  <c r="E75" i="102"/>
  <c r="Q74" i="102"/>
  <c r="M74" i="102"/>
  <c r="I74" i="102"/>
  <c r="E74" i="102"/>
  <c r="Q73" i="102"/>
  <c r="M73" i="102"/>
  <c r="I73" i="102"/>
  <c r="E73" i="102"/>
  <c r="C73" i="102"/>
  <c r="H73" i="102"/>
  <c r="N73" i="102"/>
  <c r="C74" i="102"/>
  <c r="H74" i="102"/>
  <c r="N74" i="102"/>
  <c r="C75" i="102"/>
  <c r="H75" i="102"/>
  <c r="N75" i="102"/>
  <c r="C76" i="102"/>
  <c r="H76" i="102"/>
  <c r="N76" i="102"/>
  <c r="Q83" i="102"/>
  <c r="M83" i="102"/>
  <c r="I83" i="102"/>
  <c r="E83" i="102"/>
  <c r="Q82" i="102"/>
  <c r="M82" i="102"/>
  <c r="I82" i="102"/>
  <c r="E82" i="102"/>
  <c r="Q81" i="102"/>
  <c r="M81" i="102"/>
  <c r="I81" i="102"/>
  <c r="E81" i="102"/>
  <c r="Q80" i="102"/>
  <c r="M80" i="102"/>
  <c r="I80" i="102"/>
  <c r="E80" i="102"/>
  <c r="C80" i="102"/>
  <c r="H80" i="102"/>
  <c r="N80" i="102"/>
  <c r="C81" i="102"/>
  <c r="H81" i="102"/>
  <c r="N81" i="102"/>
  <c r="C82" i="102"/>
  <c r="H82" i="102"/>
  <c r="N82" i="102"/>
  <c r="C83" i="102"/>
  <c r="H83" i="102"/>
  <c r="N83" i="102"/>
  <c r="Q90" i="102"/>
  <c r="M90" i="102"/>
  <c r="I90" i="102"/>
  <c r="E90" i="102"/>
  <c r="Q89" i="102"/>
  <c r="M89" i="102"/>
  <c r="I89" i="102"/>
  <c r="E89" i="102"/>
  <c r="Q88" i="102"/>
  <c r="M88" i="102"/>
  <c r="I88" i="102"/>
  <c r="E88" i="102"/>
  <c r="Q87" i="102"/>
  <c r="M87" i="102"/>
  <c r="I87" i="102"/>
  <c r="E87" i="102"/>
  <c r="C87" i="102"/>
  <c r="H87" i="102"/>
  <c r="N87" i="102"/>
  <c r="C88" i="102"/>
  <c r="H88" i="102"/>
  <c r="N88" i="102"/>
  <c r="C89" i="102"/>
  <c r="H89" i="102"/>
  <c r="N89" i="102"/>
  <c r="C90" i="102"/>
  <c r="H90" i="102"/>
  <c r="N90" i="102"/>
  <c r="Q97" i="102"/>
  <c r="M97" i="102"/>
  <c r="I97" i="102"/>
  <c r="E97" i="102"/>
  <c r="Q96" i="102"/>
  <c r="M96" i="102"/>
  <c r="I96" i="102"/>
  <c r="E96" i="102"/>
  <c r="Q95" i="102"/>
  <c r="M95" i="102"/>
  <c r="I95" i="102"/>
  <c r="E95" i="102"/>
  <c r="Q94" i="102"/>
  <c r="M94" i="102"/>
  <c r="I94" i="102"/>
  <c r="E94" i="102"/>
  <c r="C94" i="102"/>
  <c r="H94" i="102"/>
  <c r="N94" i="102"/>
  <c r="C95" i="102"/>
  <c r="H95" i="102"/>
  <c r="N95" i="102"/>
  <c r="C96" i="102"/>
  <c r="H96" i="102"/>
  <c r="N96" i="102"/>
  <c r="C97" i="102"/>
  <c r="H97" i="102"/>
  <c r="N97" i="102"/>
  <c r="C101" i="102"/>
  <c r="H101" i="102"/>
  <c r="N101" i="102"/>
  <c r="C102" i="102"/>
  <c r="H102" i="102"/>
  <c r="N102" i="102"/>
  <c r="C103" i="102"/>
  <c r="H103" i="102"/>
  <c r="N103" i="102"/>
  <c r="C104" i="102"/>
  <c r="H104" i="102"/>
  <c r="N104" i="102"/>
  <c r="Q13" i="105"/>
  <c r="M13" i="105"/>
  <c r="I13" i="105"/>
  <c r="E13" i="105"/>
  <c r="Q12" i="105"/>
  <c r="M12" i="105"/>
  <c r="I12" i="105"/>
  <c r="E12" i="105"/>
  <c r="Q11" i="105"/>
  <c r="M11" i="105"/>
  <c r="I11" i="105"/>
  <c r="E11" i="105"/>
  <c r="Q10" i="105"/>
  <c r="M10" i="105"/>
  <c r="I10" i="105"/>
  <c r="E10" i="105"/>
  <c r="C10" i="105"/>
  <c r="H10" i="105"/>
  <c r="N10" i="105"/>
  <c r="C11" i="105"/>
  <c r="H11" i="105"/>
  <c r="N11" i="105"/>
  <c r="C12" i="105"/>
  <c r="H12" i="105"/>
  <c r="N12" i="105"/>
  <c r="C13" i="105"/>
  <c r="H13" i="105"/>
  <c r="N13" i="105"/>
  <c r="Q20" i="105"/>
  <c r="M20" i="105"/>
  <c r="I20" i="105"/>
  <c r="E20" i="105"/>
  <c r="Q19" i="105"/>
  <c r="M19" i="105"/>
  <c r="I19" i="105"/>
  <c r="E19" i="105"/>
  <c r="Q18" i="105"/>
  <c r="M18" i="105"/>
  <c r="I18" i="105"/>
  <c r="E18" i="105"/>
  <c r="Q17" i="105"/>
  <c r="M17" i="105"/>
  <c r="I17" i="105"/>
  <c r="E17" i="105"/>
  <c r="C17" i="105"/>
  <c r="H17" i="105"/>
  <c r="N17" i="105"/>
  <c r="C18" i="105"/>
  <c r="H18" i="105"/>
  <c r="N18" i="105"/>
  <c r="C19" i="105"/>
  <c r="H19" i="105"/>
  <c r="N19" i="105"/>
  <c r="C20" i="105"/>
  <c r="H20" i="105"/>
  <c r="N20" i="105"/>
  <c r="Q27" i="105"/>
  <c r="M27" i="105"/>
  <c r="I27" i="105"/>
  <c r="E27" i="105"/>
  <c r="Q26" i="105"/>
  <c r="M26" i="105"/>
  <c r="I26" i="105"/>
  <c r="E26" i="105"/>
  <c r="Q25" i="105"/>
  <c r="M25" i="105"/>
  <c r="I25" i="105"/>
  <c r="E25" i="105"/>
  <c r="Q24" i="105"/>
  <c r="M24" i="105"/>
  <c r="I24" i="105"/>
  <c r="E24" i="105"/>
  <c r="C24" i="105"/>
  <c r="H24" i="105"/>
  <c r="N24" i="105"/>
  <c r="C25" i="105"/>
  <c r="H25" i="105"/>
  <c r="N25" i="105"/>
  <c r="C26" i="105"/>
  <c r="H26" i="105"/>
  <c r="N26" i="105"/>
  <c r="C27" i="105"/>
  <c r="H27" i="105"/>
  <c r="N27" i="105"/>
  <c r="Q34" i="105"/>
  <c r="M34" i="105"/>
  <c r="I34" i="105"/>
  <c r="E34" i="105"/>
  <c r="Q33" i="105"/>
  <c r="M33" i="105"/>
  <c r="I33" i="105"/>
  <c r="E33" i="105"/>
  <c r="Q32" i="105"/>
  <c r="M32" i="105"/>
  <c r="I32" i="105"/>
  <c r="E32" i="105"/>
  <c r="Q31" i="105"/>
  <c r="M31" i="105"/>
  <c r="I31" i="105"/>
  <c r="E31" i="105"/>
  <c r="C31" i="105"/>
  <c r="H31" i="105"/>
  <c r="N31" i="105"/>
  <c r="C32" i="105"/>
  <c r="H32" i="105"/>
  <c r="N32" i="105"/>
  <c r="C33" i="105"/>
  <c r="H33" i="105"/>
  <c r="N33" i="105"/>
  <c r="C34" i="105"/>
  <c r="H34" i="105"/>
  <c r="N34" i="105"/>
  <c r="Q41" i="105"/>
  <c r="M41" i="105"/>
  <c r="I41" i="105"/>
  <c r="E41" i="105"/>
  <c r="Q40" i="105"/>
  <c r="M40" i="105"/>
  <c r="I40" i="105"/>
  <c r="E40" i="105"/>
  <c r="Q39" i="105"/>
  <c r="M39" i="105"/>
  <c r="I39" i="105"/>
  <c r="E39" i="105"/>
  <c r="Q38" i="105"/>
  <c r="M38" i="105"/>
  <c r="I38" i="105"/>
  <c r="E38" i="105"/>
  <c r="C38" i="105"/>
  <c r="H38" i="105"/>
  <c r="N38" i="105"/>
  <c r="C39" i="105"/>
  <c r="H39" i="105"/>
  <c r="N39" i="105"/>
  <c r="C40" i="105"/>
  <c r="H40" i="105"/>
  <c r="N40" i="105"/>
  <c r="C41" i="105"/>
  <c r="H41" i="105"/>
  <c r="N41" i="105"/>
  <c r="Q48" i="105"/>
  <c r="M48" i="105"/>
  <c r="I48" i="105"/>
  <c r="E48" i="105"/>
  <c r="Q47" i="105"/>
  <c r="M47" i="105"/>
  <c r="I47" i="105"/>
  <c r="E47" i="105"/>
  <c r="Q46" i="105"/>
  <c r="M46" i="105"/>
  <c r="I46" i="105"/>
  <c r="E46" i="105"/>
  <c r="Q45" i="105"/>
  <c r="M45" i="105"/>
  <c r="I45" i="105"/>
  <c r="E45" i="105"/>
  <c r="C45" i="105"/>
  <c r="H45" i="105"/>
  <c r="N45" i="105"/>
  <c r="C46" i="105"/>
  <c r="H46" i="105"/>
  <c r="N46" i="105"/>
  <c r="C47" i="105"/>
  <c r="H47" i="105"/>
  <c r="N47" i="105"/>
  <c r="C48" i="105"/>
  <c r="H48" i="105"/>
  <c r="N48" i="105"/>
  <c r="Q55" i="105"/>
  <c r="M55" i="105"/>
  <c r="I55" i="105"/>
  <c r="E55" i="105"/>
  <c r="Q54" i="105"/>
  <c r="M54" i="105"/>
  <c r="I54" i="105"/>
  <c r="E54" i="105"/>
  <c r="Q53" i="105"/>
  <c r="M53" i="105"/>
  <c r="I53" i="105"/>
  <c r="E53" i="105"/>
  <c r="Q52" i="105"/>
  <c r="M52" i="105"/>
  <c r="I52" i="105"/>
  <c r="E52" i="105"/>
  <c r="C52" i="105"/>
  <c r="H52" i="105"/>
  <c r="N52" i="105"/>
  <c r="C53" i="105"/>
  <c r="H53" i="105"/>
  <c r="N53" i="105"/>
  <c r="C54" i="105"/>
  <c r="H54" i="105"/>
  <c r="N54" i="105"/>
  <c r="C55" i="105"/>
  <c r="H55" i="105"/>
  <c r="N55" i="105"/>
  <c r="Q62" i="105"/>
  <c r="M62" i="105"/>
  <c r="I62" i="105"/>
  <c r="E62" i="105"/>
  <c r="Q61" i="105"/>
  <c r="M61" i="105"/>
  <c r="I61" i="105"/>
  <c r="E61" i="105"/>
  <c r="Q60" i="105"/>
  <c r="M60" i="105"/>
  <c r="I60" i="105"/>
  <c r="E60" i="105"/>
  <c r="Q59" i="105"/>
  <c r="M59" i="105"/>
  <c r="I59" i="105"/>
  <c r="E59" i="105"/>
  <c r="C59" i="105"/>
  <c r="H59" i="105"/>
  <c r="N59" i="105"/>
  <c r="C60" i="105"/>
  <c r="H60" i="105"/>
  <c r="N60" i="105"/>
  <c r="C61" i="105"/>
  <c r="H61" i="105"/>
  <c r="N61" i="105"/>
  <c r="C62" i="105"/>
  <c r="H62" i="105"/>
  <c r="N62" i="105"/>
  <c r="Q69" i="105"/>
  <c r="M69" i="105"/>
  <c r="I69" i="105"/>
  <c r="E69" i="105"/>
  <c r="Q68" i="105"/>
  <c r="M68" i="105"/>
  <c r="I68" i="105"/>
  <c r="E68" i="105"/>
  <c r="Q67" i="105"/>
  <c r="M67" i="105"/>
  <c r="I67" i="105"/>
  <c r="E67" i="105"/>
  <c r="Q66" i="105"/>
  <c r="M66" i="105"/>
  <c r="I66" i="105"/>
  <c r="E66" i="105"/>
  <c r="C66" i="105"/>
  <c r="H66" i="105"/>
  <c r="N66" i="105"/>
  <c r="C67" i="105"/>
  <c r="H67" i="105"/>
  <c r="N67" i="105"/>
  <c r="C68" i="105"/>
  <c r="H68" i="105"/>
  <c r="N68" i="105"/>
  <c r="C69" i="105"/>
  <c r="H69" i="105"/>
  <c r="N69" i="105"/>
  <c r="Q76" i="105"/>
  <c r="M76" i="105"/>
  <c r="I76" i="105"/>
  <c r="E76" i="105"/>
  <c r="Q75" i="105"/>
  <c r="M75" i="105"/>
  <c r="I75" i="105"/>
  <c r="E75" i="105"/>
  <c r="Q74" i="105"/>
  <c r="M74" i="105"/>
  <c r="I74" i="105"/>
  <c r="E74" i="105"/>
  <c r="Q73" i="105"/>
  <c r="M73" i="105"/>
  <c r="I73" i="105"/>
  <c r="E73" i="105"/>
  <c r="C73" i="105"/>
  <c r="H73" i="105"/>
  <c r="N73" i="105"/>
  <c r="C74" i="105"/>
  <c r="H74" i="105"/>
  <c r="N74" i="105"/>
  <c r="C75" i="105"/>
  <c r="H75" i="105"/>
  <c r="N75" i="105"/>
  <c r="C76" i="105"/>
  <c r="H76" i="105"/>
  <c r="N76" i="105"/>
  <c r="Q83" i="105"/>
  <c r="M83" i="105"/>
  <c r="I83" i="105"/>
  <c r="E83" i="105"/>
  <c r="Q82" i="105"/>
  <c r="M82" i="105"/>
  <c r="I82" i="105"/>
  <c r="E82" i="105"/>
  <c r="Q81" i="105"/>
  <c r="M81" i="105"/>
  <c r="I81" i="105"/>
  <c r="E81" i="105"/>
  <c r="Q80" i="105"/>
  <c r="M80" i="105"/>
  <c r="I80" i="105"/>
  <c r="E80" i="105"/>
  <c r="C80" i="105"/>
  <c r="H80" i="105"/>
  <c r="N80" i="105"/>
  <c r="C81" i="105"/>
  <c r="H81" i="105"/>
  <c r="N81" i="105"/>
  <c r="C82" i="105"/>
  <c r="H82" i="105"/>
  <c r="N82" i="105"/>
  <c r="C83" i="105"/>
  <c r="H83" i="105"/>
  <c r="N83" i="105"/>
  <c r="Q90" i="105"/>
  <c r="M90" i="105"/>
  <c r="I90" i="105"/>
  <c r="E90" i="105"/>
  <c r="Q89" i="105"/>
  <c r="M89" i="105"/>
  <c r="I89" i="105"/>
  <c r="E89" i="105"/>
  <c r="Q88" i="105"/>
  <c r="M88" i="105"/>
  <c r="I88" i="105"/>
  <c r="E88" i="105"/>
  <c r="Q87" i="105"/>
  <c r="M87" i="105"/>
  <c r="I87" i="105"/>
  <c r="E87" i="105"/>
  <c r="C87" i="105"/>
  <c r="H87" i="105"/>
  <c r="N87" i="105"/>
  <c r="C88" i="105"/>
  <c r="H88" i="105"/>
  <c r="N88" i="105"/>
  <c r="C89" i="105"/>
  <c r="H89" i="105"/>
  <c r="N89" i="105"/>
  <c r="C90" i="105"/>
  <c r="H90" i="105"/>
  <c r="N90" i="105"/>
  <c r="Q97" i="105"/>
  <c r="M97" i="105"/>
  <c r="I97" i="105"/>
  <c r="E97" i="105"/>
  <c r="Q96" i="105"/>
  <c r="M96" i="105"/>
  <c r="I96" i="105"/>
  <c r="E96" i="105"/>
  <c r="Q95" i="105"/>
  <c r="M95" i="105"/>
  <c r="I95" i="105"/>
  <c r="E95" i="105"/>
  <c r="Q94" i="105"/>
  <c r="M94" i="105"/>
  <c r="I94" i="105"/>
  <c r="E94" i="105"/>
  <c r="C94" i="105"/>
  <c r="H94" i="105"/>
  <c r="N94" i="105"/>
  <c r="C95" i="105"/>
  <c r="H95" i="105"/>
  <c r="N95" i="105"/>
  <c r="C96" i="105"/>
  <c r="H96" i="105"/>
  <c r="N96" i="105"/>
  <c r="C97" i="105"/>
  <c r="H97" i="105"/>
  <c r="N97" i="105"/>
  <c r="Q104" i="105"/>
  <c r="M104" i="105"/>
  <c r="I104" i="105"/>
  <c r="E104" i="105"/>
  <c r="Q103" i="105"/>
  <c r="M103" i="105"/>
  <c r="I103" i="105"/>
  <c r="E103" i="105"/>
  <c r="Q102" i="105"/>
  <c r="M102" i="105"/>
  <c r="I102" i="105"/>
  <c r="E102" i="105"/>
  <c r="Q101" i="105"/>
  <c r="M101" i="105"/>
  <c r="I101" i="105"/>
  <c r="E101" i="105"/>
  <c r="C101" i="105"/>
  <c r="H101" i="105"/>
  <c r="N101" i="105"/>
  <c r="C102" i="105"/>
  <c r="H102" i="105"/>
  <c r="N102" i="105"/>
  <c r="C103" i="105"/>
  <c r="H103" i="105"/>
  <c r="N103" i="105"/>
  <c r="C104" i="105"/>
  <c r="H104" i="105"/>
  <c r="N104" i="105"/>
  <c r="G70" i="81"/>
  <c r="G71" i="81"/>
  <c r="H71" i="81" s="1"/>
  <c r="C71" i="81"/>
  <c r="D74" i="81"/>
  <c r="J74" i="81"/>
  <c r="K74" i="81" s="1"/>
  <c r="J75" i="81"/>
  <c r="G78" i="81"/>
  <c r="G79" i="81"/>
  <c r="H79" i="81" s="1"/>
  <c r="C79" i="81"/>
  <c r="D82" i="81"/>
  <c r="J82" i="81"/>
  <c r="K82" i="81" s="1"/>
  <c r="J83" i="81"/>
  <c r="G86" i="81"/>
  <c r="G87" i="81"/>
  <c r="H87" i="81" s="1"/>
  <c r="C87" i="81"/>
  <c r="D90" i="81"/>
  <c r="J90" i="81"/>
  <c r="K90" i="81" s="1"/>
  <c r="J91" i="81"/>
  <c r="G94" i="81"/>
  <c r="E98" i="81"/>
  <c r="G99" i="81"/>
  <c r="H99" i="81" s="1"/>
  <c r="E100" i="81"/>
  <c r="G101" i="81"/>
  <c r="H101" i="81" s="1"/>
  <c r="E102" i="81"/>
  <c r="G103" i="81"/>
  <c r="H103" i="81" s="1"/>
  <c r="E104" i="81"/>
  <c r="G105" i="81"/>
  <c r="H105" i="81" s="1"/>
  <c r="E106" i="81"/>
  <c r="G107" i="81"/>
  <c r="H107" i="81" s="1"/>
  <c r="E108" i="81"/>
  <c r="G109" i="81"/>
  <c r="H109" i="81" s="1"/>
  <c r="E110" i="81"/>
  <c r="G111" i="81"/>
  <c r="H111" i="81" s="1"/>
  <c r="E112" i="81"/>
  <c r="G113" i="81"/>
  <c r="E114" i="81"/>
  <c r="G115" i="81"/>
  <c r="H115" i="81" s="1"/>
  <c r="E116" i="81"/>
  <c r="G117" i="81"/>
  <c r="E118" i="81"/>
  <c r="G119" i="81"/>
  <c r="H119" i="81" s="1"/>
  <c r="E120" i="81"/>
  <c r="G121" i="81"/>
  <c r="E122" i="81"/>
  <c r="G123" i="81"/>
  <c r="H123" i="81" s="1"/>
  <c r="Q13" i="107"/>
  <c r="M13" i="107"/>
  <c r="I13" i="107"/>
  <c r="E13" i="107"/>
  <c r="Q12" i="107"/>
  <c r="M12" i="107"/>
  <c r="I12" i="107"/>
  <c r="E12" i="107"/>
  <c r="Q11" i="107"/>
  <c r="M11" i="107"/>
  <c r="I11" i="107"/>
  <c r="E11" i="107"/>
  <c r="Q10" i="107"/>
  <c r="M10" i="107"/>
  <c r="I10" i="107"/>
  <c r="E10" i="107"/>
  <c r="C10" i="107"/>
  <c r="H10" i="107"/>
  <c r="N10" i="107"/>
  <c r="C11" i="107"/>
  <c r="H11" i="107"/>
  <c r="N11" i="107"/>
  <c r="C12" i="107"/>
  <c r="H12" i="107"/>
  <c r="N12" i="107"/>
  <c r="C13" i="107"/>
  <c r="H13" i="107"/>
  <c r="N13" i="107"/>
  <c r="Q20" i="107"/>
  <c r="M20" i="107"/>
  <c r="I20" i="107"/>
  <c r="E20" i="107"/>
  <c r="Q19" i="107"/>
  <c r="M19" i="107"/>
  <c r="I19" i="107"/>
  <c r="E19" i="107"/>
  <c r="Q18" i="107"/>
  <c r="M18" i="107"/>
  <c r="I18" i="107"/>
  <c r="E18" i="107"/>
  <c r="Q17" i="107"/>
  <c r="M17" i="107"/>
  <c r="I17" i="107"/>
  <c r="E17" i="107"/>
  <c r="C17" i="107"/>
  <c r="H17" i="107"/>
  <c r="N17" i="107"/>
  <c r="C18" i="107"/>
  <c r="H18" i="107"/>
  <c r="N18" i="107"/>
  <c r="C19" i="107"/>
  <c r="H19" i="107"/>
  <c r="N19" i="107"/>
  <c r="C20" i="107"/>
  <c r="H20" i="107"/>
  <c r="N20" i="107"/>
  <c r="Q27" i="107"/>
  <c r="M27" i="107"/>
  <c r="I27" i="107"/>
  <c r="E27" i="107"/>
  <c r="Q26" i="107"/>
  <c r="M26" i="107"/>
  <c r="I26" i="107"/>
  <c r="E26" i="107"/>
  <c r="Q25" i="107"/>
  <c r="M25" i="107"/>
  <c r="I25" i="107"/>
  <c r="E25" i="107"/>
  <c r="Q24" i="107"/>
  <c r="M24" i="107"/>
  <c r="I24" i="107"/>
  <c r="E24" i="107"/>
  <c r="C24" i="107"/>
  <c r="H24" i="107"/>
  <c r="N24" i="107"/>
  <c r="C25" i="107"/>
  <c r="H25" i="107"/>
  <c r="N25" i="107"/>
  <c r="C26" i="107"/>
  <c r="H26" i="107"/>
  <c r="N26" i="107"/>
  <c r="C27" i="107"/>
  <c r="H27" i="107"/>
  <c r="N27" i="107"/>
  <c r="Q34" i="107"/>
  <c r="M34" i="107"/>
  <c r="I34" i="107"/>
  <c r="E34" i="107"/>
  <c r="Q33" i="107"/>
  <c r="M33" i="107"/>
  <c r="I33" i="107"/>
  <c r="E33" i="107"/>
  <c r="Q32" i="107"/>
  <c r="M32" i="107"/>
  <c r="I32" i="107"/>
  <c r="E32" i="107"/>
  <c r="Q31" i="107"/>
  <c r="M31" i="107"/>
  <c r="I31" i="107"/>
  <c r="E31" i="107"/>
  <c r="C31" i="107"/>
  <c r="H31" i="107"/>
  <c r="N31" i="107"/>
  <c r="C32" i="107"/>
  <c r="H32" i="107"/>
  <c r="N32" i="107"/>
  <c r="C33" i="107"/>
  <c r="H33" i="107"/>
  <c r="N33" i="107"/>
  <c r="C34" i="107"/>
  <c r="H34" i="107"/>
  <c r="N34" i="107"/>
  <c r="Q41" i="107"/>
  <c r="M41" i="107"/>
  <c r="I41" i="107"/>
  <c r="E41" i="107"/>
  <c r="Q40" i="107"/>
  <c r="M40" i="107"/>
  <c r="I40" i="107"/>
  <c r="E40" i="107"/>
  <c r="Q39" i="107"/>
  <c r="M39" i="107"/>
  <c r="I39" i="107"/>
  <c r="E39" i="107"/>
  <c r="Q38" i="107"/>
  <c r="M38" i="107"/>
  <c r="I38" i="107"/>
  <c r="E38" i="107"/>
  <c r="C38" i="107"/>
  <c r="H38" i="107"/>
  <c r="N38" i="107"/>
  <c r="C39" i="107"/>
  <c r="H39" i="107"/>
  <c r="N39" i="107"/>
  <c r="C40" i="107"/>
  <c r="H40" i="107"/>
  <c r="N40" i="107"/>
  <c r="C41" i="107"/>
  <c r="H41" i="107"/>
  <c r="N41" i="107"/>
  <c r="Q48" i="107"/>
  <c r="M48" i="107"/>
  <c r="I48" i="107"/>
  <c r="E48" i="107"/>
  <c r="Q47" i="107"/>
  <c r="M47" i="107"/>
  <c r="I47" i="107"/>
  <c r="E47" i="107"/>
  <c r="Q46" i="107"/>
  <c r="M46" i="107"/>
  <c r="I46" i="107"/>
  <c r="E46" i="107"/>
  <c r="Q45" i="107"/>
  <c r="M45" i="107"/>
  <c r="I45" i="107"/>
  <c r="E45" i="107"/>
  <c r="C45" i="107"/>
  <c r="H45" i="107"/>
  <c r="N45" i="107"/>
  <c r="C46" i="107"/>
  <c r="H46" i="107"/>
  <c r="N46" i="107"/>
  <c r="C47" i="107"/>
  <c r="H47" i="107"/>
  <c r="N47" i="107"/>
  <c r="C48" i="107"/>
  <c r="H48" i="107"/>
  <c r="N48" i="107"/>
  <c r="Q55" i="107"/>
  <c r="M55" i="107"/>
  <c r="I55" i="107"/>
  <c r="E55" i="107"/>
  <c r="Q54" i="107"/>
  <c r="M54" i="107"/>
  <c r="I54" i="107"/>
  <c r="E54" i="107"/>
  <c r="Q53" i="107"/>
  <c r="M53" i="107"/>
  <c r="I53" i="107"/>
  <c r="E53" i="107"/>
  <c r="Q52" i="107"/>
  <c r="M52" i="107"/>
  <c r="I52" i="107"/>
  <c r="E52" i="107"/>
  <c r="C52" i="107"/>
  <c r="H52" i="107"/>
  <c r="N52" i="107"/>
  <c r="C53" i="107"/>
  <c r="H53" i="107"/>
  <c r="N53" i="107"/>
  <c r="C54" i="107"/>
  <c r="H54" i="107"/>
  <c r="N54" i="107"/>
  <c r="C55" i="107"/>
  <c r="H55" i="107"/>
  <c r="N55" i="107"/>
  <c r="Q62" i="107"/>
  <c r="M62" i="107"/>
  <c r="I62" i="107"/>
  <c r="E62" i="107"/>
  <c r="Q61" i="107"/>
  <c r="M61" i="107"/>
  <c r="I61" i="107"/>
  <c r="E61" i="107"/>
  <c r="Q60" i="107"/>
  <c r="M60" i="107"/>
  <c r="I60" i="107"/>
  <c r="E60" i="107"/>
  <c r="Q59" i="107"/>
  <c r="M59" i="107"/>
  <c r="I59" i="107"/>
  <c r="E59" i="107"/>
  <c r="C59" i="107"/>
  <c r="H59" i="107"/>
  <c r="N59" i="107"/>
  <c r="C60" i="107"/>
  <c r="H60" i="107"/>
  <c r="N60" i="107"/>
  <c r="C61" i="107"/>
  <c r="H61" i="107"/>
  <c r="N61" i="107"/>
  <c r="C62" i="107"/>
  <c r="H62" i="107"/>
  <c r="N62" i="107"/>
  <c r="Q69" i="107"/>
  <c r="M69" i="107"/>
  <c r="I69" i="107"/>
  <c r="E69" i="107"/>
  <c r="Q68" i="107"/>
  <c r="M68" i="107"/>
  <c r="I68" i="107"/>
  <c r="E68" i="107"/>
  <c r="Q67" i="107"/>
  <c r="M67" i="107"/>
  <c r="I67" i="107"/>
  <c r="E67" i="107"/>
  <c r="Q66" i="107"/>
  <c r="M66" i="107"/>
  <c r="I66" i="107"/>
  <c r="E66" i="107"/>
  <c r="C66" i="107"/>
  <c r="H66" i="107"/>
  <c r="N66" i="107"/>
  <c r="C67" i="107"/>
  <c r="H67" i="107"/>
  <c r="N67" i="107"/>
  <c r="C68" i="107"/>
  <c r="H68" i="107"/>
  <c r="N68" i="107"/>
  <c r="C69" i="107"/>
  <c r="H69" i="107"/>
  <c r="N69" i="107"/>
  <c r="Q76" i="107"/>
  <c r="M76" i="107"/>
  <c r="I76" i="107"/>
  <c r="E76" i="107"/>
  <c r="Q75" i="107"/>
  <c r="M75" i="107"/>
  <c r="I75" i="107"/>
  <c r="E75" i="107"/>
  <c r="Q74" i="107"/>
  <c r="M74" i="107"/>
  <c r="I74" i="107"/>
  <c r="E74" i="107"/>
  <c r="Q73" i="107"/>
  <c r="M73" i="107"/>
  <c r="I73" i="107"/>
  <c r="E73" i="107"/>
  <c r="C73" i="107"/>
  <c r="H73" i="107"/>
  <c r="N73" i="107"/>
  <c r="C74" i="107"/>
  <c r="H74" i="107"/>
  <c r="N74" i="107"/>
  <c r="C75" i="107"/>
  <c r="H75" i="107"/>
  <c r="N75" i="107"/>
  <c r="C76" i="107"/>
  <c r="H76" i="107"/>
  <c r="N76" i="107"/>
  <c r="O83" i="107"/>
  <c r="K83" i="107"/>
  <c r="G83" i="107"/>
  <c r="C83" i="107"/>
  <c r="O82" i="107"/>
  <c r="K82" i="107"/>
  <c r="G82" i="107"/>
  <c r="C82" i="107"/>
  <c r="O81" i="107"/>
  <c r="K81" i="107"/>
  <c r="G81" i="107"/>
  <c r="C81" i="107"/>
  <c r="Q83" i="107"/>
  <c r="L83" i="107"/>
  <c r="F83" i="107"/>
  <c r="Q82" i="107"/>
  <c r="L82" i="107"/>
  <c r="F82" i="107"/>
  <c r="Q81" i="107"/>
  <c r="L81" i="107"/>
  <c r="F81" i="107"/>
  <c r="Q80" i="107"/>
  <c r="M80" i="107"/>
  <c r="I80" i="107"/>
  <c r="E80" i="107"/>
  <c r="C80" i="107"/>
  <c r="H80" i="107"/>
  <c r="N80" i="107"/>
  <c r="I81" i="107"/>
  <c r="P81" i="107"/>
  <c r="E82" i="107"/>
  <c r="M82" i="107"/>
  <c r="I83" i="107"/>
  <c r="P83" i="107"/>
  <c r="J48" i="81"/>
  <c r="J50" i="81"/>
  <c r="J52" i="81"/>
  <c r="J54" i="81"/>
  <c r="J56" i="81"/>
  <c r="J58" i="81"/>
  <c r="J60" i="81"/>
  <c r="J62" i="81"/>
  <c r="J64" i="81"/>
  <c r="G68" i="81"/>
  <c r="H68" i="81" s="1"/>
  <c r="G69" i="81"/>
  <c r="C69" i="81"/>
  <c r="E69" i="81" s="1"/>
  <c r="C70" i="81"/>
  <c r="D71" i="81"/>
  <c r="I71" i="81"/>
  <c r="K71" i="81" s="1"/>
  <c r="D72" i="81"/>
  <c r="E72" i="81" s="1"/>
  <c r="J72" i="81"/>
  <c r="K72" i="81" s="1"/>
  <c r="J73" i="81"/>
  <c r="F74" i="81"/>
  <c r="F75" i="81"/>
  <c r="G76" i="81"/>
  <c r="H76" i="81" s="1"/>
  <c r="G77" i="81"/>
  <c r="H77" i="81" s="1"/>
  <c r="C77" i="81"/>
  <c r="C78" i="81"/>
  <c r="E78" i="81" s="1"/>
  <c r="D79" i="81"/>
  <c r="I79" i="81"/>
  <c r="D80" i="81"/>
  <c r="J80" i="81"/>
  <c r="K80" i="81" s="1"/>
  <c r="J81" i="81"/>
  <c r="K81" i="81" s="1"/>
  <c r="F82" i="81"/>
  <c r="F83" i="81"/>
  <c r="G84" i="81"/>
  <c r="G85" i="81"/>
  <c r="H85" i="81" s="1"/>
  <c r="C85" i="81"/>
  <c r="E85" i="81" s="1"/>
  <c r="C86" i="81"/>
  <c r="E86" i="81" s="1"/>
  <c r="D87" i="81"/>
  <c r="I87" i="81"/>
  <c r="K87" i="81" s="1"/>
  <c r="D88" i="81"/>
  <c r="J88" i="81"/>
  <c r="K88" i="81" s="1"/>
  <c r="J89" i="81"/>
  <c r="K89" i="81" s="1"/>
  <c r="F90" i="81"/>
  <c r="F91" i="81"/>
  <c r="G92" i="81"/>
  <c r="G93" i="81"/>
  <c r="H93" i="81" s="1"/>
  <c r="C93" i="81"/>
  <c r="E93" i="81" s="1"/>
  <c r="C94" i="81"/>
  <c r="E94" i="81" s="1"/>
  <c r="C99" i="81"/>
  <c r="F99" i="81" s="1"/>
  <c r="C101" i="81"/>
  <c r="F101" i="81" s="1"/>
  <c r="C103" i="81"/>
  <c r="F103" i="81" s="1"/>
  <c r="C105" i="81"/>
  <c r="C107" i="81"/>
  <c r="F107" i="81" s="1"/>
  <c r="C109" i="81"/>
  <c r="F109" i="81" s="1"/>
  <c r="C111" i="81"/>
  <c r="F111" i="81" s="1"/>
  <c r="C113" i="81"/>
  <c r="C115" i="81"/>
  <c r="F115" i="81" s="1"/>
  <c r="C117" i="81"/>
  <c r="C119" i="81"/>
  <c r="F119" i="81" s="1"/>
  <c r="C121" i="81"/>
  <c r="C123" i="81"/>
  <c r="F123" i="81" s="1"/>
  <c r="P8" i="107"/>
  <c r="D10" i="107"/>
  <c r="J10" i="107"/>
  <c r="O10" i="107"/>
  <c r="D11" i="107"/>
  <c r="J11" i="107"/>
  <c r="O11" i="107"/>
  <c r="D12" i="107"/>
  <c r="J12" i="107"/>
  <c r="O12" i="107"/>
  <c r="D13" i="107"/>
  <c r="J13" i="107"/>
  <c r="O13" i="107"/>
  <c r="P15" i="107"/>
  <c r="D17" i="107"/>
  <c r="J17" i="107"/>
  <c r="O17" i="107"/>
  <c r="D18" i="107"/>
  <c r="J18" i="107"/>
  <c r="O18" i="107"/>
  <c r="D19" i="107"/>
  <c r="J19" i="107"/>
  <c r="O19" i="107"/>
  <c r="D20" i="107"/>
  <c r="J20" i="107"/>
  <c r="O20" i="107"/>
  <c r="P22" i="107"/>
  <c r="D24" i="107"/>
  <c r="J24" i="107"/>
  <c r="O24" i="107"/>
  <c r="D25" i="107"/>
  <c r="J25" i="107"/>
  <c r="O25" i="107"/>
  <c r="D26" i="107"/>
  <c r="J26" i="107"/>
  <c r="O26" i="107"/>
  <c r="D27" i="107"/>
  <c r="J27" i="107"/>
  <c r="O27" i="107"/>
  <c r="P29" i="107"/>
  <c r="D31" i="107"/>
  <c r="J31" i="107"/>
  <c r="O31" i="107"/>
  <c r="D32" i="107"/>
  <c r="J32" i="107"/>
  <c r="O32" i="107"/>
  <c r="D33" i="107"/>
  <c r="J33" i="107"/>
  <c r="O33" i="107"/>
  <c r="D34" i="107"/>
  <c r="J34" i="107"/>
  <c r="O34" i="107"/>
  <c r="P36" i="107"/>
  <c r="D38" i="107"/>
  <c r="J38" i="107"/>
  <c r="O38" i="107"/>
  <c r="D39" i="107"/>
  <c r="J39" i="107"/>
  <c r="O39" i="107"/>
  <c r="D40" i="107"/>
  <c r="J40" i="107"/>
  <c r="O40" i="107"/>
  <c r="D41" i="107"/>
  <c r="J41" i="107"/>
  <c r="O41" i="107"/>
  <c r="P43" i="107"/>
  <c r="D45" i="107"/>
  <c r="J45" i="107"/>
  <c r="O45" i="107"/>
  <c r="D46" i="107"/>
  <c r="J46" i="107"/>
  <c r="O46" i="107"/>
  <c r="D47" i="107"/>
  <c r="J47" i="107"/>
  <c r="O47" i="107"/>
  <c r="D48" i="107"/>
  <c r="J48" i="107"/>
  <c r="O48" i="107"/>
  <c r="P50" i="107"/>
  <c r="D52" i="107"/>
  <c r="J52" i="107"/>
  <c r="O52" i="107"/>
  <c r="D53" i="107"/>
  <c r="J53" i="107"/>
  <c r="O53" i="107"/>
  <c r="D54" i="107"/>
  <c r="J54" i="107"/>
  <c r="O54" i="107"/>
  <c r="D55" i="107"/>
  <c r="J55" i="107"/>
  <c r="O55" i="107"/>
  <c r="P57" i="107"/>
  <c r="D59" i="107"/>
  <c r="J59" i="107"/>
  <c r="O59" i="107"/>
  <c r="D60" i="107"/>
  <c r="J60" i="107"/>
  <c r="O60" i="107"/>
  <c r="D61" i="107"/>
  <c r="J61" i="107"/>
  <c r="O61" i="107"/>
  <c r="D62" i="107"/>
  <c r="J62" i="107"/>
  <c r="O62" i="107"/>
  <c r="P64" i="107"/>
  <c r="D66" i="107"/>
  <c r="J66" i="107"/>
  <c r="O66" i="107"/>
  <c r="D67" i="107"/>
  <c r="J67" i="107"/>
  <c r="O67" i="107"/>
  <c r="D68" i="107"/>
  <c r="J68" i="107"/>
  <c r="O68" i="107"/>
  <c r="D69" i="107"/>
  <c r="J69" i="107"/>
  <c r="O69" i="107"/>
  <c r="P71" i="107"/>
  <c r="D73" i="107"/>
  <c r="J73" i="107"/>
  <c r="O73" i="107"/>
  <c r="D74" i="107"/>
  <c r="J74" i="107"/>
  <c r="O74" i="107"/>
  <c r="D75" i="107"/>
  <c r="J75" i="107"/>
  <c r="O75" i="107"/>
  <c r="D76" i="107"/>
  <c r="J76" i="107"/>
  <c r="O76" i="107"/>
  <c r="P78" i="107"/>
  <c r="D80" i="107"/>
  <c r="J80" i="107"/>
  <c r="O80" i="107"/>
  <c r="D81" i="107"/>
  <c r="J81" i="107"/>
  <c r="R81" i="107"/>
  <c r="H82" i="107"/>
  <c r="N82" i="107"/>
  <c r="D83" i="107"/>
  <c r="J83" i="107"/>
  <c r="R83" i="107"/>
  <c r="W66" i="102"/>
  <c r="AA66" i="102"/>
  <c r="AE66" i="102"/>
  <c r="AI66" i="102"/>
  <c r="W67" i="102"/>
  <c r="AA67" i="102"/>
  <c r="AE67" i="102"/>
  <c r="AI67" i="102"/>
  <c r="W68" i="102"/>
  <c r="AA68" i="102"/>
  <c r="AE68" i="102"/>
  <c r="AI68" i="102"/>
  <c r="W69" i="102"/>
  <c r="AA69" i="102"/>
  <c r="AE69" i="102"/>
  <c r="AI69" i="102"/>
  <c r="W73" i="102"/>
  <c r="AA73" i="102"/>
  <c r="AE73" i="102"/>
  <c r="AI73" i="102"/>
  <c r="W74" i="102"/>
  <c r="AA74" i="102"/>
  <c r="AE74" i="102"/>
  <c r="AI74" i="102"/>
  <c r="W75" i="102"/>
  <c r="AA75" i="102"/>
  <c r="AE75" i="102"/>
  <c r="AI75" i="102"/>
  <c r="W76" i="102"/>
  <c r="AA76" i="102"/>
  <c r="AE76" i="102"/>
  <c r="W80" i="102"/>
  <c r="AA80" i="102"/>
  <c r="AE80" i="102"/>
  <c r="AI80" i="102"/>
  <c r="W81" i="102"/>
  <c r="AA81" i="102"/>
  <c r="AE81" i="102"/>
  <c r="AI81" i="102"/>
  <c r="W82" i="102"/>
  <c r="AA82" i="102"/>
  <c r="AE82" i="102"/>
  <c r="AI82" i="102"/>
  <c r="W83" i="102"/>
  <c r="AA83" i="102"/>
  <c r="AE83" i="102"/>
  <c r="AI83" i="102"/>
  <c r="W87" i="102"/>
  <c r="AA87" i="102"/>
  <c r="AE87" i="102"/>
  <c r="AI87" i="102"/>
  <c r="W88" i="102"/>
  <c r="AA88" i="102"/>
  <c r="AE88" i="102"/>
  <c r="AI88" i="102"/>
  <c r="W89" i="102"/>
  <c r="AA89" i="102"/>
  <c r="AE89" i="102"/>
  <c r="AI89" i="102"/>
  <c r="W90" i="102"/>
  <c r="AA90" i="102"/>
  <c r="AE90" i="102"/>
  <c r="AI90" i="102"/>
  <c r="W94" i="102"/>
  <c r="AA94" i="102"/>
  <c r="AE94" i="102"/>
  <c r="AI94" i="102"/>
  <c r="W95" i="102"/>
  <c r="AA95" i="102"/>
  <c r="AE95" i="102"/>
  <c r="AI95" i="102"/>
  <c r="W96" i="102"/>
  <c r="AA96" i="102"/>
  <c r="AE96" i="102"/>
  <c r="AI96" i="102"/>
  <c r="W97" i="102"/>
  <c r="AA97" i="102"/>
  <c r="AE97" i="102"/>
  <c r="W101" i="102"/>
  <c r="AA101" i="102"/>
  <c r="AE101" i="102"/>
  <c r="AI101" i="102"/>
  <c r="W102" i="102"/>
  <c r="AA102" i="102"/>
  <c r="AE102" i="102"/>
  <c r="AI102" i="102"/>
  <c r="W103" i="102"/>
  <c r="AA103" i="102"/>
  <c r="AE103" i="102"/>
  <c r="AI103" i="102"/>
  <c r="W104" i="102"/>
  <c r="AA104" i="102"/>
  <c r="AE104" i="102"/>
  <c r="W10" i="105"/>
  <c r="AA10" i="105"/>
  <c r="AE10" i="105"/>
  <c r="AI10" i="105"/>
  <c r="W11" i="105"/>
  <c r="AA11" i="105"/>
  <c r="AE11" i="105"/>
  <c r="AI11" i="105"/>
  <c r="W12" i="105"/>
  <c r="AA12" i="105"/>
  <c r="AE12" i="105"/>
  <c r="AI12" i="105"/>
  <c r="W13" i="105"/>
  <c r="AA13" i="105"/>
  <c r="AE13" i="105"/>
  <c r="W17" i="105"/>
  <c r="AA17" i="105"/>
  <c r="AE17" i="105"/>
  <c r="AI17" i="105"/>
  <c r="W18" i="105"/>
  <c r="AA18" i="105"/>
  <c r="AE18" i="105"/>
  <c r="AI18" i="105"/>
  <c r="W19" i="105"/>
  <c r="AA19" i="105"/>
  <c r="AE19" i="105"/>
  <c r="AI19" i="105"/>
  <c r="W20" i="105"/>
  <c r="AA20" i="105"/>
  <c r="AE20" i="105"/>
  <c r="W24" i="105"/>
  <c r="AA24" i="105"/>
  <c r="AE24" i="105"/>
  <c r="AI24" i="105"/>
  <c r="W25" i="105"/>
  <c r="AA25" i="105"/>
  <c r="AE25" i="105"/>
  <c r="AI25" i="105"/>
  <c r="W26" i="105"/>
  <c r="AA26" i="105"/>
  <c r="AE26" i="105"/>
  <c r="AI26" i="105"/>
  <c r="W27" i="105"/>
  <c r="AA27" i="105"/>
  <c r="AE27" i="105"/>
  <c r="W31" i="105"/>
  <c r="AA31" i="105"/>
  <c r="AE31" i="105"/>
  <c r="AI31" i="105"/>
  <c r="W32" i="105"/>
  <c r="AA32" i="105"/>
  <c r="AE32" i="105"/>
  <c r="AI32" i="105"/>
  <c r="W33" i="105"/>
  <c r="AA33" i="105"/>
  <c r="AE33" i="105"/>
  <c r="AI33" i="105"/>
  <c r="W34" i="105"/>
  <c r="AA34" i="105"/>
  <c r="AE34" i="105"/>
  <c r="W38" i="105"/>
  <c r="AA38" i="105"/>
  <c r="AE38" i="105"/>
  <c r="AI38" i="105"/>
  <c r="W39" i="105"/>
  <c r="AA39" i="105"/>
  <c r="AE39" i="105"/>
  <c r="AI39" i="105"/>
  <c r="W40" i="105"/>
  <c r="AA40" i="105"/>
  <c r="AE40" i="105"/>
  <c r="AI40" i="105"/>
  <c r="W41" i="105"/>
  <c r="AA41" i="105"/>
  <c r="AE41" i="105"/>
  <c r="W45" i="105"/>
  <c r="AA45" i="105"/>
  <c r="AE45" i="105"/>
  <c r="AI45" i="105"/>
  <c r="W46" i="105"/>
  <c r="AA46" i="105"/>
  <c r="AE46" i="105"/>
  <c r="AI46" i="105"/>
  <c r="W47" i="105"/>
  <c r="AA47" i="105"/>
  <c r="AE47" i="105"/>
  <c r="AI47" i="105"/>
  <c r="W48" i="105"/>
  <c r="AA48" i="105"/>
  <c r="AE48" i="105"/>
  <c r="W52" i="105"/>
  <c r="AA52" i="105"/>
  <c r="AE52" i="105"/>
  <c r="AI52" i="105"/>
  <c r="W53" i="105"/>
  <c r="AA53" i="105"/>
  <c r="AE53" i="105"/>
  <c r="AI53" i="105"/>
  <c r="W54" i="105"/>
  <c r="AA54" i="105"/>
  <c r="AE54" i="105"/>
  <c r="AI54" i="105"/>
  <c r="W55" i="105"/>
  <c r="AA55" i="105"/>
  <c r="AE55" i="105"/>
  <c r="W59" i="105"/>
  <c r="AA59" i="105"/>
  <c r="AE59" i="105"/>
  <c r="AI59" i="105"/>
  <c r="W60" i="105"/>
  <c r="AA60" i="105"/>
  <c r="AE60" i="105"/>
  <c r="AI60" i="105"/>
  <c r="W61" i="105"/>
  <c r="AA61" i="105"/>
  <c r="AE61" i="105"/>
  <c r="AI61" i="105"/>
  <c r="W62" i="105"/>
  <c r="AA62" i="105"/>
  <c r="AE62" i="105"/>
  <c r="W66" i="105"/>
  <c r="AA66" i="105"/>
  <c r="AE66" i="105"/>
  <c r="AI66" i="105"/>
  <c r="W67" i="105"/>
  <c r="AA67" i="105"/>
  <c r="AE67" i="105"/>
  <c r="AI67" i="105"/>
  <c r="W68" i="105"/>
  <c r="AA68" i="105"/>
  <c r="AE68" i="105"/>
  <c r="AI68" i="105"/>
  <c r="W69" i="105"/>
  <c r="AA69" i="105"/>
  <c r="AE69" i="105"/>
  <c r="W73" i="105"/>
  <c r="AA73" i="105"/>
  <c r="AE73" i="105"/>
  <c r="AI73" i="105"/>
  <c r="W74" i="105"/>
  <c r="AA74" i="105"/>
  <c r="AE74" i="105"/>
  <c r="AI74" i="105"/>
  <c r="W75" i="105"/>
  <c r="AA75" i="105"/>
  <c r="AE75" i="105"/>
  <c r="AI75" i="105"/>
  <c r="W76" i="105"/>
  <c r="AA76" i="105"/>
  <c r="AE76" i="105"/>
  <c r="W80" i="105"/>
  <c r="AA80" i="105"/>
  <c r="AE80" i="105"/>
  <c r="AI80" i="105"/>
  <c r="W81" i="105"/>
  <c r="AA81" i="105"/>
  <c r="AE81" i="105"/>
  <c r="AI81" i="105"/>
  <c r="W82" i="105"/>
  <c r="AA82" i="105"/>
  <c r="AE82" i="105"/>
  <c r="AI82" i="105"/>
  <c r="W83" i="105"/>
  <c r="AA83" i="105"/>
  <c r="AE83" i="105"/>
  <c r="W87" i="105"/>
  <c r="AA87" i="105"/>
  <c r="AE87" i="105"/>
  <c r="AI87" i="105"/>
  <c r="W88" i="105"/>
  <c r="AA88" i="105"/>
  <c r="AE88" i="105"/>
  <c r="AI88" i="105"/>
  <c r="W89" i="105"/>
  <c r="AA89" i="105"/>
  <c r="AE89" i="105"/>
  <c r="AI89" i="105"/>
  <c r="W90" i="105"/>
  <c r="AA90" i="105"/>
  <c r="AE90" i="105"/>
  <c r="W94" i="105"/>
  <c r="AA94" i="105"/>
  <c r="AE94" i="105"/>
  <c r="AI94" i="105"/>
  <c r="W95" i="105"/>
  <c r="AA95" i="105"/>
  <c r="AE95" i="105"/>
  <c r="AI95" i="105"/>
  <c r="W96" i="105"/>
  <c r="AA96" i="105"/>
  <c r="AE96" i="105"/>
  <c r="AI96" i="105"/>
  <c r="W97" i="105"/>
  <c r="AA97" i="105"/>
  <c r="AE97" i="105"/>
  <c r="W101" i="105"/>
  <c r="AA101" i="105"/>
  <c r="AE101" i="105"/>
  <c r="AI101" i="105"/>
  <c r="W102" i="105"/>
  <c r="AA102" i="105"/>
  <c r="AE102" i="105"/>
  <c r="AI102" i="105"/>
  <c r="W103" i="105"/>
  <c r="AA103" i="105"/>
  <c r="AE103" i="105"/>
  <c r="AI103" i="105"/>
  <c r="W104" i="105"/>
  <c r="AA104" i="105"/>
  <c r="AE104" i="105"/>
  <c r="W10" i="107"/>
  <c r="AA10" i="107"/>
  <c r="AE10" i="107"/>
  <c r="AI10" i="107"/>
  <c r="W11" i="107"/>
  <c r="AA11" i="107"/>
  <c r="AE11" i="107"/>
  <c r="AI11" i="107"/>
  <c r="W12" i="107"/>
  <c r="AA12" i="107"/>
  <c r="AE12" i="107"/>
  <c r="AI12" i="107"/>
  <c r="W13" i="107"/>
  <c r="AA13" i="107"/>
  <c r="AE13" i="107"/>
  <c r="W17" i="107"/>
  <c r="AA17" i="107"/>
  <c r="AE17" i="107"/>
  <c r="AI17" i="107"/>
  <c r="W18" i="107"/>
  <c r="AA18" i="107"/>
  <c r="AE18" i="107"/>
  <c r="AI18" i="107"/>
  <c r="W19" i="107"/>
  <c r="AA19" i="107"/>
  <c r="AE19" i="107"/>
  <c r="AI19" i="107"/>
  <c r="W20" i="107"/>
  <c r="AA20" i="107"/>
  <c r="AE20" i="107"/>
  <c r="W24" i="107"/>
  <c r="AA24" i="107"/>
  <c r="AE24" i="107"/>
  <c r="AI24" i="107"/>
  <c r="W25" i="107"/>
  <c r="AA25" i="107"/>
  <c r="AE25" i="107"/>
  <c r="AI25" i="107"/>
  <c r="W26" i="107"/>
  <c r="AA26" i="107"/>
  <c r="AE26" i="107"/>
  <c r="AI26" i="107"/>
  <c r="W27" i="107"/>
  <c r="AA27" i="107"/>
  <c r="AE27" i="107"/>
  <c r="W31" i="107"/>
  <c r="AA31" i="107"/>
  <c r="AE31" i="107"/>
  <c r="AI31" i="107"/>
  <c r="W32" i="107"/>
  <c r="AA32" i="107"/>
  <c r="AE32" i="107"/>
  <c r="AI32" i="107"/>
  <c r="W33" i="107"/>
  <c r="AA33" i="107"/>
  <c r="AE33" i="107"/>
  <c r="AI33" i="107"/>
  <c r="W34" i="107"/>
  <c r="AA34" i="107"/>
  <c r="AE34" i="107"/>
  <c r="W38" i="107"/>
  <c r="AA38" i="107"/>
  <c r="AE38" i="107"/>
  <c r="AI38" i="107"/>
  <c r="W39" i="107"/>
  <c r="AA39" i="107"/>
  <c r="AE39" i="107"/>
  <c r="AI39" i="107"/>
  <c r="W40" i="107"/>
  <c r="AA40" i="107"/>
  <c r="AE40" i="107"/>
  <c r="AI40" i="107"/>
  <c r="W41" i="107"/>
  <c r="AA41" i="107"/>
  <c r="AE41" i="107"/>
  <c r="W45" i="107"/>
  <c r="AA45" i="107"/>
  <c r="AE45" i="107"/>
  <c r="AI45" i="107"/>
  <c r="W46" i="107"/>
  <c r="AA46" i="107"/>
  <c r="AE46" i="107"/>
  <c r="AI46" i="107"/>
  <c r="W47" i="107"/>
  <c r="AA47" i="107"/>
  <c r="AE47" i="107"/>
  <c r="AI47" i="107"/>
  <c r="W48" i="107"/>
  <c r="AA48" i="107"/>
  <c r="AE48" i="107"/>
  <c r="W52" i="107"/>
  <c r="AA52" i="107"/>
  <c r="AE52" i="107"/>
  <c r="AI52" i="107"/>
  <c r="W53" i="107"/>
  <c r="AA53" i="107"/>
  <c r="AE53" i="107"/>
  <c r="AI53" i="107"/>
  <c r="W54" i="107"/>
  <c r="AA54" i="107"/>
  <c r="AE54" i="107"/>
  <c r="AI54" i="107"/>
  <c r="W55" i="107"/>
  <c r="AA55" i="107"/>
  <c r="AE55" i="107"/>
  <c r="W59" i="107"/>
  <c r="AA59" i="107"/>
  <c r="AE59" i="107"/>
  <c r="AI59" i="107"/>
  <c r="W60" i="107"/>
  <c r="AA60" i="107"/>
  <c r="AE60" i="107"/>
  <c r="AI60" i="107"/>
  <c r="W61" i="107"/>
  <c r="AA61" i="107"/>
  <c r="AE61" i="107"/>
  <c r="AI61" i="107"/>
  <c r="W62" i="107"/>
  <c r="AA62" i="107"/>
  <c r="AE62" i="107"/>
  <c r="W66" i="107"/>
  <c r="AA66" i="107"/>
  <c r="AE66" i="107"/>
  <c r="AI66" i="107"/>
  <c r="W67" i="107"/>
  <c r="AA67" i="107"/>
  <c r="AE67" i="107"/>
  <c r="AI67" i="107"/>
  <c r="W68" i="107"/>
  <c r="AA68" i="107"/>
  <c r="AE68" i="107"/>
  <c r="AI68" i="107"/>
  <c r="W69" i="107"/>
  <c r="AA69" i="107"/>
  <c r="AE69" i="107"/>
  <c r="W73" i="107"/>
  <c r="AA73" i="107"/>
  <c r="AE73" i="107"/>
  <c r="AI73" i="107"/>
  <c r="W74" i="107"/>
  <c r="AA74" i="107"/>
  <c r="AE74" i="107"/>
  <c r="AI74" i="107"/>
  <c r="W75" i="107"/>
  <c r="AA75" i="107"/>
  <c r="AE75" i="107"/>
  <c r="AI75" i="107"/>
  <c r="W76" i="107"/>
  <c r="AA76" i="107"/>
  <c r="AE76" i="107"/>
  <c r="AG83" i="107"/>
  <c r="AC83" i="107"/>
  <c r="Y83" i="107"/>
  <c r="U83" i="107"/>
  <c r="AG82" i="107"/>
  <c r="AC82" i="107"/>
  <c r="Y82" i="107"/>
  <c r="U82" i="107"/>
  <c r="AG81" i="107"/>
  <c r="AC81" i="107"/>
  <c r="Y81" i="107"/>
  <c r="U81" i="107"/>
  <c r="AG80" i="107"/>
  <c r="AC80" i="107"/>
  <c r="Y80" i="107"/>
  <c r="U80" i="107"/>
  <c r="X80" i="107"/>
  <c r="AD80" i="107"/>
  <c r="AI80" i="107"/>
  <c r="X81" i="107"/>
  <c r="AD81" i="107"/>
  <c r="AI81" i="107"/>
  <c r="X82" i="107"/>
  <c r="AD82" i="107"/>
  <c r="AI82" i="107"/>
  <c r="X83" i="107"/>
  <c r="AD83" i="107"/>
  <c r="AI83" i="107"/>
  <c r="AG90" i="107"/>
  <c r="AC90" i="107"/>
  <c r="Y90" i="107"/>
  <c r="U90" i="107"/>
  <c r="AG89" i="107"/>
  <c r="AC89" i="107"/>
  <c r="Y89" i="107"/>
  <c r="U89" i="107"/>
  <c r="AG88" i="107"/>
  <c r="AC88" i="107"/>
  <c r="Y88" i="107"/>
  <c r="U88" i="107"/>
  <c r="AG87" i="107"/>
  <c r="AC87" i="107"/>
  <c r="Y87" i="107"/>
  <c r="U87" i="107"/>
  <c r="X87" i="107"/>
  <c r="AD87" i="107"/>
  <c r="AI87" i="107"/>
  <c r="X88" i="107"/>
  <c r="AD88" i="107"/>
  <c r="AI88" i="107"/>
  <c r="X89" i="107"/>
  <c r="AD89" i="107"/>
  <c r="AI89" i="107"/>
  <c r="X90" i="107"/>
  <c r="AD90" i="107"/>
  <c r="AI90" i="107"/>
  <c r="AG97" i="107"/>
  <c r="AC97" i="107"/>
  <c r="Y97" i="107"/>
  <c r="U97" i="107"/>
  <c r="AG96" i="107"/>
  <c r="AC96" i="107"/>
  <c r="Y96" i="107"/>
  <c r="U96" i="107"/>
  <c r="AG95" i="107"/>
  <c r="AC95" i="107"/>
  <c r="Y95" i="107"/>
  <c r="U95" i="107"/>
  <c r="AG94" i="107"/>
  <c r="AC94" i="107"/>
  <c r="Y94" i="107"/>
  <c r="U94" i="107"/>
  <c r="X94" i="107"/>
  <c r="AD94" i="107"/>
  <c r="AI94" i="107"/>
  <c r="X95" i="107"/>
  <c r="AD95" i="107"/>
  <c r="AI95" i="107"/>
  <c r="X96" i="107"/>
  <c r="AD96" i="107"/>
  <c r="AI96" i="107"/>
  <c r="X97" i="107"/>
  <c r="AD97" i="107"/>
  <c r="AI97" i="107"/>
  <c r="AG104" i="107"/>
  <c r="AC104" i="107"/>
  <c r="Y104" i="107"/>
  <c r="U104" i="107"/>
  <c r="AG103" i="107"/>
  <c r="AC103" i="107"/>
  <c r="Y103" i="107"/>
  <c r="U103" i="107"/>
  <c r="AG102" i="107"/>
  <c r="AC102" i="107"/>
  <c r="Y102" i="107"/>
  <c r="U102" i="107"/>
  <c r="AG101" i="107"/>
  <c r="AC101" i="107"/>
  <c r="Y101" i="107"/>
  <c r="U101" i="107"/>
  <c r="X101" i="107"/>
  <c r="AD101" i="107"/>
  <c r="AI101" i="107"/>
  <c r="X102" i="107"/>
  <c r="AD102" i="107"/>
  <c r="AI102" i="107"/>
  <c r="X103" i="107"/>
  <c r="AD103" i="107"/>
  <c r="AI103" i="107"/>
  <c r="X104" i="107"/>
  <c r="AD104" i="107"/>
  <c r="AI104" i="107"/>
  <c r="AE13" i="109"/>
  <c r="AA13" i="109"/>
  <c r="W13" i="109"/>
  <c r="AG12" i="109"/>
  <c r="AC12" i="109"/>
  <c r="Y12" i="109"/>
  <c r="U12" i="109"/>
  <c r="AE11" i="109"/>
  <c r="AA11" i="109"/>
  <c r="W11" i="109"/>
  <c r="AG10" i="109"/>
  <c r="AC10" i="109"/>
  <c r="Y10" i="109"/>
  <c r="U10" i="109"/>
  <c r="X10" i="109"/>
  <c r="AD10" i="109"/>
  <c r="U11" i="109"/>
  <c r="Z11" i="109"/>
  <c r="AF11" i="109"/>
  <c r="W12" i="109"/>
  <c r="AB12" i="109"/>
  <c r="AH12" i="109"/>
  <c r="Y13" i="109"/>
  <c r="AD13" i="109"/>
  <c r="V17" i="109"/>
  <c r="AA17" i="109"/>
  <c r="AF17" i="109"/>
  <c r="X18" i="109"/>
  <c r="AC18" i="109"/>
  <c r="AH18" i="109"/>
  <c r="Z19" i="109"/>
  <c r="AE19" i="109"/>
  <c r="V20" i="109"/>
  <c r="AB20" i="109"/>
  <c r="AE27" i="109"/>
  <c r="AA27" i="109"/>
  <c r="W27" i="109"/>
  <c r="AG26" i="109"/>
  <c r="AC26" i="109"/>
  <c r="Y26" i="109"/>
  <c r="U26" i="109"/>
  <c r="AE25" i="109"/>
  <c r="AA25" i="109"/>
  <c r="W25" i="109"/>
  <c r="AG24" i="109"/>
  <c r="AC24" i="109"/>
  <c r="Y24" i="109"/>
  <c r="U24" i="109"/>
  <c r="AF27" i="109"/>
  <c r="Z27" i="109"/>
  <c r="X24" i="109"/>
  <c r="AD24" i="109"/>
  <c r="U25" i="109"/>
  <c r="Z25" i="109"/>
  <c r="AF25" i="109"/>
  <c r="W26" i="109"/>
  <c r="AB26" i="109"/>
  <c r="AH26" i="109"/>
  <c r="Y27" i="109"/>
  <c r="AG27" i="109"/>
  <c r="AE34" i="109"/>
  <c r="AA34" i="109"/>
  <c r="W34" i="109"/>
  <c r="AG33" i="109"/>
  <c r="AC33" i="109"/>
  <c r="Y33" i="109"/>
  <c r="U33" i="109"/>
  <c r="AE32" i="109"/>
  <c r="AA32" i="109"/>
  <c r="W32" i="109"/>
  <c r="AG31" i="109"/>
  <c r="AC31" i="109"/>
  <c r="Y31" i="109"/>
  <c r="U31" i="109"/>
  <c r="AH34" i="109"/>
  <c r="AC34" i="109"/>
  <c r="X34" i="109"/>
  <c r="AF33" i="109"/>
  <c r="AA33" i="109"/>
  <c r="V33" i="109"/>
  <c r="AD32" i="109"/>
  <c r="Y32" i="109"/>
  <c r="AH31" i="109"/>
  <c r="AB31" i="109"/>
  <c r="W31" i="109"/>
  <c r="Z31" i="109"/>
  <c r="AF31" i="109"/>
  <c r="Z32" i="109"/>
  <c r="AG32" i="109"/>
  <c r="Z33" i="109"/>
  <c r="AH33" i="109"/>
  <c r="Z34" i="109"/>
  <c r="AG34" i="109"/>
  <c r="V38" i="109"/>
  <c r="AB38" i="109"/>
  <c r="U39" i="109"/>
  <c r="AC39" i="109"/>
  <c r="V40" i="109"/>
  <c r="AB40" i="109"/>
  <c r="V41" i="109"/>
  <c r="AC41" i="109"/>
  <c r="V45" i="109"/>
  <c r="AD45" i="109"/>
  <c r="V46" i="109"/>
  <c r="AC46" i="109"/>
  <c r="W47" i="109"/>
  <c r="AD47" i="109"/>
  <c r="V48" i="109"/>
  <c r="AA52" i="109"/>
  <c r="X53" i="109"/>
  <c r="AH53" i="109"/>
  <c r="AE54" i="109"/>
  <c r="AA59" i="109"/>
  <c r="X60" i="109"/>
  <c r="AH60" i="109"/>
  <c r="AE61" i="109"/>
  <c r="AA66" i="109"/>
  <c r="X67" i="109"/>
  <c r="AH67" i="109"/>
  <c r="AE68" i="109"/>
  <c r="AA73" i="109"/>
  <c r="X74" i="109"/>
  <c r="AH74" i="109"/>
  <c r="AE75" i="109"/>
  <c r="AA80" i="109"/>
  <c r="AC81" i="109"/>
  <c r="U88" i="109"/>
  <c r="X41" i="109"/>
  <c r="AD41" i="109"/>
  <c r="AE55" i="109"/>
  <c r="AA55" i="109"/>
  <c r="W55" i="109"/>
  <c r="AG54" i="109"/>
  <c r="AC54" i="109"/>
  <c r="Y54" i="109"/>
  <c r="U54" i="109"/>
  <c r="AE53" i="109"/>
  <c r="AA53" i="109"/>
  <c r="W53" i="109"/>
  <c r="AG52" i="109"/>
  <c r="AC52" i="109"/>
  <c r="Y52" i="109"/>
  <c r="U52" i="109"/>
  <c r="AF55" i="109"/>
  <c r="Z55" i="109"/>
  <c r="U55" i="109"/>
  <c r="AD54" i="109"/>
  <c r="X54" i="109"/>
  <c r="AG53" i="109"/>
  <c r="AB53" i="109"/>
  <c r="V53" i="109"/>
  <c r="AE52" i="109"/>
  <c r="Z52" i="109"/>
  <c r="AF50" i="109"/>
  <c r="AH55" i="109"/>
  <c r="AC55" i="109"/>
  <c r="X55" i="109"/>
  <c r="AF54" i="109"/>
  <c r="AA54" i="109"/>
  <c r="V54" i="109"/>
  <c r="AD53" i="109"/>
  <c r="Y53" i="109"/>
  <c r="AH52" i="109"/>
  <c r="AB52" i="109"/>
  <c r="W52" i="109"/>
  <c r="AD52" i="109"/>
  <c r="Z53" i="109"/>
  <c r="W54" i="109"/>
  <c r="AH54" i="109"/>
  <c r="AD55" i="109"/>
  <c r="AE62" i="109"/>
  <c r="AA62" i="109"/>
  <c r="W62" i="109"/>
  <c r="AG61" i="109"/>
  <c r="AC61" i="109"/>
  <c r="Y61" i="109"/>
  <c r="U61" i="109"/>
  <c r="AE60" i="109"/>
  <c r="AA60" i="109"/>
  <c r="W60" i="109"/>
  <c r="AG59" i="109"/>
  <c r="AC59" i="109"/>
  <c r="Y59" i="109"/>
  <c r="U59" i="109"/>
  <c r="AH62" i="109"/>
  <c r="AC62" i="109"/>
  <c r="X62" i="109"/>
  <c r="AF61" i="109"/>
  <c r="AA61" i="109"/>
  <c r="V61" i="109"/>
  <c r="AD60" i="109"/>
  <c r="Y60" i="109"/>
  <c r="AH59" i="109"/>
  <c r="AB59" i="109"/>
  <c r="W59" i="109"/>
  <c r="AF62" i="109"/>
  <c r="Z62" i="109"/>
  <c r="U62" i="109"/>
  <c r="AD61" i="109"/>
  <c r="X61" i="109"/>
  <c r="AG60" i="109"/>
  <c r="AB60" i="109"/>
  <c r="V60" i="109"/>
  <c r="AE59" i="109"/>
  <c r="Z59" i="109"/>
  <c r="AF57" i="109"/>
  <c r="AD59" i="109"/>
  <c r="Z60" i="109"/>
  <c r="W61" i="109"/>
  <c r="AH61" i="109"/>
  <c r="AD62" i="109"/>
  <c r="AE69" i="109"/>
  <c r="AA69" i="109"/>
  <c r="W69" i="109"/>
  <c r="AG68" i="109"/>
  <c r="AC68" i="109"/>
  <c r="Y68" i="109"/>
  <c r="U68" i="109"/>
  <c r="AE67" i="109"/>
  <c r="AA67" i="109"/>
  <c r="W67" i="109"/>
  <c r="AG66" i="109"/>
  <c r="AC66" i="109"/>
  <c r="Y66" i="109"/>
  <c r="U66" i="109"/>
  <c r="AF69" i="109"/>
  <c r="Z69" i="109"/>
  <c r="U69" i="109"/>
  <c r="AD68" i="109"/>
  <c r="X68" i="109"/>
  <c r="AG67" i="109"/>
  <c r="AB67" i="109"/>
  <c r="V67" i="109"/>
  <c r="AE66" i="109"/>
  <c r="Z66" i="109"/>
  <c r="AF64" i="109"/>
  <c r="AH69" i="109"/>
  <c r="AC69" i="109"/>
  <c r="X69" i="109"/>
  <c r="AF68" i="109"/>
  <c r="AA68" i="109"/>
  <c r="V68" i="109"/>
  <c r="AD67" i="109"/>
  <c r="Y67" i="109"/>
  <c r="AH66" i="109"/>
  <c r="AB66" i="109"/>
  <c r="W66" i="109"/>
  <c r="AD66" i="109"/>
  <c r="Z67" i="109"/>
  <c r="W68" i="109"/>
  <c r="AH68" i="109"/>
  <c r="AD69" i="109"/>
  <c r="AE76" i="109"/>
  <c r="AA76" i="109"/>
  <c r="W76" i="109"/>
  <c r="AG75" i="109"/>
  <c r="AC75" i="109"/>
  <c r="Y75" i="109"/>
  <c r="U75" i="109"/>
  <c r="AE74" i="109"/>
  <c r="AA74" i="109"/>
  <c r="W74" i="109"/>
  <c r="AG73" i="109"/>
  <c r="AC73" i="109"/>
  <c r="Y73" i="109"/>
  <c r="U73" i="109"/>
  <c r="AH76" i="109"/>
  <c r="AC76" i="109"/>
  <c r="X76" i="109"/>
  <c r="AF75" i="109"/>
  <c r="AA75" i="109"/>
  <c r="V75" i="109"/>
  <c r="AD74" i="109"/>
  <c r="Y74" i="109"/>
  <c r="AH73" i="109"/>
  <c r="AB73" i="109"/>
  <c r="W73" i="109"/>
  <c r="AF76" i="109"/>
  <c r="Z76" i="109"/>
  <c r="U76" i="109"/>
  <c r="AD75" i="109"/>
  <c r="X75" i="109"/>
  <c r="AG74" i="109"/>
  <c r="AB74" i="109"/>
  <c r="V74" i="109"/>
  <c r="AE73" i="109"/>
  <c r="Z73" i="109"/>
  <c r="AF71" i="109"/>
  <c r="AD73" i="109"/>
  <c r="Z74" i="109"/>
  <c r="W75" i="109"/>
  <c r="AH75" i="109"/>
  <c r="AD76" i="109"/>
  <c r="AE83" i="109"/>
  <c r="AA83" i="109"/>
  <c r="W83" i="109"/>
  <c r="AG82" i="109"/>
  <c r="AC82" i="109"/>
  <c r="Y82" i="109"/>
  <c r="U82" i="109"/>
  <c r="AE81" i="109"/>
  <c r="AA81" i="109"/>
  <c r="W81" i="109"/>
  <c r="AG80" i="109"/>
  <c r="AC80" i="109"/>
  <c r="Y80" i="109"/>
  <c r="U80" i="109"/>
  <c r="AF83" i="109"/>
  <c r="Z83" i="109"/>
  <c r="U83" i="109"/>
  <c r="AD82" i="109"/>
  <c r="X82" i="109"/>
  <c r="AG81" i="109"/>
  <c r="AB81" i="109"/>
  <c r="V81" i="109"/>
  <c r="AE80" i="109"/>
  <c r="Z80" i="109"/>
  <c r="AF78" i="109"/>
  <c r="AD83" i="109"/>
  <c r="Y83" i="109"/>
  <c r="AH82" i="109"/>
  <c r="AB82" i="109"/>
  <c r="W82" i="109"/>
  <c r="AF81" i="109"/>
  <c r="Z81" i="109"/>
  <c r="U81" i="109"/>
  <c r="AH83" i="109"/>
  <c r="AC83" i="109"/>
  <c r="X83" i="109"/>
  <c r="AF82" i="109"/>
  <c r="AA82" i="109"/>
  <c r="V82" i="109"/>
  <c r="AD81" i="109"/>
  <c r="Y81" i="109"/>
  <c r="AH80" i="109"/>
  <c r="AB80" i="109"/>
  <c r="W80" i="109"/>
  <c r="AD80" i="109"/>
  <c r="AH81" i="109"/>
  <c r="AB83" i="109"/>
  <c r="AE90" i="109"/>
  <c r="AA90" i="109"/>
  <c r="W90" i="109"/>
  <c r="AG89" i="109"/>
  <c r="AC89" i="109"/>
  <c r="Y89" i="109"/>
  <c r="U89" i="109"/>
  <c r="AE88" i="109"/>
  <c r="AA88" i="109"/>
  <c r="W88" i="109"/>
  <c r="AG87" i="109"/>
  <c r="AC87" i="109"/>
  <c r="Y87" i="109"/>
  <c r="U87" i="109"/>
  <c r="AH90" i="109"/>
  <c r="AC90" i="109"/>
  <c r="X90" i="109"/>
  <c r="AF89" i="109"/>
  <c r="AA89" i="109"/>
  <c r="V89" i="109"/>
  <c r="AD88" i="109"/>
  <c r="Y88" i="109"/>
  <c r="AH87" i="109"/>
  <c r="AB87" i="109"/>
  <c r="W87" i="109"/>
  <c r="AG90" i="109"/>
  <c r="AB90" i="109"/>
  <c r="V90" i="109"/>
  <c r="AE89" i="109"/>
  <c r="Z89" i="109"/>
  <c r="AH88" i="109"/>
  <c r="AC88" i="109"/>
  <c r="X88" i="109"/>
  <c r="AF87" i="109"/>
  <c r="AA87" i="109"/>
  <c r="V87" i="109"/>
  <c r="AF90" i="109"/>
  <c r="Z90" i="109"/>
  <c r="U90" i="109"/>
  <c r="AD89" i="109"/>
  <c r="X89" i="109"/>
  <c r="AG88" i="109"/>
  <c r="AB88" i="109"/>
  <c r="V88" i="109"/>
  <c r="AE87" i="109"/>
  <c r="Z87" i="109"/>
  <c r="AF85" i="109"/>
  <c r="Z88" i="109"/>
  <c r="AH89" i="109"/>
  <c r="AE20" i="109"/>
  <c r="AA20" i="109"/>
  <c r="W20" i="109"/>
  <c r="AG19" i="109"/>
  <c r="AC19" i="109"/>
  <c r="Y19" i="109"/>
  <c r="U19" i="109"/>
  <c r="AE18" i="109"/>
  <c r="AA18" i="109"/>
  <c r="W18" i="109"/>
  <c r="AG17" i="109"/>
  <c r="AC17" i="109"/>
  <c r="Y17" i="109"/>
  <c r="U17" i="109"/>
  <c r="X17" i="109"/>
  <c r="AD17" i="109"/>
  <c r="U18" i="109"/>
  <c r="Z18" i="109"/>
  <c r="AF18" i="109"/>
  <c r="W19" i="109"/>
  <c r="AB19" i="109"/>
  <c r="AH19" i="109"/>
  <c r="Y20" i="109"/>
  <c r="AD20" i="109"/>
  <c r="Z26" i="109"/>
  <c r="AE26" i="109"/>
  <c r="V27" i="109"/>
  <c r="AC27" i="109"/>
  <c r="V32" i="109"/>
  <c r="AC32" i="109"/>
  <c r="W33" i="109"/>
  <c r="AD33" i="109"/>
  <c r="V34" i="109"/>
  <c r="AD34" i="109"/>
  <c r="X38" i="109"/>
  <c r="AF38" i="109"/>
  <c r="Y39" i="109"/>
  <c r="AF39" i="109"/>
  <c r="Z40" i="109"/>
  <c r="AF40" i="109"/>
  <c r="Y41" i="109"/>
  <c r="AE48" i="109"/>
  <c r="AA48" i="109"/>
  <c r="W48" i="109"/>
  <c r="AG47" i="109"/>
  <c r="AC47" i="109"/>
  <c r="Y47" i="109"/>
  <c r="U47" i="109"/>
  <c r="AE46" i="109"/>
  <c r="AA46" i="109"/>
  <c r="W46" i="109"/>
  <c r="AG45" i="109"/>
  <c r="AC45" i="109"/>
  <c r="Y45" i="109"/>
  <c r="U45" i="109"/>
  <c r="AH48" i="109"/>
  <c r="AC48" i="109"/>
  <c r="X48" i="109"/>
  <c r="AF47" i="109"/>
  <c r="AA47" i="109"/>
  <c r="V47" i="109"/>
  <c r="AD46" i="109"/>
  <c r="Y46" i="109"/>
  <c r="AH45" i="109"/>
  <c r="AB45" i="109"/>
  <c r="W45" i="109"/>
  <c r="Z45" i="109"/>
  <c r="AF45" i="109"/>
  <c r="Z46" i="109"/>
  <c r="AG46" i="109"/>
  <c r="Z47" i="109"/>
  <c r="AH47" i="109"/>
  <c r="Z48" i="109"/>
  <c r="AG48" i="109"/>
  <c r="V52" i="109"/>
  <c r="AF52" i="109"/>
  <c r="AC53" i="109"/>
  <c r="Z54" i="109"/>
  <c r="V55" i="109"/>
  <c r="AG55" i="109"/>
  <c r="V59" i="109"/>
  <c r="AF59" i="109"/>
  <c r="AC60" i="109"/>
  <c r="Z61" i="109"/>
  <c r="V62" i="109"/>
  <c r="AG62" i="109"/>
  <c r="V66" i="109"/>
  <c r="AF66" i="109"/>
  <c r="AC67" i="109"/>
  <c r="Z68" i="109"/>
  <c r="V69" i="109"/>
  <c r="AG69" i="109"/>
  <c r="V73" i="109"/>
  <c r="AF73" i="109"/>
  <c r="AC74" i="109"/>
  <c r="Z75" i="109"/>
  <c r="V76" i="109"/>
  <c r="AG76" i="109"/>
  <c r="V80" i="109"/>
  <c r="AF80" i="109"/>
  <c r="Z82" i="109"/>
  <c r="AG83" i="109"/>
  <c r="X87" i="109"/>
  <c r="AF88" i="109"/>
  <c r="Y90" i="109"/>
  <c r="AE41" i="109"/>
  <c r="AA41" i="109"/>
  <c r="W41" i="109"/>
  <c r="AG40" i="109"/>
  <c r="AC40" i="109"/>
  <c r="Y40" i="109"/>
  <c r="U40" i="109"/>
  <c r="AE39" i="109"/>
  <c r="AA39" i="109"/>
  <c r="W39" i="109"/>
  <c r="AG38" i="109"/>
  <c r="AC38" i="109"/>
  <c r="Y38" i="109"/>
  <c r="U38" i="109"/>
  <c r="AF41" i="109"/>
  <c r="Z41" i="109"/>
  <c r="U41" i="109"/>
  <c r="AD40" i="109"/>
  <c r="X40" i="109"/>
  <c r="AG39" i="109"/>
  <c r="AB39" i="109"/>
  <c r="V39" i="109"/>
  <c r="AE38" i="109"/>
  <c r="Z38" i="109"/>
  <c r="AF36" i="109"/>
  <c r="AA38" i="109"/>
  <c r="AH38" i="109"/>
  <c r="Z39" i="109"/>
  <c r="AH39" i="109"/>
  <c r="AA40" i="109"/>
  <c r="AH40" i="109"/>
  <c r="AB41" i="109"/>
  <c r="AH41" i="109"/>
  <c r="AB47" i="109"/>
  <c r="U48" i="109"/>
  <c r="AB48" i="109"/>
  <c r="X52" i="109"/>
  <c r="U53" i="109"/>
  <c r="AF53" i="109"/>
  <c r="AB54" i="109"/>
  <c r="Y55" i="109"/>
  <c r="X59" i="109"/>
  <c r="U60" i="109"/>
  <c r="AF60" i="109"/>
  <c r="AB61" i="109"/>
  <c r="Y62" i="109"/>
  <c r="X66" i="109"/>
  <c r="U67" i="109"/>
  <c r="AF67" i="109"/>
  <c r="AB68" i="109"/>
  <c r="Y69" i="109"/>
  <c r="X73" i="109"/>
  <c r="U74" i="109"/>
  <c r="AF74" i="109"/>
  <c r="AB75" i="109"/>
  <c r="Y76" i="109"/>
  <c r="X80" i="109"/>
  <c r="X81" i="109"/>
  <c r="AE82" i="109"/>
  <c r="AD87" i="109"/>
  <c r="W89" i="109"/>
  <c r="AD90" i="109"/>
  <c r="X95" i="109"/>
  <c r="AC95" i="109"/>
  <c r="AH95" i="109"/>
  <c r="Z96" i="109"/>
  <c r="AE96" i="109"/>
  <c r="V97" i="109"/>
  <c r="AB97" i="109"/>
  <c r="AG97" i="109"/>
  <c r="O13" i="108"/>
  <c r="K13" i="108"/>
  <c r="G13" i="108"/>
  <c r="C13" i="108"/>
  <c r="R12" i="108"/>
  <c r="N12" i="108"/>
  <c r="J12" i="108"/>
  <c r="F12" i="108"/>
  <c r="Q11" i="108"/>
  <c r="M11" i="108"/>
  <c r="I11" i="108"/>
  <c r="E11" i="108"/>
  <c r="P10" i="108"/>
  <c r="L10" i="108"/>
  <c r="H10" i="108"/>
  <c r="D10" i="108"/>
  <c r="P8" i="108"/>
  <c r="Q13" i="108"/>
  <c r="L13" i="108"/>
  <c r="F13" i="108"/>
  <c r="M12" i="108"/>
  <c r="H12" i="108"/>
  <c r="C12" i="108"/>
  <c r="O11" i="108"/>
  <c r="J11" i="108"/>
  <c r="D11" i="108"/>
  <c r="Q10" i="108"/>
  <c r="K10" i="108"/>
  <c r="F10" i="108"/>
  <c r="E10" i="108"/>
  <c r="M10" i="108"/>
  <c r="C11" i="108"/>
  <c r="K11" i="108"/>
  <c r="R11" i="108"/>
  <c r="I12" i="108"/>
  <c r="P12" i="108"/>
  <c r="H13" i="108"/>
  <c r="N13" i="108"/>
  <c r="W94" i="109"/>
  <c r="AB94" i="109"/>
  <c r="AH94" i="109"/>
  <c r="Y95" i="109"/>
  <c r="AD95" i="109"/>
  <c r="V96" i="109"/>
  <c r="AA96" i="109"/>
  <c r="AF96" i="109"/>
  <c r="X97" i="109"/>
  <c r="AC97" i="109"/>
  <c r="G10" i="108"/>
  <c r="N10" i="108"/>
  <c r="F11" i="108"/>
  <c r="L11" i="108"/>
  <c r="D12" i="108"/>
  <c r="K12" i="108"/>
  <c r="Q12" i="108"/>
  <c r="I13" i="108"/>
  <c r="P13" i="108"/>
  <c r="AJ20" i="108"/>
  <c r="AF20" i="108"/>
  <c r="AI19" i="108"/>
  <c r="AE19" i="108"/>
  <c r="AH18" i="108"/>
  <c r="U18" i="108"/>
  <c r="AG17" i="108"/>
  <c r="AI20" i="108"/>
  <c r="U20" i="108"/>
  <c r="AF19" i="108"/>
  <c r="AG18" i="108"/>
  <c r="AI17" i="108"/>
  <c r="U17" i="108"/>
  <c r="AE17" i="108"/>
  <c r="AJ18" i="108"/>
  <c r="AH19" i="108"/>
  <c r="AG20" i="108"/>
  <c r="R34" i="108"/>
  <c r="N34" i="108"/>
  <c r="J34" i="108"/>
  <c r="F34" i="108"/>
  <c r="R33" i="108"/>
  <c r="N33" i="108"/>
  <c r="J33" i="108"/>
  <c r="F33" i="108"/>
  <c r="R32" i="108"/>
  <c r="N32" i="108"/>
  <c r="J32" i="108"/>
  <c r="F32" i="108"/>
  <c r="R31" i="108"/>
  <c r="N31" i="108"/>
  <c r="J31" i="108"/>
  <c r="F31" i="108"/>
  <c r="M34" i="108"/>
  <c r="H34" i="108"/>
  <c r="C34" i="108"/>
  <c r="M33" i="108"/>
  <c r="H33" i="108"/>
  <c r="C33" i="108"/>
  <c r="M32" i="108"/>
  <c r="H32" i="108"/>
  <c r="C32" i="108"/>
  <c r="M31" i="108"/>
  <c r="H31" i="108"/>
  <c r="C31" i="108"/>
  <c r="I31" i="108"/>
  <c r="P31" i="108"/>
  <c r="E32" i="108"/>
  <c r="L32" i="108"/>
  <c r="I33" i="108"/>
  <c r="P33" i="108"/>
  <c r="E34" i="108"/>
  <c r="L34" i="108"/>
  <c r="R55" i="108"/>
  <c r="N55" i="108"/>
  <c r="J55" i="108"/>
  <c r="F55" i="108"/>
  <c r="R54" i="108"/>
  <c r="N54" i="108"/>
  <c r="J54" i="108"/>
  <c r="F54" i="108"/>
  <c r="R53" i="108"/>
  <c r="N53" i="108"/>
  <c r="J53" i="108"/>
  <c r="F53" i="108"/>
  <c r="R52" i="108"/>
  <c r="N52" i="108"/>
  <c r="J52" i="108"/>
  <c r="F52" i="108"/>
  <c r="O55" i="108"/>
  <c r="I55" i="108"/>
  <c r="D55" i="108"/>
  <c r="O54" i="108"/>
  <c r="I54" i="108"/>
  <c r="D54" i="108"/>
  <c r="O53" i="108"/>
  <c r="I53" i="108"/>
  <c r="D53" i="108"/>
  <c r="O52" i="108"/>
  <c r="I52" i="108"/>
  <c r="D52" i="108"/>
  <c r="P55" i="108"/>
  <c r="H55" i="108"/>
  <c r="L54" i="108"/>
  <c r="E54" i="108"/>
  <c r="P53" i="108"/>
  <c r="H53" i="108"/>
  <c r="L52" i="108"/>
  <c r="E52" i="108"/>
  <c r="L55" i="108"/>
  <c r="E55" i="108"/>
  <c r="P54" i="108"/>
  <c r="H54" i="108"/>
  <c r="L53" i="108"/>
  <c r="E53" i="108"/>
  <c r="P52" i="108"/>
  <c r="H52" i="108"/>
  <c r="M52" i="108"/>
  <c r="G53" i="108"/>
  <c r="M54" i="108"/>
  <c r="G55" i="108"/>
  <c r="K59" i="108"/>
  <c r="J60" i="108"/>
  <c r="I61" i="108"/>
  <c r="AE97" i="109"/>
  <c r="AA97" i="109"/>
  <c r="W97" i="109"/>
  <c r="AG96" i="109"/>
  <c r="AC96" i="109"/>
  <c r="Y96" i="109"/>
  <c r="U96" i="109"/>
  <c r="AE95" i="109"/>
  <c r="AA95" i="109"/>
  <c r="W95" i="109"/>
  <c r="AG94" i="109"/>
  <c r="AC94" i="109"/>
  <c r="Y94" i="109"/>
  <c r="U94" i="109"/>
  <c r="X94" i="109"/>
  <c r="AD94" i="109"/>
  <c r="U95" i="109"/>
  <c r="Z95" i="109"/>
  <c r="AF95" i="109"/>
  <c r="W96" i="109"/>
  <c r="AB96" i="109"/>
  <c r="AH96" i="109"/>
  <c r="Y97" i="109"/>
  <c r="AD97" i="109"/>
  <c r="I10" i="108"/>
  <c r="O10" i="108"/>
  <c r="G11" i="108"/>
  <c r="N11" i="108"/>
  <c r="E12" i="108"/>
  <c r="L12" i="108"/>
  <c r="D13" i="108"/>
  <c r="J13" i="108"/>
  <c r="R13" i="108"/>
  <c r="P62" i="108"/>
  <c r="L62" i="108"/>
  <c r="H62" i="108"/>
  <c r="D62" i="108"/>
  <c r="P61" i="108"/>
  <c r="L61" i="108"/>
  <c r="H61" i="108"/>
  <c r="D61" i="108"/>
  <c r="P60" i="108"/>
  <c r="L60" i="108"/>
  <c r="H60" i="108"/>
  <c r="D60" i="108"/>
  <c r="P59" i="108"/>
  <c r="L59" i="108"/>
  <c r="H59" i="108"/>
  <c r="D59" i="108"/>
  <c r="R62" i="108"/>
  <c r="M62" i="108"/>
  <c r="G62" i="108"/>
  <c r="R61" i="108"/>
  <c r="M61" i="108"/>
  <c r="G61" i="108"/>
  <c r="R60" i="108"/>
  <c r="M60" i="108"/>
  <c r="G60" i="108"/>
  <c r="R59" i="108"/>
  <c r="M59" i="108"/>
  <c r="G59" i="108"/>
  <c r="K62" i="108"/>
  <c r="E62" i="108"/>
  <c r="N61" i="108"/>
  <c r="F61" i="108"/>
  <c r="O60" i="108"/>
  <c r="I60" i="108"/>
  <c r="Q59" i="108"/>
  <c r="J59" i="108"/>
  <c r="C59" i="108"/>
  <c r="O62" i="108"/>
  <c r="I62" i="108"/>
  <c r="Q61" i="108"/>
  <c r="J61" i="108"/>
  <c r="C61" i="108"/>
  <c r="K60" i="108"/>
  <c r="E60" i="108"/>
  <c r="N59" i="108"/>
  <c r="F59" i="108"/>
  <c r="O59" i="108"/>
  <c r="N60" i="108"/>
  <c r="K61" i="108"/>
  <c r="J62" i="108"/>
  <c r="AF92" i="109"/>
  <c r="Z94" i="109"/>
  <c r="AE94" i="109"/>
  <c r="V95" i="109"/>
  <c r="AB95" i="109"/>
  <c r="AG95" i="109"/>
  <c r="X96" i="109"/>
  <c r="AD96" i="109"/>
  <c r="U97" i="109"/>
  <c r="Z97" i="109"/>
  <c r="AF97" i="109"/>
  <c r="C10" i="108"/>
  <c r="J10" i="108"/>
  <c r="R10" i="108"/>
  <c r="H11" i="108"/>
  <c r="P11" i="108"/>
  <c r="G12" i="108"/>
  <c r="O12" i="108"/>
  <c r="E13" i="108"/>
  <c r="M13" i="108"/>
  <c r="Q20" i="108"/>
  <c r="M20" i="108"/>
  <c r="I20" i="108"/>
  <c r="E20" i="108"/>
  <c r="P19" i="108"/>
  <c r="L19" i="108"/>
  <c r="H19" i="108"/>
  <c r="D19" i="108"/>
  <c r="O18" i="108"/>
  <c r="K18" i="108"/>
  <c r="G18" i="108"/>
  <c r="C18" i="108"/>
  <c r="R17" i="108"/>
  <c r="N17" i="108"/>
  <c r="J17" i="108"/>
  <c r="F17" i="108"/>
  <c r="N20" i="108"/>
  <c r="H20" i="108"/>
  <c r="C20" i="108"/>
  <c r="O19" i="108"/>
  <c r="J19" i="108"/>
  <c r="E19" i="108"/>
  <c r="Q18" i="108"/>
  <c r="L18" i="108"/>
  <c r="F18" i="108"/>
  <c r="M17" i="108"/>
  <c r="H17" i="108"/>
  <c r="C17" i="108"/>
  <c r="I17" i="108"/>
  <c r="P17" i="108"/>
  <c r="AH17" i="108"/>
  <c r="H18" i="108"/>
  <c r="N18" i="108"/>
  <c r="AF18" i="108"/>
  <c r="F19" i="108"/>
  <c r="M19" i="108"/>
  <c r="U19" i="108"/>
  <c r="D20" i="108"/>
  <c r="K20" i="108"/>
  <c r="R20" i="108"/>
  <c r="P27" i="108"/>
  <c r="L27" i="108"/>
  <c r="H27" i="108"/>
  <c r="D27" i="108"/>
  <c r="P26" i="108"/>
  <c r="L26" i="108"/>
  <c r="H26" i="108"/>
  <c r="D26" i="108"/>
  <c r="P25" i="108"/>
  <c r="L25" i="108"/>
  <c r="H25" i="108"/>
  <c r="D25" i="108"/>
  <c r="P24" i="108"/>
  <c r="L24" i="108"/>
  <c r="H24" i="108"/>
  <c r="D24" i="108"/>
  <c r="O27" i="108"/>
  <c r="J27" i="108"/>
  <c r="E27" i="108"/>
  <c r="O26" i="108"/>
  <c r="J26" i="108"/>
  <c r="E26" i="108"/>
  <c r="O25" i="108"/>
  <c r="J25" i="108"/>
  <c r="E25" i="108"/>
  <c r="O24" i="108"/>
  <c r="J24" i="108"/>
  <c r="E24" i="108"/>
  <c r="G24" i="108"/>
  <c r="N24" i="108"/>
  <c r="F25" i="108"/>
  <c r="M25" i="108"/>
  <c r="C26" i="108"/>
  <c r="K26" i="108"/>
  <c r="R26" i="108"/>
  <c r="I27" i="108"/>
  <c r="Q27" i="108"/>
  <c r="AJ34" i="108"/>
  <c r="AF34" i="108"/>
  <c r="AB34" i="108"/>
  <c r="X34" i="108"/>
  <c r="AJ33" i="108"/>
  <c r="AF33" i="108"/>
  <c r="AB33" i="108"/>
  <c r="X33" i="108"/>
  <c r="AJ32" i="108"/>
  <c r="AF32" i="108"/>
  <c r="AB32" i="108"/>
  <c r="X32" i="108"/>
  <c r="AJ31" i="108"/>
  <c r="AF31" i="108"/>
  <c r="AB31" i="108"/>
  <c r="X31" i="108"/>
  <c r="AE34" i="108"/>
  <c r="Z34" i="108"/>
  <c r="U34" i="108"/>
  <c r="AE33" i="108"/>
  <c r="Z33" i="108"/>
  <c r="U33" i="108"/>
  <c r="AE32" i="108"/>
  <c r="Z32" i="108"/>
  <c r="U32" i="108"/>
  <c r="AE31" i="108"/>
  <c r="Z31" i="108"/>
  <c r="U31" i="108"/>
  <c r="E31" i="108"/>
  <c r="L31" i="108"/>
  <c r="V31" i="108"/>
  <c r="AC31" i="108"/>
  <c r="AI31" i="108"/>
  <c r="I32" i="108"/>
  <c r="P32" i="108"/>
  <c r="Y32" i="108"/>
  <c r="AG32" i="108"/>
  <c r="E33" i="108"/>
  <c r="L33" i="108"/>
  <c r="V33" i="108"/>
  <c r="AC33" i="108"/>
  <c r="AI33" i="108"/>
  <c r="I34" i="108"/>
  <c r="P34" i="108"/>
  <c r="Y34" i="108"/>
  <c r="AG34" i="108"/>
  <c r="G52" i="108"/>
  <c r="M53" i="108"/>
  <c r="G54" i="108"/>
  <c r="M55" i="108"/>
  <c r="E59" i="108"/>
  <c r="C60" i="108"/>
  <c r="Q60" i="108"/>
  <c r="O61" i="108"/>
  <c r="N62" i="108"/>
  <c r="C87" i="107"/>
  <c r="G87" i="107"/>
  <c r="K87" i="107"/>
  <c r="O87" i="107"/>
  <c r="C88" i="107"/>
  <c r="G88" i="107"/>
  <c r="K88" i="107"/>
  <c r="O88" i="107"/>
  <c r="C89" i="107"/>
  <c r="G89" i="107"/>
  <c r="K89" i="107"/>
  <c r="O89" i="107"/>
  <c r="C90" i="107"/>
  <c r="G90" i="107"/>
  <c r="K90" i="107"/>
  <c r="C94" i="107"/>
  <c r="G94" i="107"/>
  <c r="K94" i="107"/>
  <c r="O94" i="107"/>
  <c r="C95" i="107"/>
  <c r="G95" i="107"/>
  <c r="K95" i="107"/>
  <c r="O95" i="107"/>
  <c r="C96" i="107"/>
  <c r="G96" i="107"/>
  <c r="K96" i="107"/>
  <c r="O96" i="107"/>
  <c r="C97" i="107"/>
  <c r="G97" i="107"/>
  <c r="K97" i="107"/>
  <c r="C101" i="107"/>
  <c r="G101" i="107"/>
  <c r="K101" i="107"/>
  <c r="O101" i="107"/>
  <c r="C102" i="107"/>
  <c r="G102" i="107"/>
  <c r="K102" i="107"/>
  <c r="O102" i="107"/>
  <c r="C103" i="107"/>
  <c r="G103" i="107"/>
  <c r="K103" i="107"/>
  <c r="O103" i="107"/>
  <c r="C104" i="107"/>
  <c r="G104" i="107"/>
  <c r="K104" i="107"/>
  <c r="C10" i="109"/>
  <c r="G10" i="109"/>
  <c r="K10" i="109"/>
  <c r="O10" i="109"/>
  <c r="E11" i="109"/>
  <c r="I11" i="109"/>
  <c r="M11" i="109"/>
  <c r="Q11" i="109"/>
  <c r="C12" i="109"/>
  <c r="G12" i="109"/>
  <c r="K12" i="109"/>
  <c r="O12" i="109"/>
  <c r="E13" i="109"/>
  <c r="I13" i="109"/>
  <c r="M13" i="109"/>
  <c r="C17" i="109"/>
  <c r="G17" i="109"/>
  <c r="K17" i="109"/>
  <c r="O17" i="109"/>
  <c r="E18" i="109"/>
  <c r="I18" i="109"/>
  <c r="M18" i="109"/>
  <c r="Q18" i="109"/>
  <c r="C19" i="109"/>
  <c r="G19" i="109"/>
  <c r="K19" i="109"/>
  <c r="O19" i="109"/>
  <c r="E20" i="109"/>
  <c r="I20" i="109"/>
  <c r="M20" i="109"/>
  <c r="C24" i="109"/>
  <c r="G24" i="109"/>
  <c r="K24" i="109"/>
  <c r="O24" i="109"/>
  <c r="E25" i="109"/>
  <c r="I25" i="109"/>
  <c r="M25" i="109"/>
  <c r="Q25" i="109"/>
  <c r="C26" i="109"/>
  <c r="G26" i="109"/>
  <c r="K26" i="109"/>
  <c r="O26" i="109"/>
  <c r="E27" i="109"/>
  <c r="I27" i="109"/>
  <c r="M27" i="109"/>
  <c r="C31" i="109"/>
  <c r="G31" i="109"/>
  <c r="K31" i="109"/>
  <c r="O31" i="109"/>
  <c r="E32" i="109"/>
  <c r="I32" i="109"/>
  <c r="M32" i="109"/>
  <c r="Q32" i="109"/>
  <c r="C33" i="109"/>
  <c r="G33" i="109"/>
  <c r="K33" i="109"/>
  <c r="O33" i="109"/>
  <c r="E34" i="109"/>
  <c r="I34" i="109"/>
  <c r="M34" i="109"/>
  <c r="C38" i="109"/>
  <c r="G38" i="109"/>
  <c r="K38" i="109"/>
  <c r="O38" i="109"/>
  <c r="E39" i="109"/>
  <c r="I39" i="109"/>
  <c r="M39" i="109"/>
  <c r="Q39" i="109"/>
  <c r="C40" i="109"/>
  <c r="G40" i="109"/>
  <c r="K40" i="109"/>
  <c r="O40" i="109"/>
  <c r="E41" i="109"/>
  <c r="I41" i="109"/>
  <c r="M41" i="109"/>
  <c r="C45" i="109"/>
  <c r="G45" i="109"/>
  <c r="K45" i="109"/>
  <c r="O45" i="109"/>
  <c r="E46" i="109"/>
  <c r="I46" i="109"/>
  <c r="M46" i="109"/>
  <c r="Q46" i="109"/>
  <c r="C47" i="109"/>
  <c r="G47" i="109"/>
  <c r="K47" i="109"/>
  <c r="O47" i="109"/>
  <c r="E48" i="109"/>
  <c r="I48" i="109"/>
  <c r="M48" i="109"/>
  <c r="C52" i="109"/>
  <c r="G52" i="109"/>
  <c r="K52" i="109"/>
  <c r="O52" i="109"/>
  <c r="E53" i="109"/>
  <c r="I53" i="109"/>
  <c r="M53" i="109"/>
  <c r="Q53" i="109"/>
  <c r="C54" i="109"/>
  <c r="G54" i="109"/>
  <c r="K54" i="109"/>
  <c r="O54" i="109"/>
  <c r="E55" i="109"/>
  <c r="I55" i="109"/>
  <c r="M55" i="109"/>
  <c r="C59" i="109"/>
  <c r="G59" i="109"/>
  <c r="K59" i="109"/>
  <c r="O59" i="109"/>
  <c r="E60" i="109"/>
  <c r="I60" i="109"/>
  <c r="M60" i="109"/>
  <c r="Q60" i="109"/>
  <c r="C61" i="109"/>
  <c r="G61" i="109"/>
  <c r="K61" i="109"/>
  <c r="O61" i="109"/>
  <c r="E62" i="109"/>
  <c r="I62" i="109"/>
  <c r="M62" i="109"/>
  <c r="C66" i="109"/>
  <c r="G66" i="109"/>
  <c r="K66" i="109"/>
  <c r="O66" i="109"/>
  <c r="E67" i="109"/>
  <c r="I67" i="109"/>
  <c r="M67" i="109"/>
  <c r="Q67" i="109"/>
  <c r="C68" i="109"/>
  <c r="G68" i="109"/>
  <c r="K68" i="109"/>
  <c r="O68" i="109"/>
  <c r="E69" i="109"/>
  <c r="I69" i="109"/>
  <c r="M69" i="109"/>
  <c r="C73" i="109"/>
  <c r="G73" i="109"/>
  <c r="K73" i="109"/>
  <c r="O73" i="109"/>
  <c r="E74" i="109"/>
  <c r="I74" i="109"/>
  <c r="M74" i="109"/>
  <c r="Q74" i="109"/>
  <c r="C75" i="109"/>
  <c r="G75" i="109"/>
  <c r="K75" i="109"/>
  <c r="O75" i="109"/>
  <c r="E76" i="109"/>
  <c r="I76" i="109"/>
  <c r="M76" i="109"/>
  <c r="C80" i="109"/>
  <c r="G80" i="109"/>
  <c r="K80" i="109"/>
  <c r="O80" i="109"/>
  <c r="E81" i="109"/>
  <c r="I81" i="109"/>
  <c r="M81" i="109"/>
  <c r="Q81" i="109"/>
  <c r="C82" i="109"/>
  <c r="G82" i="109"/>
  <c r="K82" i="109"/>
  <c r="O82" i="109"/>
  <c r="E83" i="109"/>
  <c r="I83" i="109"/>
  <c r="M83" i="109"/>
  <c r="C87" i="109"/>
  <c r="G87" i="109"/>
  <c r="K87" i="109"/>
  <c r="O87" i="109"/>
  <c r="E88" i="109"/>
  <c r="I88" i="109"/>
  <c r="M88" i="109"/>
  <c r="Q88" i="109"/>
  <c r="C89" i="109"/>
  <c r="G89" i="109"/>
  <c r="K89" i="109"/>
  <c r="O89" i="109"/>
  <c r="E90" i="109"/>
  <c r="I90" i="109"/>
  <c r="M90" i="109"/>
  <c r="C94" i="109"/>
  <c r="G94" i="109"/>
  <c r="K94" i="109"/>
  <c r="O94" i="109"/>
  <c r="E95" i="109"/>
  <c r="I95" i="109"/>
  <c r="M95" i="109"/>
  <c r="Q95" i="109"/>
  <c r="C96" i="109"/>
  <c r="G96" i="109"/>
  <c r="K96" i="109"/>
  <c r="O96" i="109"/>
  <c r="E97" i="109"/>
  <c r="I97" i="109"/>
  <c r="M97" i="109"/>
  <c r="P104" i="109"/>
  <c r="L104" i="109"/>
  <c r="H104" i="109"/>
  <c r="D104" i="109"/>
  <c r="P103" i="109"/>
  <c r="L103" i="109"/>
  <c r="H103" i="109"/>
  <c r="D103" i="109"/>
  <c r="P102" i="109"/>
  <c r="L102" i="109"/>
  <c r="H102" i="109"/>
  <c r="E101" i="109"/>
  <c r="I101" i="109"/>
  <c r="M101" i="109"/>
  <c r="Q101" i="109"/>
  <c r="E102" i="109"/>
  <c r="J102" i="109"/>
  <c r="O102" i="109"/>
  <c r="E103" i="109"/>
  <c r="J103" i="109"/>
  <c r="O103" i="109"/>
  <c r="E104" i="109"/>
  <c r="J104" i="109"/>
  <c r="O104" i="109"/>
  <c r="AH13" i="108"/>
  <c r="U13" i="108"/>
  <c r="AG12" i="108"/>
  <c r="AJ11" i="108"/>
  <c r="AF11" i="108"/>
  <c r="AI10" i="108"/>
  <c r="AE10" i="108"/>
  <c r="AG10" i="108"/>
  <c r="AE11" i="108"/>
  <c r="U12" i="108"/>
  <c r="AI12" i="108"/>
  <c r="AG13" i="108"/>
  <c r="P41" i="108"/>
  <c r="L41" i="108"/>
  <c r="H41" i="108"/>
  <c r="D41" i="108"/>
  <c r="P40" i="108"/>
  <c r="L40" i="108"/>
  <c r="H40" i="108"/>
  <c r="D40" i="108"/>
  <c r="P39" i="108"/>
  <c r="L39" i="108"/>
  <c r="H39" i="108"/>
  <c r="D39" i="108"/>
  <c r="P38" i="108"/>
  <c r="L38" i="108"/>
  <c r="H38" i="108"/>
  <c r="D38" i="108"/>
  <c r="F38" i="108"/>
  <c r="K38" i="108"/>
  <c r="Q38" i="108"/>
  <c r="F39" i="108"/>
  <c r="K39" i="108"/>
  <c r="Q39" i="108"/>
  <c r="F40" i="108"/>
  <c r="K40" i="108"/>
  <c r="Q40" i="108"/>
  <c r="F41" i="108"/>
  <c r="K41" i="108"/>
  <c r="Q41" i="108"/>
  <c r="AJ48" i="108"/>
  <c r="AF48" i="108"/>
  <c r="AB48" i="108"/>
  <c r="X48" i="108"/>
  <c r="AJ47" i="108"/>
  <c r="AF47" i="108"/>
  <c r="AB47" i="108"/>
  <c r="X47" i="108"/>
  <c r="AJ46" i="108"/>
  <c r="AF46" i="108"/>
  <c r="AB46" i="108"/>
  <c r="X46" i="108"/>
  <c r="AJ45" i="108"/>
  <c r="AF45" i="108"/>
  <c r="AB45" i="108"/>
  <c r="X45" i="108"/>
  <c r="D45" i="108"/>
  <c r="I45" i="108"/>
  <c r="O45" i="108"/>
  <c r="V45" i="108"/>
  <c r="AA45" i="108"/>
  <c r="AG45" i="108"/>
  <c r="D46" i="108"/>
  <c r="I46" i="108"/>
  <c r="O46" i="108"/>
  <c r="V46" i="108"/>
  <c r="AA46" i="108"/>
  <c r="AG46" i="108"/>
  <c r="D47" i="108"/>
  <c r="I47" i="108"/>
  <c r="O47" i="108"/>
  <c r="V47" i="108"/>
  <c r="AA47" i="108"/>
  <c r="AG47" i="108"/>
  <c r="D48" i="108"/>
  <c r="I48" i="108"/>
  <c r="V48" i="108"/>
  <c r="AA48" i="108"/>
  <c r="AG48" i="108"/>
  <c r="AJ69" i="108"/>
  <c r="AF69" i="108"/>
  <c r="AB69" i="108"/>
  <c r="X69" i="108"/>
  <c r="AJ68" i="108"/>
  <c r="AF68" i="108"/>
  <c r="AB68" i="108"/>
  <c r="X68" i="108"/>
  <c r="AJ67" i="108"/>
  <c r="AF67" i="108"/>
  <c r="AB67" i="108"/>
  <c r="X67" i="108"/>
  <c r="AJ66" i="108"/>
  <c r="AF66" i="108"/>
  <c r="AB66" i="108"/>
  <c r="X66" i="108"/>
  <c r="AH69" i="108"/>
  <c r="AC69" i="108"/>
  <c r="W69" i="108"/>
  <c r="AH68" i="108"/>
  <c r="AC68" i="108"/>
  <c r="W68" i="108"/>
  <c r="AH67" i="108"/>
  <c r="AC67" i="108"/>
  <c r="W67" i="108"/>
  <c r="AH66" i="108"/>
  <c r="AC66" i="108"/>
  <c r="W66" i="108"/>
  <c r="G66" i="108"/>
  <c r="M66" i="108"/>
  <c r="V66" i="108"/>
  <c r="AD66" i="108"/>
  <c r="C67" i="108"/>
  <c r="I67" i="108"/>
  <c r="Q67" i="108"/>
  <c r="Z67" i="108"/>
  <c r="AG67" i="108"/>
  <c r="G68" i="108"/>
  <c r="M68" i="108"/>
  <c r="V68" i="108"/>
  <c r="AD68" i="108"/>
  <c r="C69" i="108"/>
  <c r="I69" i="108"/>
  <c r="Z69" i="108"/>
  <c r="AG69" i="108"/>
  <c r="E73" i="108"/>
  <c r="K73" i="108"/>
  <c r="R73" i="108"/>
  <c r="J74" i="108"/>
  <c r="Q74" i="108"/>
  <c r="G75" i="108"/>
  <c r="O75" i="108"/>
  <c r="F76" i="108"/>
  <c r="R48" i="108"/>
  <c r="N48" i="108"/>
  <c r="J48" i="108"/>
  <c r="F48" i="108"/>
  <c r="R47" i="108"/>
  <c r="N47" i="108"/>
  <c r="J47" i="108"/>
  <c r="F47" i="108"/>
  <c r="R46" i="108"/>
  <c r="N46" i="108"/>
  <c r="J46" i="108"/>
  <c r="F46" i="108"/>
  <c r="R45" i="108"/>
  <c r="N45" i="108"/>
  <c r="J45" i="108"/>
  <c r="F45" i="108"/>
  <c r="P43" i="108"/>
  <c r="G45" i="108"/>
  <c r="L45" i="108"/>
  <c r="Q45" i="108"/>
  <c r="G46" i="108"/>
  <c r="L46" i="108"/>
  <c r="Q46" i="108"/>
  <c r="G47" i="108"/>
  <c r="L47" i="108"/>
  <c r="Q47" i="108"/>
  <c r="G48" i="108"/>
  <c r="L48" i="108"/>
  <c r="Q48" i="108"/>
  <c r="R69" i="108"/>
  <c r="N69" i="108"/>
  <c r="J69" i="108"/>
  <c r="F69" i="108"/>
  <c r="R68" i="108"/>
  <c r="N68" i="108"/>
  <c r="J68" i="108"/>
  <c r="F68" i="108"/>
  <c r="R67" i="108"/>
  <c r="N67" i="108"/>
  <c r="J67" i="108"/>
  <c r="F67" i="108"/>
  <c r="R66" i="108"/>
  <c r="N66" i="108"/>
  <c r="J66" i="108"/>
  <c r="F66" i="108"/>
  <c r="P69" i="108"/>
  <c r="K69" i="108"/>
  <c r="E69" i="108"/>
  <c r="P68" i="108"/>
  <c r="K68" i="108"/>
  <c r="E68" i="108"/>
  <c r="P67" i="108"/>
  <c r="K67" i="108"/>
  <c r="E67" i="108"/>
  <c r="P66" i="108"/>
  <c r="K66" i="108"/>
  <c r="E66" i="108"/>
  <c r="C66" i="108"/>
  <c r="I66" i="108"/>
  <c r="Q66" i="108"/>
  <c r="G67" i="108"/>
  <c r="M67" i="108"/>
  <c r="C68" i="108"/>
  <c r="I68" i="108"/>
  <c r="Q68" i="108"/>
  <c r="G69" i="108"/>
  <c r="M69" i="108"/>
  <c r="P76" i="108"/>
  <c r="L76" i="108"/>
  <c r="H76" i="108"/>
  <c r="D76" i="108"/>
  <c r="P75" i="108"/>
  <c r="L75" i="108"/>
  <c r="H75" i="108"/>
  <c r="D75" i="108"/>
  <c r="P74" i="108"/>
  <c r="L74" i="108"/>
  <c r="H74" i="108"/>
  <c r="D74" i="108"/>
  <c r="P73" i="108"/>
  <c r="L73" i="108"/>
  <c r="H73" i="108"/>
  <c r="D73" i="108"/>
  <c r="N76" i="108"/>
  <c r="I76" i="108"/>
  <c r="C76" i="108"/>
  <c r="N75" i="108"/>
  <c r="I75" i="108"/>
  <c r="C75" i="108"/>
  <c r="N74" i="108"/>
  <c r="I74" i="108"/>
  <c r="C74" i="108"/>
  <c r="N73" i="108"/>
  <c r="I73" i="108"/>
  <c r="C73" i="108"/>
  <c r="G73" i="108"/>
  <c r="O73" i="108"/>
  <c r="F74" i="108"/>
  <c r="M74" i="108"/>
  <c r="E75" i="108"/>
  <c r="K75" i="108"/>
  <c r="R75" i="108"/>
  <c r="J76" i="108"/>
  <c r="Q76" i="108"/>
  <c r="F101" i="108"/>
  <c r="N101" i="108"/>
  <c r="Q104" i="108"/>
  <c r="C104" i="108"/>
  <c r="M103" i="108"/>
  <c r="K103" i="108"/>
  <c r="C103" i="108"/>
  <c r="K102" i="108"/>
  <c r="G102" i="108"/>
  <c r="Q101" i="108"/>
  <c r="V24" i="108"/>
  <c r="Z24" i="108"/>
  <c r="AD24" i="108"/>
  <c r="AH24" i="108"/>
  <c r="V25" i="108"/>
  <c r="Z25" i="108"/>
  <c r="AD25" i="108"/>
  <c r="AH25" i="108"/>
  <c r="V26" i="108"/>
  <c r="Z26" i="108"/>
  <c r="AD26" i="108"/>
  <c r="AH26" i="108"/>
  <c r="V27" i="108"/>
  <c r="Z27" i="108"/>
  <c r="AD27" i="108"/>
  <c r="V38" i="108"/>
  <c r="Z38" i="108"/>
  <c r="AD38" i="108"/>
  <c r="AH38" i="108"/>
  <c r="V39" i="108"/>
  <c r="Z39" i="108"/>
  <c r="AD39" i="108"/>
  <c r="AH39" i="108"/>
  <c r="V40" i="108"/>
  <c r="Z40" i="108"/>
  <c r="AD40" i="108"/>
  <c r="AH40" i="108"/>
  <c r="V41" i="108"/>
  <c r="Z41" i="108"/>
  <c r="AD41" i="108"/>
  <c r="AJ55" i="108"/>
  <c r="AF55" i="108"/>
  <c r="AB55" i="108"/>
  <c r="X55" i="108"/>
  <c r="AJ54" i="108"/>
  <c r="AF54" i="108"/>
  <c r="AB54" i="108"/>
  <c r="X54" i="108"/>
  <c r="AJ53" i="108"/>
  <c r="AF53" i="108"/>
  <c r="AB53" i="108"/>
  <c r="X53" i="108"/>
  <c r="AJ52" i="108"/>
  <c r="AF52" i="108"/>
  <c r="AB52" i="108"/>
  <c r="X52" i="108"/>
  <c r="V52" i="108"/>
  <c r="AA52" i="108"/>
  <c r="AG52" i="108"/>
  <c r="V53" i="108"/>
  <c r="AA53" i="108"/>
  <c r="AG53" i="108"/>
  <c r="V54" i="108"/>
  <c r="AA54" i="108"/>
  <c r="AG54" i="108"/>
  <c r="V55" i="108"/>
  <c r="AA55" i="108"/>
  <c r="AG55" i="108"/>
  <c r="E94" i="108"/>
  <c r="M94" i="108"/>
  <c r="O94" i="108"/>
  <c r="Q94" i="108"/>
  <c r="E95" i="108"/>
  <c r="I95" i="108"/>
  <c r="M95" i="108"/>
  <c r="O95" i="108"/>
  <c r="I96" i="108"/>
  <c r="O96" i="108"/>
  <c r="Q96" i="108"/>
  <c r="E97" i="108"/>
  <c r="I97" i="108"/>
  <c r="O97" i="108"/>
  <c r="Q97" i="108"/>
  <c r="AG13" i="110"/>
  <c r="AC13" i="110"/>
  <c r="Y13" i="110"/>
  <c r="U13" i="110"/>
  <c r="AG12" i="110"/>
  <c r="AC12" i="110"/>
  <c r="Y12" i="110"/>
  <c r="U12" i="110"/>
  <c r="AG11" i="110"/>
  <c r="AC11" i="110"/>
  <c r="Y11" i="110"/>
  <c r="U11" i="110"/>
  <c r="AG10" i="110"/>
  <c r="AC10" i="110"/>
  <c r="Y10" i="110"/>
  <c r="U10" i="110"/>
  <c r="AH13" i="110"/>
  <c r="AB13" i="110"/>
  <c r="W13" i="110"/>
  <c r="AJ13" i="110"/>
  <c r="AD13" i="110"/>
  <c r="V13" i="110"/>
  <c r="AJ12" i="110"/>
  <c r="AE12" i="110"/>
  <c r="Z12" i="110"/>
  <c r="AJ11" i="110"/>
  <c r="AE11" i="110"/>
  <c r="Z11" i="110"/>
  <c r="AJ10" i="110"/>
  <c r="AE10" i="110"/>
  <c r="Z10" i="110"/>
  <c r="AH8" i="110"/>
  <c r="AE13" i="110"/>
  <c r="AD12" i="110"/>
  <c r="W12" i="110"/>
  <c r="AH11" i="110"/>
  <c r="AA11" i="110"/>
  <c r="AD10" i="110"/>
  <c r="W10" i="110"/>
  <c r="AA10" i="110"/>
  <c r="AI10" i="110"/>
  <c r="W11" i="110"/>
  <c r="AF11" i="110"/>
  <c r="AB12" i="110"/>
  <c r="AA13" i="110"/>
  <c r="V59" i="108"/>
  <c r="Z59" i="108"/>
  <c r="AD59" i="108"/>
  <c r="AH59" i="108"/>
  <c r="V60" i="108"/>
  <c r="Z60" i="108"/>
  <c r="AD60" i="108"/>
  <c r="AH60" i="108"/>
  <c r="V61" i="108"/>
  <c r="Z61" i="108"/>
  <c r="AD61" i="108"/>
  <c r="AH61" i="108"/>
  <c r="V62" i="108"/>
  <c r="Z62" i="108"/>
  <c r="AD62" i="108"/>
  <c r="O13" i="110"/>
  <c r="K13" i="110"/>
  <c r="G13" i="110"/>
  <c r="C13" i="110"/>
  <c r="O12" i="110"/>
  <c r="K12" i="110"/>
  <c r="G12" i="110"/>
  <c r="C12" i="110"/>
  <c r="O11" i="110"/>
  <c r="K11" i="110"/>
  <c r="G11" i="110"/>
  <c r="C11" i="110"/>
  <c r="P13" i="110"/>
  <c r="M13" i="110"/>
  <c r="H13" i="110"/>
  <c r="R12" i="110"/>
  <c r="M12" i="110"/>
  <c r="H12" i="110"/>
  <c r="R11" i="110"/>
  <c r="M11" i="110"/>
  <c r="H11" i="110"/>
  <c r="R10" i="110"/>
  <c r="N10" i="110"/>
  <c r="J10" i="110"/>
  <c r="F10" i="110"/>
  <c r="D10" i="110"/>
  <c r="I10" i="110"/>
  <c r="O10" i="110"/>
  <c r="D11" i="110"/>
  <c r="J11" i="110"/>
  <c r="Q11" i="110"/>
  <c r="F12" i="110"/>
  <c r="N12" i="110"/>
  <c r="D13" i="110"/>
  <c r="J13" i="110"/>
  <c r="R13" i="110"/>
  <c r="AG27" i="110"/>
  <c r="AC27" i="110"/>
  <c r="Y27" i="110"/>
  <c r="U27" i="110"/>
  <c r="AG26" i="110"/>
  <c r="AC26" i="110"/>
  <c r="Y26" i="110"/>
  <c r="U26" i="110"/>
  <c r="AG25" i="110"/>
  <c r="AC25" i="110"/>
  <c r="Y25" i="110"/>
  <c r="U25" i="110"/>
  <c r="AG24" i="110"/>
  <c r="AC24" i="110"/>
  <c r="Y24" i="110"/>
  <c r="U24" i="110"/>
  <c r="AI27" i="110"/>
  <c r="AD27" i="110"/>
  <c r="X27" i="110"/>
  <c r="AI26" i="110"/>
  <c r="AD26" i="110"/>
  <c r="X26" i="110"/>
  <c r="AI25" i="110"/>
  <c r="AD25" i="110"/>
  <c r="X25" i="110"/>
  <c r="AI24" i="110"/>
  <c r="AD24" i="110"/>
  <c r="X24" i="110"/>
  <c r="AF27" i="110"/>
  <c r="Z27" i="110"/>
  <c r="AJ26" i="110"/>
  <c r="AB26" i="110"/>
  <c r="V26" i="110"/>
  <c r="AF25" i="110"/>
  <c r="Z25" i="110"/>
  <c r="AJ24" i="110"/>
  <c r="AB24" i="110"/>
  <c r="V24" i="110"/>
  <c r="AJ27" i="110"/>
  <c r="AB27" i="110"/>
  <c r="V27" i="110"/>
  <c r="AF26" i="110"/>
  <c r="Z26" i="110"/>
  <c r="AJ25" i="110"/>
  <c r="AB25" i="110"/>
  <c r="V25" i="110"/>
  <c r="AF24" i="110"/>
  <c r="Z24" i="110"/>
  <c r="AA24" i="110"/>
  <c r="W25" i="110"/>
  <c r="AH26" i="110"/>
  <c r="AE27" i="110"/>
  <c r="AH27" i="110"/>
  <c r="AI62" i="110"/>
  <c r="AE62" i="110"/>
  <c r="AA62" i="110"/>
  <c r="W62" i="110"/>
  <c r="AI61" i="110"/>
  <c r="AE61" i="110"/>
  <c r="AA61" i="110"/>
  <c r="W61" i="110"/>
  <c r="AI60" i="110"/>
  <c r="AE60" i="110"/>
  <c r="AA60" i="110"/>
  <c r="W60" i="110"/>
  <c r="AI59" i="110"/>
  <c r="AE59" i="110"/>
  <c r="AA59" i="110"/>
  <c r="W59" i="110"/>
  <c r="AH57" i="110"/>
  <c r="AJ62" i="110"/>
  <c r="AD62" i="110"/>
  <c r="Y62" i="110"/>
  <c r="AJ61" i="110"/>
  <c r="AD61" i="110"/>
  <c r="Y61" i="110"/>
  <c r="AJ60" i="110"/>
  <c r="AD60" i="110"/>
  <c r="Y60" i="110"/>
  <c r="AJ59" i="110"/>
  <c r="AD59" i="110"/>
  <c r="Y59" i="110"/>
  <c r="AG62" i="110"/>
  <c r="AB62" i="110"/>
  <c r="V62" i="110"/>
  <c r="AG61" i="110"/>
  <c r="AB61" i="110"/>
  <c r="V61" i="110"/>
  <c r="AG60" i="110"/>
  <c r="AB60" i="110"/>
  <c r="V60" i="110"/>
  <c r="AG59" i="110"/>
  <c r="AB59" i="110"/>
  <c r="V59" i="110"/>
  <c r="Z59" i="110"/>
  <c r="U60" i="110"/>
  <c r="AF60" i="110"/>
  <c r="Z61" i="110"/>
  <c r="U62" i="110"/>
  <c r="AF62" i="110"/>
  <c r="F66" i="110"/>
  <c r="Q66" i="110"/>
  <c r="I67" i="110"/>
  <c r="L68" i="110"/>
  <c r="D69" i="110"/>
  <c r="N69" i="110"/>
  <c r="X20" i="110"/>
  <c r="AI34" i="110"/>
  <c r="AE34" i="110"/>
  <c r="AA34" i="110"/>
  <c r="W34" i="110"/>
  <c r="AI33" i="110"/>
  <c r="AE33" i="110"/>
  <c r="AA33" i="110"/>
  <c r="W33" i="110"/>
  <c r="AI32" i="110"/>
  <c r="AE32" i="110"/>
  <c r="AA32" i="110"/>
  <c r="W32" i="110"/>
  <c r="AI31" i="110"/>
  <c r="AE31" i="110"/>
  <c r="AA31" i="110"/>
  <c r="W31" i="110"/>
  <c r="AG34" i="110"/>
  <c r="AB34" i="110"/>
  <c r="V34" i="110"/>
  <c r="AG33" i="110"/>
  <c r="AB33" i="110"/>
  <c r="V33" i="110"/>
  <c r="AG32" i="110"/>
  <c r="AB32" i="110"/>
  <c r="V32" i="110"/>
  <c r="AG31" i="110"/>
  <c r="AB31" i="110"/>
  <c r="V31" i="110"/>
  <c r="AJ34" i="110"/>
  <c r="AD34" i="110"/>
  <c r="Y34" i="110"/>
  <c r="AJ33" i="110"/>
  <c r="AD33" i="110"/>
  <c r="Y33" i="110"/>
  <c r="Y31" i="110"/>
  <c r="AF31" i="110"/>
  <c r="X32" i="110"/>
  <c r="AD32" i="110"/>
  <c r="U33" i="110"/>
  <c r="AF33" i="110"/>
  <c r="Z34" i="110"/>
  <c r="O41" i="110"/>
  <c r="K41" i="110"/>
  <c r="G41" i="110"/>
  <c r="C41" i="110"/>
  <c r="O40" i="110"/>
  <c r="K40" i="110"/>
  <c r="G40" i="110"/>
  <c r="C40" i="110"/>
  <c r="O39" i="110"/>
  <c r="K39" i="110"/>
  <c r="G39" i="110"/>
  <c r="C39" i="110"/>
  <c r="O38" i="110"/>
  <c r="K38" i="110"/>
  <c r="G38" i="110"/>
  <c r="C38" i="110"/>
  <c r="R41" i="110"/>
  <c r="M41" i="110"/>
  <c r="H41" i="110"/>
  <c r="R40" i="110"/>
  <c r="M40" i="110"/>
  <c r="H40" i="110"/>
  <c r="R39" i="110"/>
  <c r="M39" i="110"/>
  <c r="H39" i="110"/>
  <c r="R38" i="110"/>
  <c r="M38" i="110"/>
  <c r="H38" i="110"/>
  <c r="P41" i="110"/>
  <c r="J41" i="110"/>
  <c r="E41" i="110"/>
  <c r="P40" i="110"/>
  <c r="J40" i="110"/>
  <c r="E40" i="110"/>
  <c r="P39" i="110"/>
  <c r="J39" i="110"/>
  <c r="E39" i="110"/>
  <c r="P38" i="110"/>
  <c r="J38" i="110"/>
  <c r="E38" i="110"/>
  <c r="L38" i="110"/>
  <c r="L39" i="110"/>
  <c r="L40" i="110"/>
  <c r="L41" i="110"/>
  <c r="AB53" i="110"/>
  <c r="AB54" i="110"/>
  <c r="AC59" i="110"/>
  <c r="X60" i="110"/>
  <c r="AH60" i="110"/>
  <c r="AC61" i="110"/>
  <c r="X62" i="110"/>
  <c r="AH62" i="110"/>
  <c r="I66" i="110"/>
  <c r="L67" i="110"/>
  <c r="D68" i="110"/>
  <c r="N68" i="110"/>
  <c r="F69" i="110"/>
  <c r="Z62" i="110"/>
  <c r="O69" i="110"/>
  <c r="K69" i="110"/>
  <c r="G69" i="110"/>
  <c r="C69" i="110"/>
  <c r="O68" i="110"/>
  <c r="K68" i="110"/>
  <c r="G68" i="110"/>
  <c r="C68" i="110"/>
  <c r="O67" i="110"/>
  <c r="K67" i="110"/>
  <c r="G67" i="110"/>
  <c r="C67" i="110"/>
  <c r="O66" i="110"/>
  <c r="K66" i="110"/>
  <c r="G66" i="110"/>
  <c r="C66" i="110"/>
  <c r="P69" i="110"/>
  <c r="J69" i="110"/>
  <c r="E69" i="110"/>
  <c r="P68" i="110"/>
  <c r="J68" i="110"/>
  <c r="E68" i="110"/>
  <c r="P67" i="110"/>
  <c r="J67" i="110"/>
  <c r="E67" i="110"/>
  <c r="P66" i="110"/>
  <c r="J66" i="110"/>
  <c r="E66" i="110"/>
  <c r="R69" i="110"/>
  <c r="M69" i="110"/>
  <c r="H69" i="110"/>
  <c r="R68" i="110"/>
  <c r="M68" i="110"/>
  <c r="H68" i="110"/>
  <c r="R67" i="110"/>
  <c r="M67" i="110"/>
  <c r="H67" i="110"/>
  <c r="R66" i="110"/>
  <c r="M66" i="110"/>
  <c r="H66" i="110"/>
  <c r="L66" i="110"/>
  <c r="D67" i="110"/>
  <c r="N67" i="110"/>
  <c r="F68" i="110"/>
  <c r="Q68" i="110"/>
  <c r="I69" i="110"/>
  <c r="AI20" i="110"/>
  <c r="AE20" i="110"/>
  <c r="AA20" i="110"/>
  <c r="W20" i="110"/>
  <c r="AI19" i="110"/>
  <c r="AE19" i="110"/>
  <c r="AA19" i="110"/>
  <c r="W19" i="110"/>
  <c r="AI18" i="110"/>
  <c r="AE18" i="110"/>
  <c r="AA18" i="110"/>
  <c r="W18" i="110"/>
  <c r="AI17" i="110"/>
  <c r="AE17" i="110"/>
  <c r="AA17" i="110"/>
  <c r="W17" i="110"/>
  <c r="AF20" i="110"/>
  <c r="Z20" i="110"/>
  <c r="U20" i="110"/>
  <c r="AF19" i="110"/>
  <c r="Z19" i="110"/>
  <c r="U19" i="110"/>
  <c r="AF18" i="110"/>
  <c r="Z18" i="110"/>
  <c r="U18" i="110"/>
  <c r="AF17" i="110"/>
  <c r="Z17" i="110"/>
  <c r="U17" i="110"/>
  <c r="Y17" i="110"/>
  <c r="AG17" i="110"/>
  <c r="X18" i="110"/>
  <c r="AD18" i="110"/>
  <c r="V19" i="110"/>
  <c r="AC19" i="110"/>
  <c r="AJ19" i="110"/>
  <c r="AB20" i="110"/>
  <c r="AH20" i="110"/>
  <c r="U31" i="110"/>
  <c r="AC31" i="110"/>
  <c r="AJ31" i="110"/>
  <c r="Z32" i="110"/>
  <c r="AH32" i="110"/>
  <c r="Z33" i="110"/>
  <c r="U34" i="110"/>
  <c r="AF34" i="110"/>
  <c r="F38" i="110"/>
  <c r="Q38" i="110"/>
  <c r="F39" i="110"/>
  <c r="Q39" i="110"/>
  <c r="F40" i="110"/>
  <c r="Q40" i="110"/>
  <c r="F41" i="110"/>
  <c r="Q41" i="110"/>
  <c r="AG55" i="110"/>
  <c r="AC55" i="110"/>
  <c r="Y55" i="110"/>
  <c r="U55" i="110"/>
  <c r="AG54" i="110"/>
  <c r="AC54" i="110"/>
  <c r="Y54" i="110"/>
  <c r="U54" i="110"/>
  <c r="AG53" i="110"/>
  <c r="AC53" i="110"/>
  <c r="Y53" i="110"/>
  <c r="U53" i="110"/>
  <c r="AG52" i="110"/>
  <c r="AC52" i="110"/>
  <c r="Y52" i="110"/>
  <c r="U52" i="110"/>
  <c r="AF55" i="110"/>
  <c r="AA55" i="110"/>
  <c r="V55" i="110"/>
  <c r="AF54" i="110"/>
  <c r="AA54" i="110"/>
  <c r="V54" i="110"/>
  <c r="AF53" i="110"/>
  <c r="AA53" i="110"/>
  <c r="V53" i="110"/>
  <c r="AF52" i="110"/>
  <c r="AA52" i="110"/>
  <c r="V52" i="110"/>
  <c r="AI55" i="110"/>
  <c r="AD55" i="110"/>
  <c r="X55" i="110"/>
  <c r="AI54" i="110"/>
  <c r="AD54" i="110"/>
  <c r="X54" i="110"/>
  <c r="AI53" i="110"/>
  <c r="AD53" i="110"/>
  <c r="X53" i="110"/>
  <c r="AI52" i="110"/>
  <c r="AD52" i="110"/>
  <c r="X52" i="110"/>
  <c r="AH50" i="110"/>
  <c r="W52" i="110"/>
  <c r="AH52" i="110"/>
  <c r="W53" i="110"/>
  <c r="AH53" i="110"/>
  <c r="W54" i="110"/>
  <c r="AH54" i="110"/>
  <c r="W55" i="110"/>
  <c r="AH55" i="110"/>
  <c r="X59" i="110"/>
  <c r="AH59" i="110"/>
  <c r="AC60" i="110"/>
  <c r="X61" i="110"/>
  <c r="AH61" i="110"/>
  <c r="AC62" i="110"/>
  <c r="D66" i="110"/>
  <c r="N66" i="110"/>
  <c r="F67" i="110"/>
  <c r="Q67" i="110"/>
  <c r="I68" i="110"/>
  <c r="L69" i="110"/>
  <c r="AG41" i="110"/>
  <c r="AC41" i="110"/>
  <c r="Y41" i="110"/>
  <c r="U41" i="110"/>
  <c r="AG40" i="110"/>
  <c r="AC40" i="110"/>
  <c r="Y40" i="110"/>
  <c r="U40" i="110"/>
  <c r="AG39" i="110"/>
  <c r="AC39" i="110"/>
  <c r="Y39" i="110"/>
  <c r="U39" i="110"/>
  <c r="AG38" i="110"/>
  <c r="AC38" i="110"/>
  <c r="Y38" i="110"/>
  <c r="U38" i="110"/>
  <c r="W38" i="110"/>
  <c r="AB38" i="110"/>
  <c r="AH38" i="110"/>
  <c r="W39" i="110"/>
  <c r="AB39" i="110"/>
  <c r="AH39" i="110"/>
  <c r="W40" i="110"/>
  <c r="AB40" i="110"/>
  <c r="AH40" i="110"/>
  <c r="W41" i="110"/>
  <c r="AB41" i="110"/>
  <c r="AH41" i="110"/>
  <c r="U48" i="110"/>
  <c r="Z48" i="110"/>
  <c r="O55" i="110"/>
  <c r="K55" i="110"/>
  <c r="G55" i="110"/>
  <c r="C55" i="110"/>
  <c r="O54" i="110"/>
  <c r="K54" i="110"/>
  <c r="G54" i="110"/>
  <c r="C54" i="110"/>
  <c r="O53" i="110"/>
  <c r="K53" i="110"/>
  <c r="G53" i="110"/>
  <c r="C53" i="110"/>
  <c r="O52" i="110"/>
  <c r="K52" i="110"/>
  <c r="G52" i="110"/>
  <c r="C52" i="110"/>
  <c r="F52" i="110"/>
  <c r="L52" i="110"/>
  <c r="Q52" i="110"/>
  <c r="F53" i="110"/>
  <c r="L53" i="110"/>
  <c r="Q53" i="110"/>
  <c r="F54" i="110"/>
  <c r="L54" i="110"/>
  <c r="Q54" i="110"/>
  <c r="F55" i="110"/>
  <c r="L55" i="110"/>
  <c r="Q55" i="110"/>
  <c r="X76" i="110"/>
  <c r="AE74" i="110"/>
  <c r="AI83" i="110"/>
  <c r="AE83" i="110"/>
  <c r="AA83" i="110"/>
  <c r="Y83" i="110"/>
  <c r="AI82" i="110"/>
  <c r="AE82" i="110"/>
  <c r="AC82" i="110"/>
  <c r="AA82" i="110"/>
  <c r="Y82" i="110"/>
  <c r="U82" i="110"/>
  <c r="AG81" i="110"/>
  <c r="AA81" i="110"/>
  <c r="Y81" i="110"/>
  <c r="W81" i="110"/>
  <c r="AI80" i="110"/>
  <c r="AC80" i="110"/>
  <c r="AA80" i="110"/>
  <c r="Y80" i="110"/>
  <c r="AH83" i="110"/>
  <c r="AH82" i="110"/>
  <c r="AH81" i="110"/>
  <c r="Z81" i="110"/>
  <c r="AH80" i="110"/>
  <c r="AF80" i="110"/>
  <c r="AF82" i="110"/>
  <c r="O27" i="110"/>
  <c r="K27" i="110"/>
  <c r="G27" i="110"/>
  <c r="C27" i="110"/>
  <c r="O26" i="110"/>
  <c r="K26" i="110"/>
  <c r="G26" i="110"/>
  <c r="C26" i="110"/>
  <c r="O25" i="110"/>
  <c r="K25" i="110"/>
  <c r="G25" i="110"/>
  <c r="C25" i="110"/>
  <c r="O24" i="110"/>
  <c r="K24" i="110"/>
  <c r="G24" i="110"/>
  <c r="C24" i="110"/>
  <c r="F24" i="110"/>
  <c r="L24" i="110"/>
  <c r="Q24" i="110"/>
  <c r="F25" i="110"/>
  <c r="L25" i="110"/>
  <c r="Q25" i="110"/>
  <c r="F26" i="110"/>
  <c r="L26" i="110"/>
  <c r="Q26" i="110"/>
  <c r="F27" i="110"/>
  <c r="L27" i="110"/>
  <c r="Q27" i="110"/>
  <c r="Z38" i="110"/>
  <c r="AE38" i="110"/>
  <c r="AJ38" i="110"/>
  <c r="Z39" i="110"/>
  <c r="AE39" i="110"/>
  <c r="AJ39" i="110"/>
  <c r="Z40" i="110"/>
  <c r="AE40" i="110"/>
  <c r="AJ40" i="110"/>
  <c r="Z41" i="110"/>
  <c r="AE41" i="110"/>
  <c r="AJ41" i="110"/>
  <c r="AI48" i="110"/>
  <c r="AE48" i="110"/>
  <c r="AA48" i="110"/>
  <c r="W48" i="110"/>
  <c r="AI47" i="110"/>
  <c r="AE47" i="110"/>
  <c r="AA47" i="110"/>
  <c r="W47" i="110"/>
  <c r="AI46" i="110"/>
  <c r="AE46" i="110"/>
  <c r="AA46" i="110"/>
  <c r="W46" i="110"/>
  <c r="AI45" i="110"/>
  <c r="AE45" i="110"/>
  <c r="AA45" i="110"/>
  <c r="W45" i="110"/>
  <c r="X45" i="110"/>
  <c r="AC45" i="110"/>
  <c r="AH45" i="110"/>
  <c r="X46" i="110"/>
  <c r="AC46" i="110"/>
  <c r="AH46" i="110"/>
  <c r="X47" i="110"/>
  <c r="AC47" i="110"/>
  <c r="AH47" i="110"/>
  <c r="X48" i="110"/>
  <c r="AC48" i="110"/>
  <c r="AH48" i="110"/>
  <c r="D52" i="110"/>
  <c r="I52" i="110"/>
  <c r="N52" i="110"/>
  <c r="D53" i="110"/>
  <c r="I53" i="110"/>
  <c r="N53" i="110"/>
  <c r="D54" i="110"/>
  <c r="I54" i="110"/>
  <c r="N54" i="110"/>
  <c r="D55" i="110"/>
  <c r="I55" i="110"/>
  <c r="N55" i="110"/>
  <c r="AG69" i="110"/>
  <c r="AC69" i="110"/>
  <c r="Y69" i="110"/>
  <c r="U69" i="110"/>
  <c r="AG68" i="110"/>
  <c r="AC68" i="110"/>
  <c r="Y68" i="110"/>
  <c r="U68" i="110"/>
  <c r="AG67" i="110"/>
  <c r="AC67" i="110"/>
  <c r="Y67" i="110"/>
  <c r="U67" i="110"/>
  <c r="AG66" i="110"/>
  <c r="AC66" i="110"/>
  <c r="Y66" i="110"/>
  <c r="U66" i="110"/>
  <c r="W66" i="110"/>
  <c r="AB66" i="110"/>
  <c r="AH66" i="110"/>
  <c r="W67" i="110"/>
  <c r="AB67" i="110"/>
  <c r="AH67" i="110"/>
  <c r="W68" i="110"/>
  <c r="AB68" i="110"/>
  <c r="AH68" i="110"/>
  <c r="W69" i="110"/>
  <c r="AB69" i="110"/>
  <c r="AH69" i="110"/>
  <c r="O83" i="110"/>
  <c r="K83" i="110"/>
  <c r="Q81" i="110"/>
  <c r="G81" i="110"/>
  <c r="C81" i="110"/>
  <c r="C80" i="110"/>
  <c r="P82" i="110"/>
  <c r="P78" i="110"/>
  <c r="V80" i="110"/>
  <c r="V81" i="110"/>
  <c r="V82" i="110"/>
  <c r="AB82" i="110"/>
  <c r="V83" i="110"/>
  <c r="AG97" i="110"/>
  <c r="AG96" i="110"/>
  <c r="U96" i="110"/>
  <c r="U95" i="110"/>
  <c r="AF97" i="110"/>
  <c r="AF96" i="110"/>
  <c r="AF95" i="110"/>
  <c r="Z95" i="110"/>
  <c r="V95" i="110"/>
  <c r="AJ94" i="110"/>
  <c r="AH94" i="110"/>
  <c r="X94" i="110"/>
  <c r="Y94" i="110"/>
  <c r="E17" i="110"/>
  <c r="I17" i="110"/>
  <c r="M17" i="110"/>
  <c r="Q17" i="110"/>
  <c r="E18" i="110"/>
  <c r="I18" i="110"/>
  <c r="M18" i="110"/>
  <c r="Q18" i="110"/>
  <c r="E19" i="110"/>
  <c r="I19" i="110"/>
  <c r="M19" i="110"/>
  <c r="Q19" i="110"/>
  <c r="E20" i="110"/>
  <c r="I20" i="110"/>
  <c r="M20" i="110"/>
  <c r="E31" i="110"/>
  <c r="I31" i="110"/>
  <c r="M31" i="110"/>
  <c r="Q31" i="110"/>
  <c r="E32" i="110"/>
  <c r="I32" i="110"/>
  <c r="M32" i="110"/>
  <c r="Q32" i="110"/>
  <c r="E33" i="110"/>
  <c r="I33" i="110"/>
  <c r="M33" i="110"/>
  <c r="Q33" i="110"/>
  <c r="E34" i="110"/>
  <c r="I34" i="110"/>
  <c r="M34" i="110"/>
  <c r="E45" i="110"/>
  <c r="I45" i="110"/>
  <c r="M45" i="110"/>
  <c r="Q45" i="110"/>
  <c r="E46" i="110"/>
  <c r="I46" i="110"/>
  <c r="M46" i="110"/>
  <c r="Q46" i="110"/>
  <c r="E47" i="110"/>
  <c r="I47" i="110"/>
  <c r="M47" i="110"/>
  <c r="Q47" i="110"/>
  <c r="E48" i="110"/>
  <c r="I48" i="110"/>
  <c r="M48" i="110"/>
  <c r="E59" i="110"/>
  <c r="I59" i="110"/>
  <c r="M59" i="110"/>
  <c r="Q59" i="110"/>
  <c r="E60" i="110"/>
  <c r="I60" i="110"/>
  <c r="M60" i="110"/>
  <c r="Q60" i="110"/>
  <c r="E61" i="110"/>
  <c r="I61" i="110"/>
  <c r="M61" i="110"/>
  <c r="Q61" i="110"/>
  <c r="E62" i="110"/>
  <c r="I62" i="110"/>
  <c r="M62" i="110"/>
  <c r="Q76" i="110"/>
  <c r="M76" i="110"/>
  <c r="I76" i="110"/>
  <c r="E76" i="110"/>
  <c r="Q75" i="110"/>
  <c r="M75" i="110"/>
  <c r="I75" i="110"/>
  <c r="E75" i="110"/>
  <c r="Q74" i="110"/>
  <c r="M74" i="110"/>
  <c r="I74" i="110"/>
  <c r="E74" i="110"/>
  <c r="E73" i="110"/>
  <c r="I73" i="110"/>
  <c r="M73" i="110"/>
  <c r="Q73" i="110"/>
  <c r="D74" i="110"/>
  <c r="J74" i="110"/>
  <c r="O74" i="110"/>
  <c r="D75" i="110"/>
  <c r="J75" i="110"/>
  <c r="O75" i="110"/>
  <c r="D76" i="110"/>
  <c r="J76" i="110"/>
  <c r="O76" i="110"/>
  <c r="AF89" i="110"/>
  <c r="AD89" i="110"/>
  <c r="AJ88" i="110"/>
  <c r="AD88" i="110"/>
  <c r="Z87" i="110"/>
  <c r="H87" i="110"/>
  <c r="L87" i="110"/>
  <c r="P87" i="110"/>
  <c r="R87" i="110"/>
  <c r="D88" i="110"/>
  <c r="J88" i="110"/>
  <c r="R88" i="110"/>
  <c r="D89" i="110"/>
  <c r="J89" i="110"/>
  <c r="R89" i="110"/>
  <c r="D90" i="110"/>
  <c r="F90" i="110"/>
  <c r="AG104" i="110"/>
  <c r="AA104" i="110"/>
  <c r="U104" i="110"/>
  <c r="AG103" i="110"/>
  <c r="AA103" i="110"/>
  <c r="W103" i="110"/>
  <c r="U103" i="110"/>
  <c r="AG102" i="110"/>
  <c r="W102" i="110"/>
  <c r="AB104" i="110"/>
  <c r="AF103" i="110"/>
  <c r="AB103" i="110"/>
  <c r="AF102" i="110"/>
  <c r="AF101" i="110"/>
  <c r="AB101" i="110"/>
  <c r="AG101" i="110"/>
  <c r="AA101" i="110"/>
  <c r="W101" i="110"/>
  <c r="U101" i="110"/>
  <c r="D94" i="110"/>
  <c r="F94" i="110"/>
  <c r="H94" i="110"/>
  <c r="L94" i="110"/>
  <c r="N94" i="110"/>
  <c r="P94" i="110"/>
  <c r="H95" i="110"/>
  <c r="J95" i="110"/>
  <c r="N95" i="110"/>
  <c r="P95" i="110"/>
  <c r="R95" i="110"/>
  <c r="D96" i="110"/>
  <c r="F96" i="110"/>
  <c r="J96" i="110"/>
  <c r="L96" i="110"/>
  <c r="N96" i="110"/>
  <c r="P96" i="110"/>
  <c r="R96" i="110"/>
  <c r="D97" i="110"/>
  <c r="H97" i="110"/>
  <c r="J97" i="110"/>
  <c r="L97" i="110"/>
  <c r="N97" i="110"/>
  <c r="P97" i="110"/>
  <c r="E101" i="110"/>
  <c r="O101" i="110"/>
  <c r="E102" i="110"/>
  <c r="C96" i="110"/>
  <c r="G96" i="110"/>
  <c r="K96" i="110"/>
  <c r="O96" i="110"/>
  <c r="C97" i="110"/>
  <c r="G97" i="110"/>
  <c r="K97" i="110"/>
  <c r="O97" i="110"/>
  <c r="J101" i="110"/>
  <c r="J102" i="110"/>
  <c r="K6" i="95"/>
  <c r="K14" i="95"/>
  <c r="K10" i="95"/>
  <c r="E52" i="81" l="1"/>
  <c r="AM204" i="100"/>
  <c r="AF198" i="100"/>
  <c r="AA199" i="100"/>
  <c r="AN199" i="100"/>
  <c r="AA204" i="100"/>
  <c r="M49" i="81"/>
  <c r="E49" i="81"/>
  <c r="E40" i="81"/>
  <c r="J61" i="81"/>
  <c r="M17" i="98"/>
  <c r="H96" i="98"/>
  <c r="H17" i="98"/>
  <c r="J17" i="98"/>
  <c r="H30" i="98"/>
  <c r="E73" i="81"/>
  <c r="F105" i="81"/>
  <c r="J39" i="81"/>
  <c r="AN197" i="100"/>
  <c r="AA202" i="100"/>
  <c r="AK202" i="100"/>
  <c r="AJ197" i="100"/>
  <c r="G97" i="98"/>
  <c r="AB203" i="100"/>
  <c r="AF205" i="100"/>
  <c r="AH202" i="100"/>
  <c r="AD202" i="100"/>
  <c r="AC198" i="100"/>
  <c r="AL197" i="100"/>
  <c r="AH198" i="100"/>
  <c r="AD200" i="100"/>
  <c r="AB204" i="100"/>
  <c r="AG205" i="100"/>
  <c r="AG200" i="100"/>
  <c r="AF200" i="100"/>
  <c r="AN204" i="100"/>
  <c r="AK197" i="100"/>
  <c r="AJ206" i="100"/>
  <c r="AI202" i="100"/>
  <c r="AI197" i="100"/>
  <c r="AH200" i="100"/>
  <c r="AM203" i="100"/>
  <c r="AA198" i="100"/>
  <c r="AD206" i="100"/>
  <c r="AD201" i="100"/>
  <c r="AC206" i="100"/>
  <c r="AM198" i="100"/>
  <c r="AJ202" i="100"/>
  <c r="AJ201" i="100"/>
  <c r="AA206" i="100"/>
  <c r="AK199" i="100"/>
  <c r="AH206" i="100"/>
  <c r="AH201" i="100"/>
  <c r="AH205" i="100"/>
  <c r="AN206" i="100"/>
  <c r="AN201" i="100"/>
  <c r="AM206" i="100"/>
  <c r="AM201" i="100"/>
  <c r="AD197" i="100"/>
  <c r="AC202" i="100"/>
  <c r="AC201" i="100"/>
  <c r="AL203" i="100"/>
  <c r="AA201" i="100"/>
  <c r="AH197" i="100"/>
  <c r="AI204" i="100"/>
  <c r="AN202" i="100"/>
  <c r="AM202" i="100"/>
  <c r="AM197" i="100"/>
  <c r="AM205" i="100"/>
  <c r="AF203" i="100"/>
  <c r="AE203" i="100"/>
  <c r="AC197" i="100"/>
  <c r="AB206" i="100"/>
  <c r="AL198" i="100"/>
  <c r="AC204" i="100"/>
  <c r="AA197" i="100"/>
  <c r="AJ204" i="100"/>
  <c r="AJ198" i="100"/>
  <c r="AG201" i="100"/>
  <c r="AF199" i="100"/>
  <c r="AC199" i="100"/>
  <c r="AF206" i="100"/>
  <c r="AF201" i="100"/>
  <c r="AE206" i="100"/>
  <c r="AE201" i="100"/>
  <c r="AE205" i="100"/>
  <c r="AM200" i="100"/>
  <c r="AL205" i="100"/>
  <c r="AL200" i="100"/>
  <c r="AE199" i="100"/>
  <c r="AB202" i="100"/>
  <c r="AB201" i="100"/>
  <c r="AJ205" i="100"/>
  <c r="AJ200" i="100"/>
  <c r="AG206" i="100"/>
  <c r="AG197" i="100"/>
  <c r="AN198" i="100"/>
  <c r="AA203" i="100"/>
  <c r="AK203" i="100"/>
  <c r="AF202" i="100"/>
  <c r="AF197" i="100"/>
  <c r="AE202" i="100"/>
  <c r="AE197" i="100"/>
  <c r="AE200" i="100"/>
  <c r="AD205" i="100"/>
  <c r="AK205" i="100"/>
  <c r="AD203" i="100"/>
  <c r="AB197" i="100"/>
  <c r="AB205" i="100"/>
  <c r="AB200" i="100"/>
  <c r="AG202" i="100"/>
  <c r="AI199" i="100"/>
  <c r="AH203" i="100"/>
  <c r="AG204" i="100"/>
  <c r="AG199" i="100"/>
  <c r="AL206" i="100"/>
  <c r="AC205" i="100"/>
  <c r="AK200" i="100"/>
  <c r="AD198" i="100"/>
  <c r="AI205" i="100"/>
  <c r="AI200" i="100"/>
  <c r="AB199" i="100"/>
  <c r="AH199" i="100"/>
  <c r="AN205" i="100"/>
  <c r="AN200" i="100"/>
  <c r="AL202" i="100"/>
  <c r="AL201" i="100"/>
  <c r="AK206" i="100"/>
  <c r="AK201" i="100"/>
  <c r="AC200" i="100"/>
  <c r="AI206" i="100"/>
  <c r="AI201" i="100"/>
  <c r="AA205" i="100"/>
  <c r="AA200" i="100"/>
  <c r="E88" i="81"/>
  <c r="E70" i="81"/>
  <c r="H92" i="81"/>
  <c r="E80" i="81"/>
  <c r="M55" i="81"/>
  <c r="K73" i="81"/>
  <c r="E30" i="101"/>
  <c r="E17" i="101"/>
  <c r="M62" i="81"/>
  <c r="M56" i="81"/>
  <c r="F117" i="81"/>
  <c r="H117" i="81"/>
  <c r="H42" i="81"/>
  <c r="G23" i="114"/>
  <c r="I18" i="117"/>
  <c r="M97" i="98"/>
  <c r="AJ112" i="98"/>
  <c r="E95" i="98"/>
  <c r="M97" i="101"/>
  <c r="L97" i="101"/>
  <c r="AH114" i="98"/>
  <c r="AJ107" i="98"/>
  <c r="G37" i="101"/>
  <c r="J17" i="114"/>
  <c r="G47" i="114"/>
  <c r="AF121" i="98"/>
  <c r="AD114" i="98"/>
  <c r="AH128" i="98"/>
  <c r="AJ113" i="98"/>
  <c r="P97" i="101"/>
  <c r="I54" i="106"/>
  <c r="I50" i="106"/>
  <c r="I42" i="106"/>
  <c r="I44" i="106"/>
  <c r="I37" i="106"/>
  <c r="I32" i="106"/>
  <c r="I23" i="106"/>
  <c r="I24" i="106"/>
  <c r="I19" i="106"/>
  <c r="I16" i="106"/>
  <c r="I11" i="106"/>
  <c r="I7" i="106"/>
  <c r="I38" i="106"/>
  <c r="I28" i="106"/>
  <c r="I20" i="106"/>
  <c r="I8" i="106"/>
  <c r="I53" i="106"/>
  <c r="I49" i="106"/>
  <c r="I41" i="106"/>
  <c r="I43" i="106"/>
  <c r="I36" i="106"/>
  <c r="I31" i="106"/>
  <c r="I27" i="106"/>
  <c r="I22" i="106"/>
  <c r="I18" i="106"/>
  <c r="I15" i="106"/>
  <c r="I10" i="106"/>
  <c r="I6" i="106"/>
  <c r="I52" i="106"/>
  <c r="I48" i="106"/>
  <c r="I47" i="106"/>
  <c r="I40" i="106"/>
  <c r="I39" i="106"/>
  <c r="I35" i="106"/>
  <c r="I34" i="106"/>
  <c r="I30" i="106"/>
  <c r="I29" i="106"/>
  <c r="I26" i="106"/>
  <c r="I21" i="106"/>
  <c r="I17" i="106"/>
  <c r="I14" i="106"/>
  <c r="I9" i="106"/>
  <c r="I51" i="106"/>
  <c r="I46" i="106"/>
  <c r="I45" i="106"/>
  <c r="I25" i="106"/>
  <c r="I13" i="106"/>
  <c r="I12" i="106"/>
  <c r="I33" i="106"/>
  <c r="X121" i="98"/>
  <c r="V114" i="98"/>
  <c r="AA105" i="98"/>
  <c r="G47" i="98"/>
  <c r="J38" i="81"/>
  <c r="E55" i="81"/>
  <c r="H28" i="101"/>
  <c r="H30" i="101" s="1"/>
  <c r="M53" i="81"/>
  <c r="M57" i="81"/>
  <c r="H30" i="114"/>
  <c r="AF107" i="98"/>
  <c r="D95" i="101"/>
  <c r="Z111" i="101"/>
  <c r="V111" i="101"/>
  <c r="X104" i="101"/>
  <c r="G14" i="87"/>
  <c r="E14" i="87" s="1"/>
  <c r="G18" i="87"/>
  <c r="H18" i="87" s="1"/>
  <c r="G16" i="87"/>
  <c r="H16" i="87" s="1"/>
  <c r="G20" i="87"/>
  <c r="H20" i="87" s="1"/>
  <c r="E62" i="81"/>
  <c r="H45" i="81"/>
  <c r="AG105" i="98"/>
  <c r="AG107" i="98"/>
  <c r="K96" i="101"/>
  <c r="R96" i="101"/>
  <c r="Q96" i="101"/>
  <c r="L96" i="101"/>
  <c r="N96" i="101"/>
  <c r="M96" i="101"/>
  <c r="H96" i="101"/>
  <c r="J96" i="101"/>
  <c r="I96" i="101"/>
  <c r="D96" i="101"/>
  <c r="E97" i="101"/>
  <c r="F96" i="101"/>
  <c r="D97" i="101"/>
  <c r="E96" i="101"/>
  <c r="P96" i="101"/>
  <c r="G15" i="87"/>
  <c r="H15" i="87" s="1"/>
  <c r="G17" i="87"/>
  <c r="H17" i="87" s="1"/>
  <c r="G19" i="87"/>
  <c r="H19" i="87" s="1"/>
  <c r="G22" i="87"/>
  <c r="G6" i="87"/>
  <c r="E6" i="87" s="1"/>
  <c r="G7" i="87"/>
  <c r="H7" i="87" s="1"/>
  <c r="G8" i="87"/>
  <c r="E8" i="87" s="1"/>
  <c r="G9" i="87"/>
  <c r="E9" i="87" s="1"/>
  <c r="G10" i="87"/>
  <c r="H10" i="87" s="1"/>
  <c r="G11" i="87"/>
  <c r="E11" i="87" s="1"/>
  <c r="G12" i="87"/>
  <c r="H12" i="87" s="1"/>
  <c r="G13" i="87"/>
  <c r="H13" i="87" s="1"/>
  <c r="E53" i="81"/>
  <c r="K30" i="114"/>
  <c r="E17" i="98"/>
  <c r="H121" i="81"/>
  <c r="I121" i="81" s="1"/>
  <c r="E43" i="81"/>
  <c r="H38" i="81"/>
  <c r="G23" i="98"/>
  <c r="F121" i="81"/>
  <c r="K79" i="81"/>
  <c r="H52" i="81"/>
  <c r="K30" i="98"/>
  <c r="H53" i="81"/>
  <c r="K75" i="81"/>
  <c r="E30" i="98"/>
  <c r="H113" i="81"/>
  <c r="I113" i="81" s="1"/>
  <c r="H78" i="81"/>
  <c r="H69" i="81"/>
  <c r="E77" i="81"/>
  <c r="F113" i="81"/>
  <c r="H84" i="81"/>
  <c r="M96" i="98"/>
  <c r="H94" i="101"/>
  <c r="V128" i="98"/>
  <c r="AJ120" i="98"/>
  <c r="Y124" i="101"/>
  <c r="V121" i="98"/>
  <c r="H86" i="81"/>
  <c r="AB128" i="98"/>
  <c r="I96" i="98"/>
  <c r="D94" i="101"/>
  <c r="O96" i="101"/>
  <c r="G96" i="101"/>
  <c r="E60" i="81"/>
  <c r="Y112" i="98"/>
  <c r="E96" i="98"/>
  <c r="E87" i="81"/>
  <c r="AJ127" i="98"/>
  <c r="AF118" i="101"/>
  <c r="AD111" i="101"/>
  <c r="AF104" i="101"/>
  <c r="I97" i="101"/>
  <c r="AJ124" i="101"/>
  <c r="M43" i="81"/>
  <c r="AG106" i="98"/>
  <c r="P94" i="101"/>
  <c r="AD128" i="98"/>
  <c r="AB121" i="98"/>
  <c r="Z114" i="98"/>
  <c r="AG124" i="101"/>
  <c r="X124" i="101"/>
  <c r="J18" i="117"/>
  <c r="K18" i="117"/>
  <c r="H70" i="81"/>
  <c r="E74" i="81"/>
  <c r="M17" i="114"/>
  <c r="AA121" i="98"/>
  <c r="AJ114" i="98"/>
  <c r="AB107" i="98"/>
  <c r="E97" i="98"/>
  <c r="V120" i="98"/>
  <c r="E94" i="101"/>
  <c r="H17" i="101"/>
  <c r="AA125" i="101"/>
  <c r="AC124" i="101"/>
  <c r="AB124" i="101"/>
  <c r="M17" i="101"/>
  <c r="AJ104" i="101"/>
  <c r="AH111" i="101"/>
  <c r="L94" i="101"/>
  <c r="H97" i="101"/>
  <c r="AB118" i="101"/>
  <c r="AH123" i="101"/>
  <c r="AB104" i="101"/>
  <c r="AK124" i="101"/>
  <c r="C96" i="101"/>
  <c r="W125" i="101"/>
  <c r="X118" i="101"/>
  <c r="AF124" i="101"/>
  <c r="AH107" i="98"/>
  <c r="V119" i="98"/>
  <c r="Q96" i="98"/>
  <c r="H95" i="98"/>
  <c r="AG128" i="98"/>
  <c r="C95" i="98"/>
  <c r="AC128" i="98"/>
  <c r="AI127" i="98"/>
  <c r="AE113" i="98"/>
  <c r="Y113" i="98"/>
  <c r="AF128" i="98"/>
  <c r="Y127" i="98"/>
  <c r="K95" i="98"/>
  <c r="AK128" i="98"/>
  <c r="AH121" i="98"/>
  <c r="AK114" i="98"/>
  <c r="AC105" i="98"/>
  <c r="Y114" i="98"/>
  <c r="AA119" i="98"/>
  <c r="AE111" i="98"/>
  <c r="AG118" i="98"/>
  <c r="AA107" i="98"/>
  <c r="V104" i="98"/>
  <c r="W105" i="98"/>
  <c r="X128" i="98"/>
  <c r="Z121" i="98"/>
  <c r="X114" i="98"/>
  <c r="Z107" i="98"/>
  <c r="AI120" i="98"/>
  <c r="AG113" i="98"/>
  <c r="AI106" i="98"/>
  <c r="AH105" i="98"/>
  <c r="AG121" i="98"/>
  <c r="AA120" i="98"/>
  <c r="AE112" i="98"/>
  <c r="V107" i="98"/>
  <c r="Y111" i="98"/>
  <c r="AG104" i="98"/>
  <c r="AA118" i="98"/>
  <c r="AJ111" i="98"/>
  <c r="AA104" i="98"/>
  <c r="AK121" i="98"/>
  <c r="AE120" i="98"/>
  <c r="AI114" i="98"/>
  <c r="AC113" i="98"/>
  <c r="AK107" i="98"/>
  <c r="AE106" i="98"/>
  <c r="W128" i="98"/>
  <c r="AD121" i="98"/>
  <c r="AB114" i="98"/>
  <c r="AD107" i="98"/>
  <c r="AC121" i="98"/>
  <c r="AF114" i="98"/>
  <c r="AC107" i="98"/>
  <c r="AG119" i="98"/>
  <c r="AE114" i="98"/>
  <c r="AA106" i="98"/>
  <c r="V105" i="98"/>
  <c r="V118" i="98"/>
  <c r="AE127" i="98"/>
  <c r="Y121" i="98"/>
  <c r="W114" i="98"/>
  <c r="Y107" i="98"/>
  <c r="W121" i="98"/>
  <c r="AA114" i="98"/>
  <c r="W107" i="98"/>
  <c r="AA127" i="98"/>
  <c r="AG120" i="98"/>
  <c r="V106" i="98"/>
  <c r="X107" i="98"/>
  <c r="Y128" i="98"/>
  <c r="Y126" i="98"/>
  <c r="AE121" i="98"/>
  <c r="Z120" i="98"/>
  <c r="AK118" i="98"/>
  <c r="AC114" i="98"/>
  <c r="X113" i="98"/>
  <c r="AI111" i="98"/>
  <c r="AE107" i="98"/>
  <c r="Z106" i="98"/>
  <c r="AK104" i="98"/>
  <c r="AE125" i="98"/>
  <c r="AI119" i="98"/>
  <c r="AD118" i="98"/>
  <c r="AG112" i="98"/>
  <c r="AB111" i="98"/>
  <c r="AI105" i="98"/>
  <c r="AD104" i="98"/>
  <c r="Q95" i="98"/>
  <c r="AK127" i="98"/>
  <c r="AK125" i="98"/>
  <c r="AH119" i="98"/>
  <c r="AC118" i="98"/>
  <c r="AK112" i="98"/>
  <c r="AF111" i="98"/>
  <c r="AC104" i="98"/>
  <c r="O95" i="98"/>
  <c r="AA125" i="98"/>
  <c r="C97" i="98"/>
  <c r="Z128" i="98"/>
  <c r="O96" i="98"/>
  <c r="AG127" i="98"/>
  <c r="AG125" i="98"/>
  <c r="AK119" i="98"/>
  <c r="AE118" i="98"/>
  <c r="AI112" i="98"/>
  <c r="AC111" i="98"/>
  <c r="AK105" i="98"/>
  <c r="AE104" i="98"/>
  <c r="W127" i="98"/>
  <c r="W125" i="98"/>
  <c r="AD119" i="98"/>
  <c r="Y118" i="98"/>
  <c r="AB112" i="98"/>
  <c r="W111" i="98"/>
  <c r="AD105" i="98"/>
  <c r="Y104" i="98"/>
  <c r="I95" i="98"/>
  <c r="AC127" i="98"/>
  <c r="AC125" i="98"/>
  <c r="AH120" i="98"/>
  <c r="AC119" i="98"/>
  <c r="W118" i="98"/>
  <c r="AK113" i="98"/>
  <c r="AF112" i="98"/>
  <c r="AA111" i="98"/>
  <c r="AH106" i="98"/>
  <c r="W104" i="98"/>
  <c r="G95" i="98"/>
  <c r="AI128" i="98"/>
  <c r="AI126" i="98"/>
  <c r="M95" i="98"/>
  <c r="K96" i="98"/>
  <c r="Y125" i="98"/>
  <c r="AK120" i="98"/>
  <c r="AE119" i="98"/>
  <c r="Z118" i="98"/>
  <c r="AI113" i="98"/>
  <c r="AC112" i="98"/>
  <c r="X111" i="98"/>
  <c r="AK106" i="98"/>
  <c r="AE105" i="98"/>
  <c r="Z104" i="98"/>
  <c r="AE128" i="98"/>
  <c r="AE126" i="98"/>
  <c r="AI121" i="98"/>
  <c r="AD120" i="98"/>
  <c r="Y119" i="98"/>
  <c r="AG114" i="98"/>
  <c r="AB113" i="98"/>
  <c r="W112" i="98"/>
  <c r="AI107" i="98"/>
  <c r="AD106" i="98"/>
  <c r="Y105" i="98"/>
  <c r="AK126" i="98"/>
  <c r="AC120" i="98"/>
  <c r="W119" i="98"/>
  <c r="AF113" i="98"/>
  <c r="AA112" i="98"/>
  <c r="AC106" i="98"/>
  <c r="AA128" i="98"/>
  <c r="AA126" i="98"/>
  <c r="G96" i="98"/>
  <c r="AG126" i="98"/>
  <c r="Z119" i="98"/>
  <c r="X112" i="98"/>
  <c r="Z105" i="98"/>
  <c r="W126" i="98"/>
  <c r="Y120" i="98"/>
  <c r="AI118" i="98"/>
  <c r="W113" i="98"/>
  <c r="AG111" i="98"/>
  <c r="Y106" i="98"/>
  <c r="AI104" i="98"/>
  <c r="AC126" i="98"/>
  <c r="W120" i="98"/>
  <c r="AH118" i="98"/>
  <c r="AA113" i="98"/>
  <c r="AK111" i="98"/>
  <c r="W106" i="98"/>
  <c r="AH104" i="98"/>
  <c r="AI125" i="98"/>
  <c r="E30" i="114"/>
  <c r="E83" i="81"/>
  <c r="E61" i="81"/>
  <c r="E79" i="81"/>
  <c r="I124" i="81"/>
  <c r="E38" i="81"/>
  <c r="H54" i="81"/>
  <c r="H46" i="81"/>
  <c r="E48" i="81"/>
  <c r="E71" i="81"/>
  <c r="K91" i="81"/>
  <c r="E82" i="81"/>
  <c r="E91" i="81"/>
  <c r="E44" i="81"/>
  <c r="I123" i="81"/>
  <c r="I115" i="81"/>
  <c r="I107" i="81"/>
  <c r="I99" i="81"/>
  <c r="M54" i="81"/>
  <c r="K17" i="115"/>
  <c r="J17" i="115"/>
  <c r="I17" i="115"/>
  <c r="AJ118" i="101"/>
  <c r="O94" i="101"/>
  <c r="G95" i="101"/>
  <c r="AI123" i="101"/>
  <c r="W118" i="101"/>
  <c r="AA111" i="101"/>
  <c r="W104" i="101"/>
  <c r="AI118" i="101"/>
  <c r="AD117" i="101"/>
  <c r="Y116" i="101"/>
  <c r="AG111" i="101"/>
  <c r="AB110" i="101"/>
  <c r="W109" i="101"/>
  <c r="AI104" i="101"/>
  <c r="AD103" i="101"/>
  <c r="Y102" i="101"/>
  <c r="AD125" i="101"/>
  <c r="O95" i="101"/>
  <c r="V125" i="101"/>
  <c r="AH118" i="101"/>
  <c r="AC117" i="101"/>
  <c r="AK111" i="101"/>
  <c r="AF110" i="101"/>
  <c r="AH104" i="101"/>
  <c r="AC103" i="101"/>
  <c r="Z124" i="101"/>
  <c r="K95" i="101"/>
  <c r="K94" i="101"/>
  <c r="AE123" i="101"/>
  <c r="V118" i="101"/>
  <c r="AG116" i="101"/>
  <c r="AA115" i="101"/>
  <c r="Y111" i="101"/>
  <c r="AJ109" i="101"/>
  <c r="AE108" i="101"/>
  <c r="V104" i="101"/>
  <c r="AG102" i="101"/>
  <c r="AA101" i="101"/>
  <c r="Z118" i="101"/>
  <c r="AK116" i="101"/>
  <c r="AE115" i="101"/>
  <c r="X111" i="101"/>
  <c r="AI109" i="101"/>
  <c r="AC108" i="101"/>
  <c r="Z104" i="101"/>
  <c r="AK102" i="101"/>
  <c r="AE101" i="101"/>
  <c r="AI122" i="101"/>
  <c r="AH117" i="101"/>
  <c r="AC116" i="101"/>
  <c r="W115" i="101"/>
  <c r="AK110" i="101"/>
  <c r="AF109" i="101"/>
  <c r="AA108" i="101"/>
  <c r="AH103" i="101"/>
  <c r="AC102" i="101"/>
  <c r="W101" i="101"/>
  <c r="AE125" i="101"/>
  <c r="AE122" i="101"/>
  <c r="AG117" i="101"/>
  <c r="AA116" i="101"/>
  <c r="V115" i="101"/>
  <c r="AJ110" i="101"/>
  <c r="AE109" i="101"/>
  <c r="Y108" i="101"/>
  <c r="AG103" i="101"/>
  <c r="AA102" i="101"/>
  <c r="V101" i="101"/>
  <c r="AA122" i="101"/>
  <c r="AK117" i="101"/>
  <c r="AE116" i="101"/>
  <c r="Z115" i="101"/>
  <c r="AI110" i="101"/>
  <c r="AC109" i="101"/>
  <c r="X108" i="101"/>
  <c r="AK103" i="101"/>
  <c r="AE102" i="101"/>
  <c r="Z101" i="101"/>
  <c r="W124" i="101"/>
  <c r="AD118" i="101"/>
  <c r="Y117" i="101"/>
  <c r="AI115" i="101"/>
  <c r="AB111" i="101"/>
  <c r="W110" i="101"/>
  <c r="AG108" i="101"/>
  <c r="AD104" i="101"/>
  <c r="Y103" i="101"/>
  <c r="AI101" i="101"/>
  <c r="W116" i="101"/>
  <c r="AA109" i="101"/>
  <c r="W102" i="101"/>
  <c r="AG118" i="101"/>
  <c r="AA117" i="101"/>
  <c r="V116" i="101"/>
  <c r="AJ111" i="101"/>
  <c r="AE110" i="101"/>
  <c r="Y109" i="101"/>
  <c r="AG104" i="101"/>
  <c r="AA103" i="101"/>
  <c r="V102" i="101"/>
  <c r="AK118" i="101"/>
  <c r="AE117" i="101"/>
  <c r="Z116" i="101"/>
  <c r="AI111" i="101"/>
  <c r="AC110" i="101"/>
  <c r="X109" i="101"/>
  <c r="AK104" i="101"/>
  <c r="AE103" i="101"/>
  <c r="Z102" i="101"/>
  <c r="W123" i="101"/>
  <c r="Y118" i="101"/>
  <c r="AI116" i="101"/>
  <c r="AD115" i="101"/>
  <c r="W111" i="101"/>
  <c r="AG109" i="101"/>
  <c r="AB108" i="101"/>
  <c r="Y104" i="101"/>
  <c r="AI102" i="101"/>
  <c r="AD101" i="101"/>
  <c r="AI124" i="101"/>
  <c r="AC118" i="101"/>
  <c r="W117" i="101"/>
  <c r="AH115" i="101"/>
  <c r="AF111" i="101"/>
  <c r="AA110" i="101"/>
  <c r="AK108" i="101"/>
  <c r="AC104" i="101"/>
  <c r="W103" i="101"/>
  <c r="AH101" i="101"/>
  <c r="AE124" i="101"/>
  <c r="AA118" i="101"/>
  <c r="V117" i="101"/>
  <c r="AG115" i="101"/>
  <c r="AE111" i="101"/>
  <c r="Y110" i="101"/>
  <c r="AJ108" i="101"/>
  <c r="AA104" i="101"/>
  <c r="V103" i="101"/>
  <c r="AG101" i="101"/>
  <c r="AA124" i="101"/>
  <c r="AE118" i="101"/>
  <c r="Z117" i="101"/>
  <c r="AK115" i="101"/>
  <c r="AC111" i="101"/>
  <c r="X110" i="101"/>
  <c r="AI108" i="101"/>
  <c r="AE104" i="101"/>
  <c r="Z103" i="101"/>
  <c r="AK101" i="101"/>
  <c r="W122" i="101"/>
  <c r="AI117" i="101"/>
  <c r="AD116" i="101"/>
  <c r="Y115" i="101"/>
  <c r="AG110" i="101"/>
  <c r="AB109" i="101"/>
  <c r="W108" i="101"/>
  <c r="AI103" i="101"/>
  <c r="AD102" i="101"/>
  <c r="Y101" i="101"/>
  <c r="AH116" i="101"/>
  <c r="AC115" i="101"/>
  <c r="AK109" i="101"/>
  <c r="AF108" i="101"/>
  <c r="AH102" i="101"/>
  <c r="AC101" i="101"/>
  <c r="AI125" i="101"/>
  <c r="AA123" i="101"/>
  <c r="M45" i="81"/>
  <c r="E54" i="81"/>
  <c r="I119" i="81"/>
  <c r="I111" i="81"/>
  <c r="I103" i="81"/>
  <c r="E50" i="81"/>
  <c r="E90" i="81"/>
  <c r="K83" i="81"/>
  <c r="E75" i="81"/>
  <c r="E63" i="81"/>
  <c r="E59" i="81"/>
  <c r="M41" i="81"/>
  <c r="M50" i="81"/>
  <c r="M42" i="81"/>
  <c r="I117" i="81"/>
  <c r="I109" i="81"/>
  <c r="I105" i="81"/>
  <c r="I101" i="81"/>
  <c r="H94" i="81"/>
  <c r="H50" i="81"/>
  <c r="E45" i="81"/>
  <c r="H82" i="81"/>
  <c r="H75" i="81"/>
  <c r="AB127" i="98"/>
  <c r="AB126" i="98"/>
  <c r="AB125" i="98"/>
  <c r="AH122" i="101"/>
  <c r="AJ117" i="101"/>
  <c r="AJ116" i="101"/>
  <c r="AJ115" i="101"/>
  <c r="AH110" i="101"/>
  <c r="AH109" i="101"/>
  <c r="AH108" i="101"/>
  <c r="AJ103" i="101"/>
  <c r="AJ102" i="101"/>
  <c r="AJ101" i="101"/>
  <c r="AH127" i="98"/>
  <c r="AH126" i="98"/>
  <c r="AH125" i="98"/>
  <c r="AF120" i="98"/>
  <c r="AF119" i="98"/>
  <c r="AF118" i="98"/>
  <c r="AD113" i="98"/>
  <c r="AD112" i="98"/>
  <c r="AD111" i="98"/>
  <c r="AF106" i="98"/>
  <c r="AF105" i="98"/>
  <c r="AF104" i="98"/>
  <c r="AK123" i="101"/>
  <c r="AK122" i="101"/>
  <c r="R95" i="101"/>
  <c r="C94" i="101"/>
  <c r="AJ123" i="101"/>
  <c r="AJ122" i="101"/>
  <c r="C97" i="101"/>
  <c r="E95" i="101"/>
  <c r="F94" i="101"/>
  <c r="AH125" i="101"/>
  <c r="F22" i="82"/>
  <c r="G22" i="82"/>
  <c r="G25" i="82"/>
  <c r="F25" i="82"/>
  <c r="J23" i="82"/>
  <c r="K23" i="82"/>
  <c r="J28" i="82"/>
  <c r="K28" i="82"/>
  <c r="G24" i="82"/>
  <c r="F24" i="82"/>
  <c r="F97" i="101"/>
  <c r="N96" i="98"/>
  <c r="AH124" i="101"/>
  <c r="L96" i="98"/>
  <c r="N97" i="101"/>
  <c r="C36" i="82"/>
  <c r="B36" i="82"/>
  <c r="F43" i="82"/>
  <c r="G43" i="82"/>
  <c r="C39" i="82"/>
  <c r="B39" i="82"/>
  <c r="F37" i="82"/>
  <c r="G37" i="82"/>
  <c r="G38" i="82"/>
  <c r="F38" i="82"/>
  <c r="H120" i="81"/>
  <c r="I120" i="81" s="1"/>
  <c r="F120" i="81"/>
  <c r="H116" i="81"/>
  <c r="I116" i="81" s="1"/>
  <c r="F116" i="81"/>
  <c r="H112" i="81"/>
  <c r="I112" i="81" s="1"/>
  <c r="F112" i="81"/>
  <c r="H108" i="81"/>
  <c r="I108" i="81" s="1"/>
  <c r="F108" i="81"/>
  <c r="H104" i="81"/>
  <c r="I104" i="81" s="1"/>
  <c r="F104" i="81"/>
  <c r="H100" i="81"/>
  <c r="I100" i="81" s="1"/>
  <c r="F100" i="81"/>
  <c r="H74" i="81"/>
  <c r="X127" i="98"/>
  <c r="X126" i="98"/>
  <c r="X125" i="98"/>
  <c r="AD124" i="101"/>
  <c r="AD123" i="101"/>
  <c r="AD122" i="101"/>
  <c r="AF117" i="101"/>
  <c r="AF116" i="101"/>
  <c r="AF115" i="101"/>
  <c r="AD110" i="101"/>
  <c r="AD109" i="101"/>
  <c r="AD108" i="101"/>
  <c r="AF103" i="101"/>
  <c r="AF102" i="101"/>
  <c r="AF101" i="101"/>
  <c r="AD127" i="98"/>
  <c r="AD126" i="98"/>
  <c r="AD125" i="98"/>
  <c r="AB120" i="98"/>
  <c r="AB119" i="98"/>
  <c r="AB118" i="98"/>
  <c r="Z113" i="98"/>
  <c r="Z112" i="98"/>
  <c r="Z111" i="98"/>
  <c r="AB106" i="98"/>
  <c r="AB105" i="98"/>
  <c r="AB104" i="98"/>
  <c r="AG123" i="101"/>
  <c r="AG122" i="101"/>
  <c r="N95" i="101"/>
  <c r="AF123" i="101"/>
  <c r="AF122" i="101"/>
  <c r="O97" i="101"/>
  <c r="Q95" i="101"/>
  <c r="R94" i="101"/>
  <c r="J97" i="101"/>
  <c r="K24" i="82"/>
  <c r="J24" i="82"/>
  <c r="J27" i="82"/>
  <c r="K27" i="82"/>
  <c r="K26" i="82"/>
  <c r="J26" i="82"/>
  <c r="G29" i="82"/>
  <c r="F29" i="82"/>
  <c r="J25" i="82"/>
  <c r="K25" i="82"/>
  <c r="H95" i="101"/>
  <c r="F96" i="98"/>
  <c r="R97" i="101"/>
  <c r="D96" i="98"/>
  <c r="P95" i="101"/>
  <c r="F39" i="82"/>
  <c r="G39" i="82"/>
  <c r="C35" i="82"/>
  <c r="B35" i="82"/>
  <c r="B37" i="82"/>
  <c r="C37" i="82"/>
  <c r="B41" i="82"/>
  <c r="C41" i="82"/>
  <c r="F40" i="82"/>
  <c r="G40" i="82"/>
  <c r="H91" i="81"/>
  <c r="AJ126" i="98"/>
  <c r="AJ125" i="98"/>
  <c r="Z123" i="101"/>
  <c r="Z122" i="101"/>
  <c r="AB117" i="101"/>
  <c r="AB116" i="101"/>
  <c r="AB115" i="101"/>
  <c r="Z110" i="101"/>
  <c r="Z109" i="101"/>
  <c r="Z108" i="101"/>
  <c r="AB103" i="101"/>
  <c r="AB102" i="101"/>
  <c r="AB101" i="101"/>
  <c r="Z127" i="98"/>
  <c r="Z126" i="98"/>
  <c r="Z125" i="98"/>
  <c r="X120" i="98"/>
  <c r="X119" i="98"/>
  <c r="X118" i="98"/>
  <c r="V113" i="98"/>
  <c r="V112" i="98"/>
  <c r="V111" i="98"/>
  <c r="X106" i="98"/>
  <c r="X105" i="98"/>
  <c r="X104" i="98"/>
  <c r="AC123" i="101"/>
  <c r="AC122" i="101"/>
  <c r="J95" i="101"/>
  <c r="AB123" i="101"/>
  <c r="AB122" i="101"/>
  <c r="K97" i="101"/>
  <c r="M95" i="101"/>
  <c r="N94" i="101"/>
  <c r="R96" i="98"/>
  <c r="AG125" i="101"/>
  <c r="L95" i="101"/>
  <c r="K22" i="82"/>
  <c r="J22" i="82"/>
  <c r="J20" i="82"/>
  <c r="K20" i="82"/>
  <c r="F23" i="82"/>
  <c r="G23" i="82"/>
  <c r="F20" i="82"/>
  <c r="G20" i="82"/>
  <c r="F28" i="82"/>
  <c r="G28" i="82"/>
  <c r="P96" i="98"/>
  <c r="AK125" i="101"/>
  <c r="I94" i="101"/>
  <c r="AJ125" i="101"/>
  <c r="AC125" i="101"/>
  <c r="Q94" i="101"/>
  <c r="C43" i="82"/>
  <c r="B43" i="82"/>
  <c r="C44" i="82"/>
  <c r="B44" i="82"/>
  <c r="C38" i="82"/>
  <c r="B38" i="82"/>
  <c r="C42" i="82"/>
  <c r="B42" i="82"/>
  <c r="G42" i="82"/>
  <c r="F42" i="82"/>
  <c r="H122" i="81"/>
  <c r="I122" i="81" s="1"/>
  <c r="F122" i="81"/>
  <c r="H118" i="81"/>
  <c r="I118" i="81" s="1"/>
  <c r="F118" i="81"/>
  <c r="H114" i="81"/>
  <c r="I114" i="81" s="1"/>
  <c r="F114" i="81"/>
  <c r="H110" i="81"/>
  <c r="I110" i="81" s="1"/>
  <c r="F110" i="81"/>
  <c r="H106" i="81"/>
  <c r="I106" i="81" s="1"/>
  <c r="F106" i="81"/>
  <c r="H102" i="81"/>
  <c r="I102" i="81" s="1"/>
  <c r="F102" i="81"/>
  <c r="H98" i="81"/>
  <c r="I98" i="81" s="1"/>
  <c r="F98" i="81"/>
  <c r="H90" i="81"/>
  <c r="H83" i="81"/>
  <c r="AF127" i="98"/>
  <c r="AF126" i="98"/>
  <c r="AF125" i="98"/>
  <c r="Z125" i="101"/>
  <c r="V124" i="101"/>
  <c r="V123" i="101"/>
  <c r="V122" i="101"/>
  <c r="X117" i="101"/>
  <c r="X116" i="101"/>
  <c r="X115" i="101"/>
  <c r="V110" i="101"/>
  <c r="V109" i="101"/>
  <c r="V108" i="101"/>
  <c r="X103" i="101"/>
  <c r="X102" i="101"/>
  <c r="X101" i="101"/>
  <c r="C95" i="101"/>
  <c r="V127" i="98"/>
  <c r="V126" i="98"/>
  <c r="V125" i="98"/>
  <c r="AJ119" i="98"/>
  <c r="AJ118" i="98"/>
  <c r="AH113" i="98"/>
  <c r="AH112" i="98"/>
  <c r="AH111" i="98"/>
  <c r="AJ106" i="98"/>
  <c r="AJ105" i="98"/>
  <c r="AJ104" i="98"/>
  <c r="Y123" i="101"/>
  <c r="Y122" i="101"/>
  <c r="F95" i="101"/>
  <c r="G94" i="101"/>
  <c r="X123" i="101"/>
  <c r="X122" i="101"/>
  <c r="G97" i="101"/>
  <c r="I95" i="101"/>
  <c r="J94" i="101"/>
  <c r="J96" i="98"/>
  <c r="AB125" i="101"/>
  <c r="M94" i="101"/>
  <c r="G27" i="82"/>
  <c r="F27" i="82"/>
  <c r="G21" i="82"/>
  <c r="F21" i="82"/>
  <c r="F26" i="82"/>
  <c r="G26" i="82"/>
  <c r="K21" i="82"/>
  <c r="J21" i="82"/>
  <c r="K29" i="82"/>
  <c r="J29" i="82"/>
  <c r="B6" i="87"/>
  <c r="C21" i="87"/>
  <c r="D27" i="82"/>
  <c r="C27" i="82" s="1"/>
  <c r="B27" i="82" s="1"/>
  <c r="D23" i="82"/>
  <c r="C23" i="82" s="1"/>
  <c r="B23" i="82" s="1"/>
  <c r="D24" i="82"/>
  <c r="C24" i="82" s="1"/>
  <c r="B24" i="82" s="1"/>
  <c r="D21" i="82"/>
  <c r="C21" i="82" s="1"/>
  <c r="B21" i="82" s="1"/>
  <c r="D29" i="82"/>
  <c r="C29" i="82" s="1"/>
  <c r="B29" i="82" s="1"/>
  <c r="D26" i="82"/>
  <c r="C26" i="82" s="1"/>
  <c r="B26" i="82" s="1"/>
  <c r="D28" i="82"/>
  <c r="C28" i="82" s="1"/>
  <c r="B28" i="82" s="1"/>
  <c r="D22" i="82"/>
  <c r="C22" i="82" s="1"/>
  <c r="B22" i="82" s="1"/>
  <c r="D25" i="82"/>
  <c r="C25" i="82" s="1"/>
  <c r="B25" i="82" s="1"/>
  <c r="D20" i="82"/>
  <c r="C20" i="82" s="1"/>
  <c r="B20" i="82" s="1"/>
  <c r="AJ121" i="98"/>
  <c r="AF125" i="101"/>
  <c r="Y125" i="101"/>
  <c r="AJ128" i="98"/>
  <c r="X125" i="101"/>
  <c r="C40" i="82"/>
  <c r="B40" i="82"/>
  <c r="F35" i="82"/>
  <c r="G35" i="82"/>
  <c r="F41" i="82"/>
  <c r="G41" i="82"/>
  <c r="F36" i="82"/>
  <c r="G36" i="82"/>
  <c r="F44" i="82"/>
  <c r="G44" i="82"/>
  <c r="M18" i="117" l="1"/>
  <c r="M17" i="115"/>
  <c r="H8" i="87"/>
  <c r="E18" i="87"/>
  <c r="E16" i="87"/>
  <c r="H14" i="87"/>
  <c r="E20" i="87"/>
  <c r="H11" i="87"/>
  <c r="E7" i="87"/>
  <c r="E15" i="87"/>
  <c r="E10" i="87"/>
  <c r="E19" i="87"/>
  <c r="E17" i="87"/>
  <c r="E13" i="87"/>
  <c r="H6" i="87"/>
  <c r="E12" i="87"/>
  <c r="G21" i="87"/>
  <c r="H9" i="8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<sst xmlns="http://schemas.openxmlformats.org/spreadsheetml/2006/main" count="7628" uniqueCount="1375">
  <si>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</si>
  <si>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</si>
  <si>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</si>
  <si>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</si>
  <si>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</si>
  <si>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</si>
  <si>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</si>
  <si>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</si>
  <si>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</si>
  <si>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</si>
  <si>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</si>
  <si>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</si>
  <si>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</si>
  <si>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</si>
  <si>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</si>
  <si>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</si>
  <si>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</si>
  <si>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</si>
  <si>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</si>
  <si>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</si>
  <si>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</si>
  <si>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</si>
  <si>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</si>
  <si>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</si>
  <si>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</si>
  <si>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</si>
  <si>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</si>
  <si>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</si>
  <si>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</si>
  <si>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</si>
  <si>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</si>
  <si>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</si>
  <si>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</si>
  <si>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</si>
  <si>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</si>
  <si>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</si>
  <si>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</si>
  <si>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</si>
  <si>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</si>
  <si>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</si>
  <si>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</si>
  <si>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</si>
  <si>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</si>
  <si>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</si>
  <si>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</si>
  <si>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</si>
  <si>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</si>
  <si>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</si>
  <si>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</si>
  <si>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</si>
  <si>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</si>
  <si>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</si>
  <si>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</si>
  <si>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</si>
  <si>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</si>
  <si>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</si>
  <si>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</si>
  <si>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</si>
  <si>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</si>
  <si>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</si>
  <si>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</si>
  <si>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</si>
  <si>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</si>
  <si>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</si>
  <si>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</si>
  <si>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</si>
  <si>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</si>
  <si>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</si>
  <si>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</si>
  <si>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</si>
  <si>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</si>
  <si>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</si>
  <si>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</si>
  <si>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</si>
  <si>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</si>
  <si>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</si>
  <si>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</si>
  <si>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</si>
  <si>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</si>
  <si>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</si>
  <si>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</si>
  <si>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</si>
  <si>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</si>
  <si>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</si>
  <si>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</si>
  <si>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</si>
  <si>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</si>
  <si>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</si>
  <si>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</si>
  <si>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</si>
  <si>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All Liverpool North (Team Unknown)</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</si>
  <si>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</si>
  <si>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</si>
  <si>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</si>
  <si>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</si>
  <si>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</si>
  <si>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</si>
  <si>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</si>
  <si>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</si>
  <si>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</si>
  <si>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</si>
  <si>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</si>
  <si>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</si>
  <si>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</si>
  <si>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</si>
  <si>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</si>
  <si>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</si>
  <si>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</si>
  <si>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</si>
  <si>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</si>
  <si>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</si>
  <si>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</si>
  <si>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</si>
  <si>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</si>
  <si>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</si>
  <si>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</si>
  <si>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</si>
  <si>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</si>
  <si>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</si>
  <si>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</si>
  <si>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</si>
  <si>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</si>
  <si>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</si>
  <si>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</si>
  <si>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</si>
  <si>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</si>
  <si>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</si>
  <si>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</si>
  <si>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</si>
  <si>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</si>
  <si>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</si>
  <si>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</si>
  <si>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</si>
  <si>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</si>
  <si>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</si>
  <si>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</si>
  <si>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</si>
  <si>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</si>
  <si>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</si>
  <si>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</si>
  <si>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</si>
  <si>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</si>
  <si>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</si>
  <si>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</si>
  <si>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</si>
  <si>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</si>
  <si>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</si>
  <si>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</si>
  <si>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</si>
  <si>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</si>
  <si>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</si>
  <si>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</si>
  <si>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</si>
  <si>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</si>
  <si>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</si>
  <si>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</si>
  <si>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</si>
  <si>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</si>
  <si>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</si>
  <si>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</si>
  <si>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</si>
  <si>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</si>
  <si>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</si>
  <si>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</si>
  <si>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</si>
  <si>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</si>
  <si>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</si>
  <si>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</si>
  <si>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</si>
  <si>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</si>
  <si>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</si>
  <si>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CBS-Peterborough OM2 - N56</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</si>
  <si>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</si>
  <si>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</si>
  <si>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</si>
  <si>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</si>
  <si>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</si>
  <si>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</si>
  <si>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</si>
  <si>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</si>
  <si>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</si>
  <si>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</si>
  <si>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</si>
  <si>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</si>
  <si>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</si>
  <si>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</si>
  <si>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</si>
  <si>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</si>
  <si>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</si>
  <si>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</si>
  <si>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 xml:space="preserve">Derby City 4 </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</si>
  <si>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</si>
  <si>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</si>
  <si>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</si>
  <si>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</si>
  <si>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</si>
  <si>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</si>
  <si>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</si>
  <si>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</si>
  <si>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</si>
  <si>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</si>
  <si>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</si>
  <si>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</si>
  <si>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</si>
  <si>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</si>
  <si>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</si>
  <si>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</si>
  <si>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</si>
  <si>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</si>
  <si>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</si>
  <si>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</si>
  <si>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</si>
  <si>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</si>
  <si>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</si>
  <si>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</si>
  <si>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</si>
  <si>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</si>
  <si>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</si>
  <si>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</si>
  <si>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</si>
  <si>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</si>
  <si>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</si>
  <si>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</si>
  <si>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</si>
  <si>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</si>
  <si>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</si>
  <si>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</si>
  <si>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</si>
  <si>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GM CP Bolton Wigan Salford</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</si>
  <si>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</si>
  <si>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</si>
  <si>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</si>
  <si>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</si>
  <si>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</si>
  <si>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</si>
  <si>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</si>
  <si>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</si>
  <si>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</si>
  <si>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</si>
  <si>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</si>
  <si>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</si>
  <si>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</si>
  <si>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</si>
  <si>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</si>
  <si>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</si>
  <si>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</si>
  <si>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KTW-Dartford and Gravesham</t>
  </si>
  <si>
    <t>Awaiting Allocation HARINGEY</t>
  </si>
  <si>
    <t>Blackburn 3 - N51</t>
  </si>
  <si>
    <t>East Berks ACE Team</t>
  </si>
  <si>
    <t>Cardiff - IOM Wisdom Team</t>
  </si>
  <si>
    <t>Central Birmingham PQiP</t>
  </si>
  <si>
    <t>Bradford OMU 1 (BNA)</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</si>
  <si>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</si>
  <si>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</si>
  <si>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</si>
  <si>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</si>
  <si>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</si>
  <si>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</si>
  <si>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</si>
  <si>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</si>
  <si>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</si>
  <si>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</si>
  <si>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</si>
  <si>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</si>
  <si>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</si>
  <si>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</si>
  <si>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</si>
  <si>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Bradford OMU 2 (BNB)</t>
  </si>
  <si>
    <t>Inactive Level 2(N07)</t>
  </si>
  <si>
    <t>Liverpool South - N51</t>
  </si>
  <si>
    <t>Birmingham Central Short Term Custody</t>
  </si>
  <si>
    <t>Sheffield - N55</t>
  </si>
  <si>
    <t>Derbyshire County South</t>
  </si>
  <si>
    <t>EXN-Colchester SM</t>
  </si>
  <si>
    <t>GM Manchester N2</t>
  </si>
  <si>
    <t>KTW-Maidstone - N57</t>
  </si>
  <si>
    <t>Awaiting Allocation HFKCW</t>
  </si>
  <si>
    <t>Gateshead - N54</t>
  </si>
  <si>
    <t>Blackpool 2</t>
  </si>
  <si>
    <t>East Berkshire 2</t>
  </si>
  <si>
    <t>Cardiff - South Team</t>
  </si>
  <si>
    <t>Coventry Team 1 - N52</t>
  </si>
  <si>
    <t>Bradford OMU 4 YOT (BND)</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</si>
  <si>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</si>
  <si>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</si>
  <si>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</si>
  <si>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</si>
  <si>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</si>
  <si>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</si>
  <si>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</si>
  <si>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</si>
  <si>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</si>
  <si>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</si>
  <si>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</si>
  <si>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</si>
  <si>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</si>
  <si>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</si>
  <si>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</si>
  <si>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Bradford OMU 5 (BNE)</t>
  </si>
  <si>
    <t>Lambeth - N07</t>
  </si>
  <si>
    <t>North West Lancashire</t>
  </si>
  <si>
    <t>Unpaid Work and Attendance Centres - N55</t>
  </si>
  <si>
    <t>Grantham - N53</t>
  </si>
  <si>
    <t>GM Manchester N4</t>
  </si>
  <si>
    <t>KTW-Mid Kent</t>
  </si>
  <si>
    <t>Awaiting Allocation ISLINGTON</t>
  </si>
  <si>
    <t>Hartlepool 1</t>
  </si>
  <si>
    <t>Blackpool 5 - N51</t>
  </si>
  <si>
    <t>East Berkshire 4</t>
  </si>
  <si>
    <t>Cardiff - Women's Pathfinder Team</t>
  </si>
  <si>
    <t>Coventry Team 3 - N52</t>
  </si>
  <si>
    <t>Bradford OMU 6 - N55</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</si>
  <si>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</si>
  <si>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</si>
  <si>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</si>
  <si>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</si>
  <si>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</si>
  <si>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</si>
  <si>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</si>
  <si>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</si>
  <si>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</si>
  <si>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</si>
  <si>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</si>
  <si>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</si>
  <si>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</si>
  <si>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Calderdale OMU 1 (CNA)</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</si>
  <si>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</si>
  <si>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</si>
  <si>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</si>
  <si>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</si>
  <si>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</si>
  <si>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</si>
  <si>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</si>
  <si>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</si>
  <si>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</si>
  <si>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</si>
  <si>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</si>
  <si>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</si>
  <si>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</si>
  <si>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Calderdale OMU 2 - N55</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</si>
  <si>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</si>
  <si>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</si>
  <si>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</si>
  <si>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</si>
  <si>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</si>
  <si>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</si>
  <si>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</si>
  <si>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</si>
  <si>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</si>
  <si>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</si>
  <si>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</si>
  <si>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</si>
  <si>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</si>
  <si>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</si>
  <si>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</si>
  <si>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</si>
  <si>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</si>
  <si>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</si>
  <si>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</si>
  <si>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</si>
  <si>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</si>
  <si>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</si>
  <si>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</si>
  <si>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Southwark - N07</t>
  </si>
  <si>
    <t>Leicester City 4 - N53</t>
  </si>
  <si>
    <t>HFS-Cheshunt SM</t>
  </si>
  <si>
    <t>GM Manchester S5</t>
  </si>
  <si>
    <t>SRY-Staines - N57</t>
  </si>
  <si>
    <t>Awaiting Allocation NEWHAM</t>
  </si>
  <si>
    <t>Middlesbrough 3</t>
  </si>
  <si>
    <t>Burnley 3 - N51</t>
  </si>
  <si>
    <t>Conwy - Team 1</t>
  </si>
  <si>
    <t>East Birmingham 1</t>
  </si>
  <si>
    <t>Tower Hamlets</t>
  </si>
  <si>
    <t>Leicester City 5 - N53</t>
  </si>
  <si>
    <t>GM Oldham 1 - N50</t>
  </si>
  <si>
    <t>Awaiting Allocation REDBRIDGE</t>
  </si>
  <si>
    <t>NBR Gateshead LMC - N54</t>
  </si>
  <si>
    <t>Carlisle 1</t>
  </si>
  <si>
    <t>Denbighshire - Team 1</t>
  </si>
  <si>
    <t>East Birmingham 2</t>
  </si>
  <si>
    <t>GRI PPU1</t>
  </si>
  <si>
    <t>Unallocated Level 2(N07)</t>
  </si>
  <si>
    <t>Leicester City 6</t>
  </si>
  <si>
    <t>GM Oldham 2</t>
  </si>
  <si>
    <t>Awaiting Allocation SOUTHWARK</t>
  </si>
  <si>
    <t>NBR Hub Team</t>
  </si>
  <si>
    <t>Carlisle 2</t>
  </si>
  <si>
    <t>East Gwent Team</t>
  </si>
  <si>
    <t>East Birmingham 3</t>
  </si>
  <si>
    <t>GRI PPU2</t>
  </si>
  <si>
    <t>Unpaid Work and Attendance Centres - N07</t>
  </si>
  <si>
    <t>Leicester City 7</t>
  </si>
  <si>
    <t>HFS-St Albans SM</t>
  </si>
  <si>
    <t>GM Oldham 3 - N50</t>
  </si>
  <si>
    <t>SXE-Brighton 2 - N57</t>
  </si>
  <si>
    <t>Awaiting Allocation TOWER HAMLETS</t>
  </si>
  <si>
    <t>NBR North Tyneside LMC - N54</t>
  </si>
  <si>
    <t>Carlisle 3 - N51</t>
  </si>
  <si>
    <t>Flintshire - Team 1</t>
  </si>
  <si>
    <t>Hereford</t>
  </si>
  <si>
    <t>GRI PPU3 - N55</t>
  </si>
  <si>
    <t>Wandsworth, Merton and Sutton</t>
  </si>
  <si>
    <t>Leicester City PQUIP - N53</t>
  </si>
  <si>
    <t>HFS-Stevenage SM</t>
  </si>
  <si>
    <t>GM Salford 1</t>
  </si>
  <si>
    <t>SXE-CP Standalone</t>
  </si>
  <si>
    <t>Awaiting Allocation WALTHAM FOREST</t>
  </si>
  <si>
    <t>NBR Northumberland LMC - N54</t>
  </si>
  <si>
    <t>Chester 1</t>
  </si>
  <si>
    <t>Gwent - IOM Team</t>
  </si>
  <si>
    <t>Inactive Team(N52)</t>
  </si>
  <si>
    <t>GRI PPU4 - N55</t>
  </si>
  <si>
    <t>Leicester City Resettlement - N53</t>
  </si>
  <si>
    <t>HFS-UPW SA</t>
  </si>
  <si>
    <t>GM Salford 2</t>
  </si>
  <si>
    <t>SXE-Eastbourne</t>
  </si>
  <si>
    <t>Awaiting Allocation WANDSWORTH</t>
  </si>
  <si>
    <t>NBR South Tyneside LMC - N54</t>
  </si>
  <si>
    <t>Chester 2 - N51</t>
  </si>
  <si>
    <t>Inactive Team(N59)</t>
  </si>
  <si>
    <t>Gwent - STS Team</t>
  </si>
  <si>
    <t>IOM Birmingham Central &amp; South</t>
  </si>
  <si>
    <t>Leicester Young Adults</t>
  </si>
  <si>
    <t>HFS-Watford SM</t>
  </si>
  <si>
    <t>GM Salford 3 - N50</t>
  </si>
  <si>
    <t>SXE-Hastings</t>
  </si>
  <si>
    <t>BAR 1</t>
  </si>
  <si>
    <t>NBR Sunderland LMC - N54</t>
  </si>
  <si>
    <t>Chorley 1</t>
  </si>
  <si>
    <t>Gwynedd - Team 1</t>
  </si>
  <si>
    <t>IOM Birmingham North, East</t>
  </si>
  <si>
    <t>Leicester Women's</t>
  </si>
  <si>
    <t>Inactive Team(N56)</t>
  </si>
  <si>
    <t>GM Salford 4</t>
  </si>
  <si>
    <t>SXE-Hastings 2 - N57</t>
  </si>
  <si>
    <t>BAR 2 - N07</t>
  </si>
  <si>
    <t>NBR UPW Hub Practitioner - N54</t>
  </si>
  <si>
    <t>Chorley 2  - N51</t>
  </si>
  <si>
    <t>Inactive Team(N03)</t>
  </si>
  <si>
    <t>IOM Staffordshire</t>
  </si>
  <si>
    <t>Leics County South West</t>
  </si>
  <si>
    <t>NFK-King's Lynn SM</t>
  </si>
  <si>
    <t>GM SM CP Bolton Wigan Salford</t>
  </si>
  <si>
    <t>SXW-CP Standalone</t>
  </si>
  <si>
    <t>BAR PQIP</t>
  </si>
  <si>
    <t>Newcastle 1</t>
  </si>
  <si>
    <t>CL Allocations Team - N51</t>
  </si>
  <si>
    <t>Merthyr - STS Team</t>
  </si>
  <si>
    <t>Kidderminster</t>
  </si>
  <si>
    <t>Leicestershire Priority IOM - N53</t>
  </si>
  <si>
    <t>NFK-Norwich SM - N56</t>
  </si>
  <si>
    <t>GM SM CP Bury Rochdale Oldham Tameside</t>
  </si>
  <si>
    <t>SXW-Crawley</t>
  </si>
  <si>
    <t>BDH 1</t>
  </si>
  <si>
    <t>Newcastle 2</t>
  </si>
  <si>
    <t>Crewe 1</t>
  </si>
  <si>
    <t>Merthyr - Team 2</t>
  </si>
  <si>
    <t>Kidderminster PQiPs</t>
  </si>
  <si>
    <t>Lincoln - N53</t>
  </si>
  <si>
    <t>GM SM CP Manchester Stockport Trafford</t>
  </si>
  <si>
    <t>SXW-Crawley 2 - N57</t>
  </si>
  <si>
    <t>BDH 2</t>
  </si>
  <si>
    <t>Newcastle 3</t>
  </si>
  <si>
    <t>Crewe 2 - N51</t>
  </si>
  <si>
    <t>Unallocated Team(N58)</t>
  </si>
  <si>
    <t>Merthyr - Team 3</t>
  </si>
  <si>
    <t>Leamington</t>
  </si>
  <si>
    <t>Lincoln 2 - N53</t>
  </si>
  <si>
    <t>NFK-UPW SA</t>
  </si>
  <si>
    <t>GM ST Stockport 1 - N50</t>
  </si>
  <si>
    <t>SXW-Littlehampton</t>
  </si>
  <si>
    <t>BDH 3</t>
  </si>
  <si>
    <t>Newcastle 4</t>
  </si>
  <si>
    <t>Cumbria and Lancashire UPW Hub - N51</t>
  </si>
  <si>
    <t>Neath, PTalbot - Team 1</t>
  </si>
  <si>
    <t>Leamington 2 - N52</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</si>
  <si>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</si>
  <si>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</si>
  <si>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</si>
  <si>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</si>
  <si>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</si>
  <si>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</si>
  <si>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</si>
  <si>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</si>
  <si>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</si>
  <si>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</si>
  <si>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</si>
  <si>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</si>
  <si>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</si>
  <si>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</si>
  <si>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</si>
  <si>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</si>
  <si>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</si>
  <si>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</si>
  <si>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</si>
  <si>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</si>
  <si>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</si>
  <si>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</si>
  <si>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</si>
  <si>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</si>
  <si>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</si>
  <si>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</si>
  <si>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</si>
  <si>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</si>
  <si>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</si>
  <si>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</si>
  <si>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</si>
  <si>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</si>
  <si>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</si>
  <si>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</si>
  <si>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</si>
  <si>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</si>
  <si>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</si>
  <si>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</si>
  <si>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</si>
  <si>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</si>
  <si>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</si>
  <si>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</si>
  <si>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</si>
  <si>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</si>
  <si>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</si>
  <si>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</si>
  <si>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</si>
  <si>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</si>
  <si>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</si>
  <si>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</si>
  <si>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</si>
  <si>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SCU PPU1</t>
  </si>
  <si>
    <t>Nottingham City PQiP</t>
  </si>
  <si>
    <t>SFK-Ipswich SM</t>
  </si>
  <si>
    <t>GM Tameside 3 - N50</t>
  </si>
  <si>
    <t>BRE 1</t>
  </si>
  <si>
    <t>Redcar, Cleveland and Middlesbrough IOM</t>
  </si>
  <si>
    <t>Knowsley 1</t>
  </si>
  <si>
    <t>Pembrokeshire - Team 1</t>
  </si>
  <si>
    <t>SCU PPU2 - N55</t>
  </si>
  <si>
    <t>Nottingham City South - N53</t>
  </si>
  <si>
    <t>SFK-Lowestoft SM</t>
  </si>
  <si>
    <t>GM Wigan 1 - N50</t>
  </si>
  <si>
    <t>BRE 2</t>
  </si>
  <si>
    <t>South Tyneside</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</si>
  <si>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</si>
  <si>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</si>
  <si>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</si>
  <si>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</si>
  <si>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</si>
  <si>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</si>
  <si>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</si>
  <si>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</si>
  <si>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</si>
  <si>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</si>
  <si>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</si>
  <si>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</si>
  <si>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</si>
  <si>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</si>
  <si>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</si>
  <si>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</si>
  <si>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</si>
  <si>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</si>
  <si>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</si>
  <si>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</si>
  <si>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</si>
  <si>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</si>
  <si>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</si>
  <si>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</si>
  <si>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</si>
  <si>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</si>
  <si>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</si>
  <si>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</si>
  <si>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</si>
  <si>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</si>
  <si>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</si>
  <si>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</si>
  <si>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</si>
  <si>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</si>
  <si>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</si>
  <si>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</si>
  <si>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</si>
  <si>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</si>
  <si>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</si>
  <si>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</si>
  <si>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</si>
  <si>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</si>
  <si>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</si>
  <si>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</si>
  <si>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</si>
  <si>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</si>
  <si>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</si>
  <si>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</si>
  <si>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</si>
  <si>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</si>
  <si>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</si>
  <si>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UPW Bassetlaw - N53</t>
  </si>
  <si>
    <t>Bromley Service Centre - N07</t>
  </si>
  <si>
    <t>Liverpool North 10 - N51</t>
  </si>
  <si>
    <t>Swansea - Team 1</t>
  </si>
  <si>
    <t>Shrewsbury</t>
  </si>
  <si>
    <t>YSN Harrogate PP OMU</t>
  </si>
  <si>
    <t>UPW Buxton - N53</t>
  </si>
  <si>
    <t>CAI 1</t>
  </si>
  <si>
    <t>Liverpool North 2</t>
  </si>
  <si>
    <t>Swansea - Team 2</t>
  </si>
  <si>
    <t>Solihull A</t>
  </si>
  <si>
    <t>YSN Northallerton PP OMU</t>
  </si>
  <si>
    <t>UPW Chesterfield - N53</t>
  </si>
  <si>
    <t>CAI 2</t>
  </si>
  <si>
    <t>Liverpool North 3</t>
  </si>
  <si>
    <t>Swansea - Team 3</t>
  </si>
  <si>
    <t>Solihull B</t>
  </si>
  <si>
    <t>UPW Derby - N53</t>
  </si>
  <si>
    <t>CAI 3</t>
  </si>
  <si>
    <t>Liverpool North 4</t>
  </si>
  <si>
    <t>Swansea - Team 4</t>
  </si>
  <si>
    <t>South Birmingham 1</t>
  </si>
  <si>
    <t>YSN Scarborough PP OMU</t>
  </si>
  <si>
    <t>UPW Leicestershire - N53</t>
  </si>
  <si>
    <t>CAI 4 PQIP</t>
  </si>
  <si>
    <t>Swansea - Team 5</t>
  </si>
  <si>
    <t>South Birmingham 2</t>
  </si>
  <si>
    <t>YSN Scarborough PP OMU2</t>
  </si>
  <si>
    <t>UPW Lincolnshire</t>
  </si>
  <si>
    <t>CAI 6 - N07</t>
  </si>
  <si>
    <t>Liverpool North 8 - N51</t>
  </si>
  <si>
    <t>Swansea - Team 6</t>
  </si>
  <si>
    <t>South Birmingham 3</t>
  </si>
  <si>
    <t>YSN Skipton PP OMU</t>
  </si>
  <si>
    <t>UPW Mansfield and Ashfield  - N53</t>
  </si>
  <si>
    <t>CP North East 1 - N07</t>
  </si>
  <si>
    <t>Unallocated Team(N03)</t>
  </si>
  <si>
    <t>South Birmingham PQiP</t>
  </si>
  <si>
    <t>UPW Newark and Sherwood  - N53</t>
  </si>
  <si>
    <t>CP North East 2 - N07</t>
  </si>
  <si>
    <t>Liverpool North Unallocated</t>
  </si>
  <si>
    <t>Vale - IOM Women Team</t>
  </si>
  <si>
    <t>Stafford - N52</t>
  </si>
  <si>
    <t>UPW Nottingham - N53</t>
  </si>
  <si>
    <t>CP North East Legacy Caseload - N07</t>
  </si>
  <si>
    <t>Liverpool South 1</t>
  </si>
  <si>
    <t>Vale - Team</t>
  </si>
  <si>
    <t>Staffordshire Community Hub - N52</t>
  </si>
  <si>
    <t>YSS Barnsley OMU 1</t>
  </si>
  <si>
    <t>Liverpool South 2</t>
  </si>
  <si>
    <t>Unallocated Team(N59)</t>
  </si>
  <si>
    <t>Wrexham - Team 1</t>
  </si>
  <si>
    <t>Staffordshire Short Term Custody</t>
  </si>
  <si>
    <t>YSS Barnsley OMU 2</t>
  </si>
  <si>
    <t>CP South 1 - N07</t>
  </si>
  <si>
    <t>Liverpool South 3</t>
  </si>
  <si>
    <t>UPW North Hub - N59</t>
  </si>
  <si>
    <t>Ynys Mon - Team 1</t>
  </si>
  <si>
    <t>Stoke Allocations - N52</t>
  </si>
  <si>
    <t>YSS Barnsley OMU 3 - N55</t>
  </si>
  <si>
    <t>CP South 2 - N07</t>
  </si>
  <si>
    <t>Liverpool South 4</t>
  </si>
  <si>
    <t>UPW South Hub - N59</t>
  </si>
  <si>
    <t>Stoke Team 1 - N52</t>
  </si>
  <si>
    <t>YSS Barnsley OMU 4 - N55</t>
  </si>
  <si>
    <t>Liverpool South 5</t>
  </si>
  <si>
    <t>West Berks ACE - N59</t>
  </si>
  <si>
    <t>Stoke Team 2 - N52</t>
  </si>
  <si>
    <t>YSS Doncaster OMU 1</t>
  </si>
  <si>
    <t>CP South Legacy Caseload - N07</t>
  </si>
  <si>
    <t>Liverpool South 7 - N51</t>
  </si>
  <si>
    <t>Stoke Team 3 - N52</t>
  </si>
  <si>
    <t>YSS Doncaster OMU 2</t>
  </si>
  <si>
    <t>CP West 1 - N07</t>
  </si>
  <si>
    <t>Liverpool South IOM</t>
  </si>
  <si>
    <t>Stoke Team 4 - N52</t>
  </si>
  <si>
    <t>YSS Doncaster OMU 3</t>
  </si>
  <si>
    <t>CP West 2 - N07</t>
  </si>
  <si>
    <t>Liverpool South Unallocated</t>
  </si>
  <si>
    <t>West Berkshire Business Support Unit</t>
  </si>
  <si>
    <t>Tamworth - N52</t>
  </si>
  <si>
    <t>YSS Doncaster OMU 4 - N55</t>
  </si>
  <si>
    <t>CRO 1</t>
  </si>
  <si>
    <t>Macclesfield 1</t>
  </si>
  <si>
    <t>Telford - N52</t>
  </si>
  <si>
    <t>YSS Doncaster OMU 5 - N55</t>
  </si>
  <si>
    <t>CRO 2</t>
  </si>
  <si>
    <t>Merseyside and Cheshire UPW Hub Team 1</t>
  </si>
  <si>
    <t>Unallocated Team(N52)</t>
  </si>
  <si>
    <t>YSS Rotherham OMU 1</t>
  </si>
  <si>
    <t>CRO 3</t>
  </si>
  <si>
    <t>Merseyside and Cheshire UPW Hub Team 2</t>
  </si>
  <si>
    <t>YSS Rotherham OMU 2</t>
  </si>
  <si>
    <t>CRO 4</t>
  </si>
  <si>
    <t>Merseyside and Cheshire UPW Hub Team 3</t>
  </si>
  <si>
    <t>YSS Rotherham OMU 3 - N55</t>
  </si>
  <si>
    <t>CRO 5 - N07</t>
  </si>
  <si>
    <t>Merseyside Resettle</t>
  </si>
  <si>
    <t>YSS Rotherham OMU 4 - N55</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</si>
  <si>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</si>
  <si>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</si>
  <si>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</si>
  <si>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</si>
  <si>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</si>
  <si>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</si>
  <si>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</si>
  <si>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</si>
  <si>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</si>
  <si>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</si>
  <si>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</si>
  <si>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</si>
  <si>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</si>
  <si>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</si>
  <si>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</si>
  <si>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YSW Bfd Engagement</t>
  </si>
  <si>
    <t>ENF 3 - N07</t>
  </si>
  <si>
    <t>Preston 4 - N51</t>
  </si>
  <si>
    <t>Walsall Team 2 - N52</t>
  </si>
  <si>
    <t>YSW Bfd Female - N55</t>
  </si>
  <si>
    <t>ENF 4 - N07</t>
  </si>
  <si>
    <t>Preston 5  - N51</t>
  </si>
  <si>
    <t>Walsall Team 3 - N52</t>
  </si>
  <si>
    <t>YSW Bfd Resettlement 1 - N55</t>
  </si>
  <si>
    <t>Sefton 2</t>
  </si>
  <si>
    <t>Wolverhampton and Walsall Team 5 PQuiP</t>
  </si>
  <si>
    <t>YSW Bfd Resettlement 2 - N55</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</si>
  <si>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</si>
  <si>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</si>
  <si>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</si>
  <si>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</si>
  <si>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</si>
  <si>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</si>
  <si>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</si>
  <si>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</si>
  <si>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</si>
  <si>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</si>
  <si>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</si>
  <si>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</si>
  <si>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</si>
  <si>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</si>
  <si>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</si>
  <si>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</si>
  <si>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</si>
  <si>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</si>
  <si>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</si>
  <si>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</si>
  <si>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</si>
  <si>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</si>
  <si>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</si>
  <si>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</si>
  <si>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</si>
  <si>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</si>
  <si>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</si>
  <si>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</si>
  <si>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</si>
  <si>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</si>
  <si>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</si>
  <si>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</si>
  <si>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</si>
  <si>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</si>
  <si>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</si>
  <si>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</si>
  <si>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</si>
  <si>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</si>
  <si>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</si>
  <si>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</si>
  <si>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</si>
  <si>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</si>
  <si>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</si>
  <si>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</si>
  <si>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</si>
  <si>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</si>
  <si>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</si>
  <si>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</si>
  <si>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</si>
  <si>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</si>
  <si>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</si>
  <si>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</si>
  <si>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</si>
  <si>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</si>
  <si>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</si>
  <si>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</si>
  <si>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</si>
  <si>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</si>
  <si>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</si>
  <si>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</si>
  <si>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</si>
  <si>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</si>
  <si>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</si>
  <si>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</si>
  <si>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</si>
  <si>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</si>
  <si>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</si>
  <si>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</si>
  <si>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</si>
  <si>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</si>
  <si>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</si>
  <si>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</si>
  <si>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</si>
  <si>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</si>
  <si>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</si>
  <si>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</si>
  <si>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</si>
  <si>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</si>
  <si>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</si>
  <si>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</si>
  <si>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</si>
  <si>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</si>
  <si>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</si>
  <si>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</si>
  <si>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</si>
  <si>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</si>
  <si>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</si>
  <si>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</si>
  <si>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</si>
  <si>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</si>
  <si>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</si>
  <si>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</si>
  <si>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</si>
  <si>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</si>
  <si>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</si>
  <si>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</si>
  <si>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</si>
  <si>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</si>
  <si>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</si>
  <si>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</si>
  <si>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</si>
  <si>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</si>
  <si>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</si>
  <si>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</si>
  <si>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</si>
  <si>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</si>
  <si>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</si>
  <si>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</si>
  <si>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</si>
  <si>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</si>
  <si>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</si>
  <si>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</si>
  <si>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</si>
  <si>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</si>
  <si>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</si>
  <si>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</si>
  <si>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</si>
  <si>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</si>
  <si>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</si>
  <si>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</si>
  <si>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</si>
  <si>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</si>
  <si>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</si>
  <si>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</si>
  <si>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</si>
  <si>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</si>
  <si>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</si>
  <si>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</si>
  <si>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</si>
  <si>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</si>
  <si>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</si>
  <si>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</si>
  <si>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</si>
  <si>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</si>
  <si>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</si>
  <si>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</si>
  <si>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</si>
  <si>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</si>
  <si>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</si>
  <si>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</si>
  <si>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</si>
  <si>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</si>
  <si>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</si>
  <si>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</si>
  <si>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</si>
  <si>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</si>
  <si>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</si>
  <si>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</si>
  <si>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</si>
  <si>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</si>
  <si>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</si>
  <si>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</si>
  <si>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</si>
  <si>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</si>
  <si>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</si>
  <si>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</si>
  <si>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</si>
  <si>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</si>
  <si>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</si>
  <si>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</si>
  <si>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</si>
  <si>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</si>
  <si>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</si>
  <si>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</si>
  <si>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</si>
  <si>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</si>
  <si>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</si>
  <si>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</si>
  <si>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</si>
  <si>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</si>
  <si>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</si>
  <si>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</si>
  <si>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</si>
  <si>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</si>
  <si>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</si>
  <si>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</si>
  <si>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</si>
  <si>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</si>
  <si>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</si>
  <si>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</si>
  <si>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</si>
  <si>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</si>
  <si>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</si>
  <si>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</si>
  <si>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</si>
  <si>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</si>
  <si>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</si>
  <si>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</si>
  <si>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</si>
  <si>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</si>
  <si>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</si>
  <si>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</si>
  <si>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</si>
  <si>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</si>
  <si>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</si>
  <si>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</si>
  <si>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</si>
  <si>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</si>
  <si>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</si>
  <si>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</si>
  <si>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</si>
  <si>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</si>
  <si>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</si>
  <si>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</si>
  <si>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</si>
  <si>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</si>
  <si>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</si>
  <si>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</si>
  <si>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</si>
  <si>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</si>
  <si>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</si>
  <si>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</si>
  <si>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</si>
  <si>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</si>
  <si>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</si>
  <si>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</si>
  <si>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</si>
  <si>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</si>
  <si>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</si>
  <si>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</si>
  <si>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</si>
  <si>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</si>
  <si>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</si>
  <si>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</si>
  <si>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</si>
  <si>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</si>
  <si>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</si>
  <si>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</si>
  <si>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</si>
  <si>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</si>
  <si>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</si>
  <si>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</si>
  <si>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</si>
  <si>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</si>
  <si>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</si>
  <si>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</si>
  <si>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</si>
  <si>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</si>
  <si>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</si>
  <si>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</si>
  <si>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</si>
  <si>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</si>
  <si>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</si>
  <si>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</si>
  <si>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</si>
  <si>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</si>
  <si>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</si>
  <si>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</si>
  <si>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</si>
  <si>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</si>
  <si>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</si>
  <si>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</si>
  <si>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</si>
  <si>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</si>
  <si>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</si>
  <si>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</si>
  <si>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</si>
  <si>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</si>
  <si>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</si>
  <si>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</si>
  <si>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</si>
  <si>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</si>
  <si>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</si>
  <si>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</si>
  <si>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</si>
  <si>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</si>
  <si>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</si>
  <si>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</si>
  <si>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</si>
  <si>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</si>
  <si>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</si>
  <si>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</si>
  <si>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</si>
  <si>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</si>
  <si>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</si>
  <si>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</si>
  <si>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</si>
  <si>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</si>
  <si>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</si>
  <si>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</si>
  <si>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</si>
  <si>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</si>
  <si>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</si>
  <si>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</si>
  <si>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</si>
  <si>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</si>
  <si>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</si>
  <si>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</si>
  <si>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</si>
  <si>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</si>
  <si>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</si>
  <si>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</si>
  <si>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</si>
  <si>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</si>
  <si>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</si>
  <si>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</si>
  <si>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</si>
  <si>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</si>
  <si>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</si>
  <si>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</si>
  <si>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</si>
  <si>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</si>
  <si>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</si>
  <si>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</si>
  <si>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</si>
  <si>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</si>
  <si>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</si>
  <si>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Total caseloads (all PP's)</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</si>
  <si>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</si>
  <si>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</si>
  <si>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</si>
  <si>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</si>
  <si>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</si>
  <si>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</si>
  <si>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</si>
  <si>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</si>
  <si>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</si>
  <si>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</si>
  <si>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</si>
  <si>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</si>
  <si>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</si>
  <si>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</si>
  <si>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PDU Total caseload (all PP's)</t>
  </si>
  <si>
    <t>Average PP caseload (Custody)</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</si>
  <si>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</si>
  <si>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</si>
  <si>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</si>
  <si>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</si>
  <si>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</si>
  <si>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</si>
  <si>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</si>
  <si>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</si>
  <si>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</si>
  <si>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</si>
  <si>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</si>
  <si>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</si>
  <si>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</si>
  <si>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</si>
  <si>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</si>
  <si>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</si>
  <si>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</si>
  <si>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</si>
  <si>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</si>
  <si>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</si>
  <si>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</si>
  <si>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</si>
  <si>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</si>
  <si>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</si>
  <si>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</si>
  <si>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</si>
  <si>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</si>
  <si>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</si>
  <si>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</si>
  <si>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</si>
  <si>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</si>
  <si>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</si>
  <si>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</si>
  <si>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</si>
  <si>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</si>
  <si>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</si>
  <si>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</si>
  <si>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r>
      <t>Total (</t>
    </r>
    <r>
      <rPr>
        <b/>
        <sz val="10"/>
        <color rgb="FFFF0000"/>
        <rFont val="Arial"/>
        <family val="2"/>
      </rPr>
      <t>including unallocated cases</t>
    </r>
    <r>
      <rPr>
        <b/>
        <sz val="10"/>
        <color theme="1"/>
        <rFont val="Arial"/>
        <family val="2"/>
      </rPr>
      <t>)</t>
    </r>
  </si>
  <si>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</si>
  <si>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</si>
  <si>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</si>
  <si>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</si>
  <si>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</si>
  <si>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</si>
  <si>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</si>
  <si>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</si>
  <si>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</si>
  <si>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</si>
  <si>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</si>
  <si>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</si>
  <si>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</si>
  <si>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</si>
  <si>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</si>
  <si>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</si>
  <si>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</si>
  <si>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</si>
  <si>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</si>
  <si>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</si>
  <si>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</si>
  <si>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</si>
  <si>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</si>
  <si>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</si>
  <si>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</si>
  <si>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</si>
  <si>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</si>
  <si>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</si>
  <si>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</si>
  <si>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</si>
  <si>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</si>
  <si>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</si>
  <si>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</si>
  <si>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</si>
  <si>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</si>
  <si>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</si>
  <si>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</si>
  <si>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</si>
  <si>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</si>
  <si>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</si>
  <si>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</si>
  <si>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</si>
  <si>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</si>
  <si>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</si>
  <si>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</si>
  <si>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</si>
  <si>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</si>
  <si>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</si>
  <si>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</si>
  <si>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</si>
  <si>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</si>
  <si>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</si>
  <si>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</si>
  <si>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</si>
  <si>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</si>
  <si>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</si>
  <si>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</si>
  <si>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</si>
  <si>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</si>
  <si>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</si>
  <si>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</si>
  <si>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</si>
  <si>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</si>
  <si>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</si>
  <si>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</si>
  <si>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</si>
  <si>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</si>
  <si>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</si>
  <si>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</si>
  <si>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</si>
  <si>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</si>
  <si>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</si>
  <si>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</si>
  <si>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</si>
  <si>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</si>
  <si>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</si>
  <si>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</si>
  <si>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</si>
  <si>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</si>
  <si>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</si>
  <si>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</si>
  <si>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</si>
  <si>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</si>
  <si>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</si>
  <si>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</si>
  <si>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</si>
  <si>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</si>
  <si>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</si>
  <si>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</si>
  <si>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</si>
  <si>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</si>
  <si>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</si>
  <si>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</si>
  <si>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</si>
  <si>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</si>
  <si>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</si>
  <si>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</si>
  <si>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</si>
  <si>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</si>
  <si>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</si>
  <si>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</si>
  <si>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</si>
  <si>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</si>
  <si>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</si>
  <si>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</si>
  <si>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</si>
  <si>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</si>
  <si>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</si>
  <si>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</si>
  <si>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</si>
  <si>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</si>
  <si>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</si>
  <si>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</si>
  <si>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</si>
  <si>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</si>
  <si>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</si>
  <si>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</si>
  <si>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</si>
  <si>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</si>
  <si>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</si>
  <si>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</si>
  <si>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</si>
  <si>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</si>
  <si>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</si>
  <si>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</si>
  <si>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</si>
  <si>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</si>
  <si>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</si>
  <si>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</si>
  <si>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</si>
  <si>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</si>
  <si>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</si>
  <si>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</si>
  <si>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</si>
  <si>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</si>
  <si>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</si>
  <si>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</si>
  <si>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</si>
  <si>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</si>
  <si>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</si>
  <si>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</si>
  <si>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</si>
  <si>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</si>
  <si>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</si>
  <si>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</si>
  <si>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</si>
  <si>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</si>
  <si>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</si>
  <si>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</si>
  <si>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</si>
  <si>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</si>
  <si>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</si>
  <si>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</si>
  <si>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</si>
  <si>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</si>
  <si>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</si>
  <si>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</si>
  <si>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</si>
  <si>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</si>
  <si>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</si>
  <si>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</si>
  <si>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</si>
  <si>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</si>
  <si>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</si>
  <si>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</si>
  <si>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</si>
  <si>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</si>
  <si>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</si>
  <si>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</si>
  <si>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</si>
  <si>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</si>
  <si>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</si>
  <si>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</si>
  <si>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</si>
  <si>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</si>
  <si>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</si>
  <si>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</si>
  <si>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</si>
  <si>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</si>
  <si>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</si>
  <si>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</si>
  <si>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</si>
  <si>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</si>
  <si>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</si>
  <si>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</si>
  <si>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</si>
  <si>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</si>
  <si>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</si>
  <si>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</si>
  <si>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</si>
  <si>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</si>
  <si>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</si>
  <si>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</si>
  <si>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</si>
  <si>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</si>
  <si>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</si>
  <si>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</si>
  <si>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</si>
  <si>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</si>
  <si>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</si>
  <si>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</si>
  <si>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</si>
  <si>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</si>
  <si>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</si>
  <si>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</si>
  <si>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</si>
  <si>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</si>
  <si>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</si>
  <si>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</si>
  <si>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</si>
  <si>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</si>
  <si>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</si>
  <si>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</si>
  <si>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</si>
  <si>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</si>
  <si>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</si>
  <si>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</si>
  <si>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</si>
  <si>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</si>
  <si>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</si>
  <si>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</si>
  <si>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</si>
  <si>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</si>
  <si>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</si>
  <si>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</si>
  <si>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</si>
  <si>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</si>
  <si>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</si>
  <si>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</si>
  <si>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</si>
  <si>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</si>
  <si>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</si>
  <si>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</si>
  <si>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</si>
  <si>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</si>
  <si>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</si>
  <si>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</si>
  <si>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</si>
  <si>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</si>
  <si>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</si>
  <si>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</si>
  <si>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</si>
  <si>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</si>
  <si>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</si>
  <si>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</si>
  <si>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</si>
  <si>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</si>
  <si>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</si>
  <si>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</si>
  <si>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</si>
  <si>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</si>
  <si>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</si>
  <si>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</si>
  <si>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</si>
  <si>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</si>
  <si>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</si>
  <si>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</si>
  <si>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</si>
  <si>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</si>
  <si>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</si>
  <si>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</si>
  <si>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</si>
  <si>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</si>
  <si>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Unallocated</t>
  </si>
  <si>
    <t>Regional capacities by PDU, unallocated cases &amp; reductions in hours</t>
  </si>
  <si>
    <t>PQiPs North Staffordshire Team</t>
  </si>
  <si>
    <t>PQiPs South Staffordshire Team</t>
  </si>
  <si>
    <t>Awaiting Allocation East Yorkshire</t>
  </si>
  <si>
    <t>Awaiting Allocation North and N East Lincs</t>
  </si>
  <si>
    <t>Unallocated Team(N55)</t>
  </si>
  <si>
    <t>Accredited Programmes and Structured Interventions</t>
  </si>
  <si>
    <t>Public Protection Community</t>
  </si>
  <si>
    <t>Hull Sentence Management Team 1</t>
  </si>
  <si>
    <t>Hull Sentence Management Team 2</t>
  </si>
  <si>
    <t>Hull Sentence Management Team 3</t>
  </si>
  <si>
    <t>Hull Sentence Management Team 4</t>
  </si>
  <si>
    <t>Hull Sentence Management Team 5</t>
  </si>
  <si>
    <t>Hull Sentence Management Team 6</t>
  </si>
  <si>
    <t>Hull Community Intergration Team 1</t>
  </si>
  <si>
    <t>Hull Community Intergration Team 2</t>
  </si>
  <si>
    <t>Hull Community Intergration Team 3</t>
  </si>
  <si>
    <t>Beverley Sentence Management Team 7</t>
  </si>
  <si>
    <t>Bridlington Sentence Management Team 8</t>
  </si>
  <si>
    <t>Goole Sentence Management Team 9</t>
  </si>
  <si>
    <t>East Riding Community Integration Team</t>
  </si>
  <si>
    <t>Cluster allocation of Custody Cases by grade as percentage</t>
  </si>
  <si>
    <t>Cluster allocation of community cases by grade as percentage</t>
  </si>
  <si>
    <t>Cluster allocation of licence cases by grade as percentage</t>
  </si>
  <si>
    <t xml:space="preserve"> Cluster overall allocation of Cases by grade as percentage</t>
  </si>
  <si>
    <t>Gateshead 1</t>
  </si>
  <si>
    <t>Gateshead 3</t>
  </si>
  <si>
    <t>South Tyneside 1</t>
  </si>
  <si>
    <t>South Tyneside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</si>
</sst>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14"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s>
  <fills count="5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6" fillId="0" borderId="0" applyFont="0" applyFill="0" applyBorder="0" applyAlignment="0" applyProtection="0"/>
    <xf numFmtId="0" fontId="18" fillId="0" borderId="0" applyNumberFormat="0" applyFill="0" applyBorder="0" applyAlignment="0" applyProtection="0"/>
    <xf numFmtId="0" fontId="19" fillId="0" borderId="0"/>
    <xf numFmtId="0" fontId="23" fillId="0" borderId="0" applyNumberFormat="0" applyFill="0" applyBorder="0" applyAlignment="0" applyProtection="0"/>
    <xf numFmtId="0" fontId="24" fillId="0" borderId="36" applyNumberFormat="0" applyFill="0" applyAlignment="0" applyProtection="0"/>
    <xf numFmtId="0" fontId="25" fillId="0" borderId="37" applyNumberFormat="0" applyFill="0" applyAlignment="0" applyProtection="0"/>
    <xf numFmtId="0" fontId="26" fillId="0" borderId="38" applyNumberFormat="0" applyFill="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39" applyNumberFormat="0" applyAlignment="0" applyProtection="0"/>
    <xf numFmtId="0" fontId="31" fillId="18" borderId="40" applyNumberFormat="0" applyAlignment="0" applyProtection="0"/>
    <xf numFmtId="0" fontId="32" fillId="18" borderId="39" applyNumberFormat="0" applyAlignment="0" applyProtection="0"/>
    <xf numFmtId="0" fontId="33" fillId="0" borderId="41" applyNumberFormat="0" applyFill="0" applyAlignment="0" applyProtection="0"/>
    <xf numFmtId="0" fontId="34" fillId="19" borderId="42" applyNumberFormat="0" applyAlignment="0" applyProtection="0"/>
    <xf numFmtId="0" fontId="35" fillId="0" borderId="0" applyNumberFormat="0" applyFill="0" applyBorder="0" applyAlignment="0" applyProtection="0"/>
    <xf numFmtId="0" fontId="19" fillId="20" borderId="43" applyNumberFormat="0" applyFont="0" applyAlignment="0" applyProtection="0"/>
    <xf numFmtId="0" fontId="36" fillId="0" borderId="0" applyNumberFormat="0" applyFill="0" applyBorder="0" applyAlignment="0" applyProtection="0"/>
    <xf numFmtId="0" fontId="37" fillId="0" borderId="44" applyNumberFormat="0" applyFill="0" applyAlignment="0" applyProtection="0"/>
    <xf numFmtId="0" fontId="38"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38" fillId="25"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38" fillId="29" borderId="0" applyNumberFormat="0" applyBorder="0" applyAlignment="0" applyProtection="0"/>
    <xf numFmtId="0" fontId="19" fillId="30"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38" fillId="33" borderId="0" applyNumberFormat="0" applyBorder="0" applyAlignment="0" applyProtection="0"/>
    <xf numFmtId="0" fontId="19" fillId="34" borderId="0" applyNumberFormat="0" applyBorder="0" applyAlignment="0" applyProtection="0"/>
    <xf numFmtId="0" fontId="19" fillId="35" borderId="0" applyNumberFormat="0" applyBorder="0" applyAlignment="0" applyProtection="0"/>
    <xf numFmtId="0" fontId="19" fillId="36" borderId="0" applyNumberFormat="0" applyBorder="0" applyAlignment="0" applyProtection="0"/>
    <xf numFmtId="0" fontId="38" fillId="37"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19" fillId="40" borderId="0" applyNumberFormat="0" applyBorder="0" applyAlignment="0" applyProtection="0"/>
    <xf numFmtId="0" fontId="38" fillId="41"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19" fillId="44" borderId="0" applyNumberFormat="0" applyBorder="0" applyAlignment="0" applyProtection="0"/>
    <xf numFmtId="0" fontId="39" fillId="0" borderId="0" applyNumberFormat="0" applyFill="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28" fillId="15" borderId="0" applyNumberFormat="0" applyBorder="0" applyAlignment="0" applyProtection="0"/>
    <xf numFmtId="0" fontId="24" fillId="0" borderId="36" applyNumberFormat="0" applyFill="0" applyAlignment="0" applyProtection="0"/>
    <xf numFmtId="0" fontId="25" fillId="0" borderId="37" applyNumberFormat="0" applyFill="0" applyAlignment="0" applyProtection="0"/>
    <xf numFmtId="0" fontId="26" fillId="0" borderId="38" applyNumberFormat="0" applyFill="0" applyAlignment="0" applyProtection="0"/>
    <xf numFmtId="0" fontId="26" fillId="0" borderId="0" applyNumberFormat="0" applyFill="0" applyBorder="0" applyAlignment="0" applyProtection="0"/>
    <xf numFmtId="0" fontId="62" fillId="0" borderId="0"/>
    <xf numFmtId="0" fontId="63" fillId="14" borderId="0" applyNumberFormat="0" applyBorder="0" applyAlignment="0" applyProtection="0"/>
    <xf numFmtId="0" fontId="64" fillId="15" borderId="0" applyNumberFormat="0" applyBorder="0" applyAlignment="0" applyProtection="0"/>
    <xf numFmtId="0" fontId="65" fillId="16" borderId="0" applyNumberFormat="0" applyBorder="0" applyAlignment="0" applyProtection="0"/>
    <xf numFmtId="0" fontId="66" fillId="17" borderId="39" applyNumberFormat="0" applyAlignment="0" applyProtection="0"/>
    <xf numFmtId="0" fontId="67" fillId="18" borderId="40" applyNumberFormat="0" applyAlignment="0" applyProtection="0"/>
    <xf numFmtId="0" fontId="68" fillId="18" borderId="39" applyNumberFormat="0" applyAlignment="0" applyProtection="0"/>
    <xf numFmtId="0" fontId="69" fillId="0" borderId="41" applyNumberFormat="0" applyFill="0" applyAlignment="0" applyProtection="0"/>
    <xf numFmtId="0" fontId="70" fillId="19" borderId="42" applyNumberFormat="0" applyAlignment="0" applyProtection="0"/>
    <xf numFmtId="0" fontId="71" fillId="0" borderId="0" applyNumberFormat="0" applyFill="0" applyBorder="0" applyAlignment="0" applyProtection="0"/>
    <xf numFmtId="0" fontId="62" fillId="20" borderId="43" applyNumberFormat="0" applyFont="0" applyAlignment="0" applyProtection="0"/>
    <xf numFmtId="0" fontId="72" fillId="0" borderId="0" applyNumberFormat="0" applyFill="0" applyBorder="0" applyAlignment="0" applyProtection="0"/>
    <xf numFmtId="0" fontId="73" fillId="0" borderId="44" applyNumberFormat="0" applyFill="0" applyAlignment="0" applyProtection="0"/>
    <xf numFmtId="0" fontId="74" fillId="21" borderId="0" applyNumberFormat="0" applyBorder="0" applyAlignment="0" applyProtection="0"/>
    <xf numFmtId="0" fontId="62"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74" fillId="25" borderId="0" applyNumberFormat="0" applyBorder="0" applyAlignment="0" applyProtection="0"/>
    <xf numFmtId="0" fontId="62"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74" fillId="29" borderId="0" applyNumberFormat="0" applyBorder="0" applyAlignment="0" applyProtection="0"/>
    <xf numFmtId="0" fontId="62"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74" fillId="33" borderId="0" applyNumberFormat="0" applyBorder="0" applyAlignment="0" applyProtection="0"/>
    <xf numFmtId="0" fontId="62"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74" fillId="37" borderId="0" applyNumberFormat="0" applyBorder="0" applyAlignment="0" applyProtection="0"/>
    <xf numFmtId="0" fontId="62" fillId="38" borderId="0" applyNumberFormat="0" applyBorder="0" applyAlignment="0" applyProtection="0"/>
    <xf numFmtId="0" fontId="62" fillId="39" borderId="0" applyNumberFormat="0" applyBorder="0" applyAlignment="0" applyProtection="0"/>
    <xf numFmtId="0" fontId="62" fillId="40" borderId="0" applyNumberFormat="0" applyBorder="0" applyAlignment="0" applyProtection="0"/>
    <xf numFmtId="0" fontId="74" fillId="41" borderId="0" applyNumberFormat="0" applyBorder="0" applyAlignment="0" applyProtection="0"/>
    <xf numFmtId="0" fontId="62" fillId="42" borderId="0" applyNumberFormat="0" applyBorder="0" applyAlignment="0" applyProtection="0"/>
    <xf numFmtId="0" fontId="62" fillId="43" borderId="0" applyNumberFormat="0" applyBorder="0" applyAlignment="0" applyProtection="0"/>
    <xf numFmtId="0" fontId="6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1" fillId="0" borderId="0"/>
    <xf numFmtId="0" fontId="1" fillId="20" borderId="43" applyNumberFormat="0" applyFont="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20" borderId="43" applyNumberFormat="0" applyFont="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20" borderId="43" applyNumberFormat="0" applyFont="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0" borderId="0"/>
    <xf numFmtId="0" fontId="1" fillId="20" borderId="43" applyNumberFormat="0" applyFont="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605">
    <xf numFmtId="0" fontId="0" fillId="0" borderId="0" xfId="0"/>
    <xf numFmtId="0" fontId="4" fillId="0" borderId="0" xfId="0" applyFont="1"/>
    <xf numFmtId="0" fontId="4" fillId="0" borderId="0" xfId="0" applyFont="1" applyAlignment="1">
      <alignment horizontal="center"/>
    </xf>
    <xf numFmtId="0" fontId="6" fillId="0" borderId="0" xfId="0" applyFont="1"/>
    <xf numFmtId="0" fontId="7" fillId="0" borderId="0" xfId="0" applyFont="1" applyAlignment="1">
      <alignment vertical="center"/>
    </xf>
    <xf numFmtId="14" fontId="4" fillId="0" borderId="0" xfId="0" applyNumberFormat="1" applyFont="1" applyAlignment="1">
      <alignment vertical="center"/>
    </xf>
    <xf numFmtId="0" fontId="0" fillId="0" borderId="0" xfId="0" applyAlignment="1">
      <alignment horizontal="center"/>
    </xf>
    <xf numFmtId="0" fontId="18" fillId="0" borderId="0" xfId="2"/>
    <xf numFmtId="0" fontId="0" fillId="4" borderId="0" xfId="0" applyFill="1"/>
    <xf numFmtId="0" fontId="0" fillId="0" borderId="0" xfId="0" applyAlignment="1">
      <alignment horizontal="left"/>
    </xf>
    <xf numFmtId="0" fontId="4" fillId="4" borderId="0" xfId="0" applyFont="1" applyFill="1"/>
    <xf numFmtId="0" fontId="4" fillId="4" borderId="0" xfId="0" applyFont="1" applyFill="1" applyAlignment="1">
      <alignment horizontal="center" vertical="top" wrapText="1"/>
    </xf>
    <xf numFmtId="0" fontId="20" fillId="4" borderId="2" xfId="0" applyFont="1" applyFill="1" applyBorder="1" applyAlignment="1">
      <alignment horizontal="center"/>
    </xf>
    <xf numFmtId="0" fontId="9" fillId="10" borderId="2" xfId="0" applyFont="1" applyFill="1" applyBorder="1" applyAlignment="1">
      <alignment horizontal="center" vertical="center"/>
    </xf>
    <xf numFmtId="0" fontId="9" fillId="4" borderId="0" xfId="0" applyFont="1" applyFill="1" applyAlignment="1">
      <alignment horizontal="center" vertical="top" wrapText="1"/>
    </xf>
    <xf numFmtId="164" fontId="4" fillId="0" borderId="1" xfId="0" applyNumberFormat="1" applyFont="1" applyBorder="1"/>
    <xf numFmtId="0" fontId="21" fillId="0" borderId="0" xfId="0" applyFont="1" applyAlignment="1">
      <alignment vertical="center" wrapText="1"/>
    </xf>
    <xf numFmtId="0" fontId="17" fillId="0" borderId="0" xfId="0" applyFont="1" applyAlignment="1">
      <alignment horizontal="center"/>
    </xf>
    <xf numFmtId="166" fontId="4" fillId="0" borderId="4" xfId="0" applyNumberFormat="1" applyFont="1" applyBorder="1" applyAlignment="1">
      <alignment horizontal="center" vertical="center"/>
    </xf>
    <xf numFmtId="166" fontId="4" fillId="0" borderId="0" xfId="0" applyNumberFormat="1" applyFont="1" applyAlignment="1">
      <alignment horizontal="center" vertical="center"/>
    </xf>
    <xf numFmtId="0" fontId="14" fillId="10" borderId="0" xfId="0" applyFont="1" applyFill="1" applyAlignment="1">
      <alignment horizontal="left" vertical="center" wrapText="1"/>
    </xf>
    <xf numFmtId="0" fontId="6" fillId="0" borderId="0" xfId="0" applyFont="1" applyAlignment="1">
      <alignment horizontal="center"/>
    </xf>
    <xf numFmtId="10" fontId="4" fillId="0" borderId="1" xfId="0" applyNumberFormat="1" applyFont="1" applyBorder="1" applyAlignment="1">
      <alignment horizontal="center"/>
    </xf>
    <xf numFmtId="0" fontId="0" fillId="4" borderId="1" xfId="0" applyFill="1" applyBorder="1"/>
    <xf numFmtId="0" fontId="8" fillId="10" borderId="25" xfId="0" applyFont="1" applyFill="1" applyBorder="1" applyAlignment="1">
      <alignment horizontal="center" vertical="center"/>
    </xf>
    <xf numFmtId="0" fontId="9" fillId="10" borderId="1" xfId="0" applyFont="1" applyFill="1" applyBorder="1"/>
    <xf numFmtId="0" fontId="15" fillId="5" borderId="1" xfId="0" applyFont="1" applyFill="1" applyBorder="1" applyAlignment="1">
      <alignment vertical="center" wrapText="1"/>
    </xf>
    <xf numFmtId="0" fontId="0" fillId="4" borderId="0" xfId="0" applyFill="1" applyAlignment="1">
      <alignment horizontal="center"/>
    </xf>
    <xf numFmtId="164" fontId="4"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3" fillId="0" borderId="0" xfId="0" applyFont="1"/>
    <xf numFmtId="0" fontId="8" fillId="10" borderId="2" xfId="0" applyFont="1" applyFill="1" applyBorder="1" applyAlignment="1">
      <alignment horizontal="center" vertical="center"/>
    </xf>
    <xf numFmtId="0" fontId="9" fillId="0" borderId="0" xfId="0" applyFont="1" applyAlignment="1">
      <alignment horizontal="center"/>
    </xf>
    <xf numFmtId="0" fontId="45" fillId="0" borderId="0" xfId="0" applyFont="1" applyAlignment="1">
      <alignment horizontal="center" vertical="center" wrapText="1"/>
    </xf>
    <xf numFmtId="0" fontId="0" fillId="0" borderId="1" xfId="0" applyBorder="1" applyAlignment="1">
      <alignment horizontal="center"/>
    </xf>
    <xf numFmtId="0" fontId="40" fillId="0" borderId="0" xfId="0" applyFont="1" applyAlignment="1">
      <alignment wrapText="1"/>
    </xf>
    <xf numFmtId="0" fontId="14" fillId="10" borderId="1" xfId="0" applyFont="1" applyFill="1" applyBorder="1" applyAlignment="1">
      <alignment horizontal="center" vertical="center" wrapText="1"/>
    </xf>
    <xf numFmtId="0" fontId="14" fillId="10" borderId="0" xfId="0" applyFont="1" applyFill="1" applyAlignment="1">
      <alignment horizontal="center"/>
    </xf>
    <xf numFmtId="0" fontId="41" fillId="10" borderId="1" xfId="0" applyFont="1" applyFill="1" applyBorder="1" applyAlignment="1">
      <alignment horizontal="center"/>
    </xf>
    <xf numFmtId="10" fontId="0" fillId="0" borderId="0" xfId="0" applyNumberFormat="1"/>
    <xf numFmtId="0" fontId="46" fillId="2" borderId="0" xfId="0" applyFont="1" applyFill="1" applyAlignment="1">
      <alignment horizontal="center"/>
    </xf>
    <xf numFmtId="0" fontId="9" fillId="0" borderId="0" xfId="0" applyFont="1" applyAlignment="1">
      <alignment horizontal="center" wrapText="1"/>
    </xf>
    <xf numFmtId="0" fontId="4" fillId="4" borderId="2" xfId="0" applyFont="1" applyFill="1" applyBorder="1"/>
    <xf numFmtId="0" fontId="4" fillId="4" borderId="1" xfId="0" applyFont="1" applyFill="1" applyBorder="1" applyAlignment="1">
      <alignment wrapText="1"/>
    </xf>
    <xf numFmtId="0" fontId="4" fillId="0" borderId="1" xfId="0" applyFont="1" applyBorder="1" applyAlignment="1">
      <alignment horizontal="center" wrapText="1"/>
    </xf>
    <xf numFmtId="0" fontId="47" fillId="0" borderId="0" xfId="0" applyFont="1"/>
    <xf numFmtId="166" fontId="4" fillId="46" borderId="0" xfId="0" applyNumberFormat="1" applyFont="1" applyFill="1" applyAlignment="1">
      <alignment horizontal="left" vertical="center" indent="14"/>
    </xf>
    <xf numFmtId="0" fontId="0" fillId="2" borderId="0" xfId="0" applyFill="1"/>
    <xf numFmtId="2" fontId="0" fillId="0" borderId="0" xfId="0" applyNumberFormat="1"/>
    <xf numFmtId="10" fontId="4" fillId="0" borderId="0" xfId="0" applyNumberFormat="1" applyFont="1"/>
    <xf numFmtId="0" fontId="14" fillId="10" borderId="17" xfId="0" applyFont="1" applyFill="1" applyBorder="1" applyAlignment="1">
      <alignment horizontal="center"/>
    </xf>
    <xf numFmtId="0" fontId="40" fillId="48" borderId="1" xfId="0" applyFont="1" applyFill="1" applyBorder="1" applyAlignment="1">
      <alignment horizontal="center" vertical="center"/>
    </xf>
    <xf numFmtId="0" fontId="0" fillId="0" borderId="0" xfId="0" applyProtection="1">
      <protection locked="0"/>
    </xf>
    <xf numFmtId="0" fontId="40" fillId="3" borderId="1" xfId="0" applyFont="1" applyFill="1" applyBorder="1" applyAlignment="1" applyProtection="1">
      <alignment horizontal="center" vertical="center" wrapText="1"/>
      <protection locked="0"/>
    </xf>
    <xf numFmtId="0" fontId="40" fillId="13" borderId="1" xfId="0" applyFont="1" applyFill="1" applyBorder="1" applyAlignment="1" applyProtection="1">
      <alignment horizontal="center" vertical="center" wrapText="1"/>
      <protection locked="0"/>
    </xf>
    <xf numFmtId="0" fontId="4" fillId="0" borderId="0" xfId="0" applyFont="1" applyAlignment="1">
      <alignment horizontal="center" vertical="center"/>
    </xf>
    <xf numFmtId="0" fontId="4" fillId="2" borderId="0" xfId="0" applyFont="1" applyFill="1" applyAlignment="1">
      <alignment horizontal="center" vertical="center"/>
    </xf>
    <xf numFmtId="0" fontId="6" fillId="2" borderId="0" xfId="0" applyFont="1" applyFill="1" applyAlignment="1">
      <alignment horizontal="center"/>
    </xf>
    <xf numFmtId="0" fontId="49" fillId="0" borderId="0" xfId="0" applyFont="1"/>
    <xf numFmtId="0" fontId="50" fillId="0" borderId="0" xfId="0" applyFont="1"/>
    <xf numFmtId="166" fontId="48" fillId="46" borderId="0" xfId="0" applyNumberFormat="1" applyFont="1" applyFill="1" applyAlignment="1">
      <alignment horizontal="left" vertical="center" indent="14"/>
    </xf>
    <xf numFmtId="0" fontId="22" fillId="0" borderId="1" xfId="0" applyFont="1" applyBorder="1"/>
    <xf numFmtId="0" fontId="41" fillId="10" borderId="1" xfId="0" quotePrefix="1" applyFont="1" applyFill="1" applyBorder="1" applyAlignment="1">
      <alignment horizontal="center" vertical="center" wrapText="1"/>
    </xf>
    <xf numFmtId="0" fontId="52" fillId="0" borderId="0" xfId="0" applyFont="1"/>
    <xf numFmtId="0" fontId="22" fillId="6" borderId="1" xfId="0" applyFont="1" applyFill="1" applyBorder="1"/>
    <xf numFmtId="10" fontId="22" fillId="0" borderId="1" xfId="0" applyNumberFormat="1" applyFont="1" applyBorder="1" applyAlignment="1">
      <alignment horizontal="center"/>
    </xf>
    <xf numFmtId="9" fontId="22" fillId="0" borderId="1" xfId="0" applyNumberFormat="1" applyFont="1" applyBorder="1" applyAlignment="1">
      <alignment horizontal="center"/>
    </xf>
    <xf numFmtId="0" fontId="22" fillId="12" borderId="18" xfId="0" quotePrefix="1" applyFont="1" applyFill="1" applyBorder="1" applyAlignment="1">
      <alignment horizontal="left" vertical="center" wrapText="1"/>
    </xf>
    <xf numFmtId="0" fontId="52" fillId="0" borderId="1" xfId="0" applyFont="1" applyBorder="1"/>
    <xf numFmtId="0" fontId="53" fillId="10" borderId="17" xfId="0" applyFont="1" applyFill="1" applyBorder="1" applyAlignment="1">
      <alignment horizontal="center" vertical="center" wrapText="1"/>
    </xf>
    <xf numFmtId="0" fontId="53" fillId="10" borderId="22" xfId="0" applyFont="1" applyFill="1" applyBorder="1" applyAlignment="1">
      <alignment horizontal="center" vertical="center" wrapText="1"/>
    </xf>
    <xf numFmtId="0" fontId="22" fillId="2" borderId="1" xfId="0" applyFont="1" applyFill="1" applyBorder="1" applyAlignment="1">
      <alignment horizontal="left" vertical="center" wrapText="1"/>
    </xf>
    <xf numFmtId="9" fontId="22" fillId="0" borderId="0" xfId="0" applyNumberFormat="1" applyFont="1" applyAlignment="1">
      <alignment horizontal="center" vertical="center"/>
    </xf>
    <xf numFmtId="9" fontId="22" fillId="2" borderId="1" xfId="0" applyNumberFormat="1" applyFont="1" applyFill="1" applyBorder="1" applyAlignment="1">
      <alignment horizontal="center" vertical="center" wrapText="1"/>
    </xf>
    <xf numFmtId="0" fontId="22" fillId="0" borderId="1" xfId="0" applyFont="1" applyBorder="1" applyAlignment="1">
      <alignment horizontal="center"/>
    </xf>
    <xf numFmtId="0" fontId="41" fillId="10" borderId="1" xfId="0" applyFont="1" applyFill="1" applyBorder="1" applyAlignment="1">
      <alignment horizontal="center" vertical="center"/>
    </xf>
    <xf numFmtId="1" fontId="22" fillId="0" borderId="1" xfId="1" applyNumberFormat="1" applyFont="1" applyBorder="1" applyAlignment="1">
      <alignment horizontal="center"/>
    </xf>
    <xf numFmtId="0" fontId="22" fillId="0" borderId="1" xfId="0" applyFont="1" applyBorder="1" applyAlignment="1">
      <alignment horizontal="center" vertical="center"/>
    </xf>
    <xf numFmtId="0" fontId="22" fillId="7" borderId="1" xfId="0" quotePrefix="1" applyFont="1" applyFill="1" applyBorder="1" applyAlignment="1">
      <alignment horizontal="left"/>
    </xf>
    <xf numFmtId="0" fontId="22" fillId="7" borderId="1" xfId="0" applyFont="1" applyFill="1" applyBorder="1" applyAlignment="1">
      <alignment horizontal="center"/>
    </xf>
    <xf numFmtId="1" fontId="22" fillId="7" borderId="1" xfId="0" applyNumberFormat="1" applyFont="1" applyFill="1" applyBorder="1" applyAlignment="1">
      <alignment horizontal="center"/>
    </xf>
    <xf numFmtId="10" fontId="22" fillId="7" borderId="1" xfId="0" applyNumberFormat="1" applyFont="1" applyFill="1" applyBorder="1" applyAlignment="1">
      <alignment horizontal="center"/>
    </xf>
    <xf numFmtId="0" fontId="22" fillId="12" borderId="1" xfId="0" quotePrefix="1" applyFont="1" applyFill="1" applyBorder="1" applyAlignment="1">
      <alignment horizontal="left" vertical="center" wrapText="1"/>
    </xf>
    <xf numFmtId="0" fontId="52" fillId="10" borderId="1" xfId="0" applyFont="1" applyFill="1" applyBorder="1"/>
    <xf numFmtId="1" fontId="22" fillId="0" borderId="1" xfId="0" applyNumberFormat="1" applyFont="1" applyBorder="1" applyAlignment="1">
      <alignment horizontal="center" vertical="top" wrapText="1"/>
    </xf>
    <xf numFmtId="0" fontId="22" fillId="0" borderId="1" xfId="0" applyFont="1" applyBorder="1" applyAlignment="1">
      <alignment horizontal="center" vertical="top" wrapText="1"/>
    </xf>
    <xf numFmtId="10" fontId="22" fillId="0" borderId="1" xfId="0" applyNumberFormat="1" applyFont="1" applyBorder="1" applyAlignment="1">
      <alignment horizontal="center" vertical="top" wrapText="1"/>
    </xf>
    <xf numFmtId="164" fontId="22" fillId="0" borderId="1" xfId="0" applyNumberFormat="1" applyFont="1" applyBorder="1" applyAlignment="1">
      <alignment horizontal="center" vertical="top" wrapText="1"/>
    </xf>
    <xf numFmtId="0" fontId="22" fillId="0" borderId="20" xfId="0" applyFont="1" applyBorder="1" applyAlignment="1">
      <alignment horizontal="center" vertical="center"/>
    </xf>
    <xf numFmtId="0" fontId="22" fillId="2" borderId="18" xfId="0" applyFont="1" applyFill="1" applyBorder="1" applyAlignment="1">
      <alignment horizontal="center" vertical="center"/>
    </xf>
    <xf numFmtId="0" fontId="22" fillId="0" borderId="0" xfId="0" applyFont="1"/>
    <xf numFmtId="10" fontId="22" fillId="2" borderId="1" xfId="0" applyNumberFormat="1" applyFont="1" applyFill="1" applyBorder="1" applyAlignment="1">
      <alignment horizontal="center" vertical="center"/>
    </xf>
    <xf numFmtId="0" fontId="56" fillId="48" borderId="1" xfId="0" applyFont="1" applyFill="1" applyBorder="1" applyAlignment="1">
      <alignment horizontal="center"/>
    </xf>
    <xf numFmtId="1" fontId="22" fillId="0" borderId="1" xfId="0" applyNumberFormat="1" applyFont="1" applyBorder="1" applyAlignment="1">
      <alignment horizontal="center"/>
    </xf>
    <xf numFmtId="0" fontId="41" fillId="10" borderId="17" xfId="0" applyFont="1" applyFill="1" applyBorder="1" applyAlignment="1">
      <alignment horizontal="center"/>
    </xf>
    <xf numFmtId="0" fontId="22" fillId="0" borderId="22" xfId="0" applyFont="1" applyBorder="1" applyAlignment="1">
      <alignment horizontal="center"/>
    </xf>
    <xf numFmtId="0" fontId="22" fillId="0" borderId="56" xfId="0" applyFont="1" applyBorder="1" applyAlignment="1">
      <alignment horizontal="center"/>
    </xf>
    <xf numFmtId="0" fontId="22" fillId="0" borderId="20" xfId="0" applyFont="1" applyBorder="1" applyAlignment="1">
      <alignment horizontal="center"/>
    </xf>
    <xf numFmtId="10" fontId="22" fillId="50" borderId="1" xfId="0" applyNumberFormat="1" applyFont="1" applyFill="1" applyBorder="1" applyAlignment="1">
      <alignment horizontal="center"/>
    </xf>
    <xf numFmtId="0" fontId="22" fillId="50" borderId="1" xfId="0" applyFont="1" applyFill="1" applyBorder="1" applyAlignment="1">
      <alignment horizontal="center"/>
    </xf>
    <xf numFmtId="9" fontId="22" fillId="50" borderId="1" xfId="0" applyNumberFormat="1" applyFont="1" applyFill="1" applyBorder="1" applyAlignment="1">
      <alignment horizontal="center"/>
    </xf>
    <xf numFmtId="9" fontId="22" fillId="50" borderId="1" xfId="0" applyNumberFormat="1" applyFont="1" applyFill="1" applyBorder="1" applyAlignment="1">
      <alignment horizontal="center" vertical="center"/>
    </xf>
    <xf numFmtId="9" fontId="22" fillId="50" borderId="18" xfId="0" applyNumberFormat="1" applyFont="1" applyFill="1" applyBorder="1" applyAlignment="1">
      <alignment horizontal="center" vertical="center"/>
    </xf>
    <xf numFmtId="165" fontId="22" fillId="50" borderId="1" xfId="1" applyNumberFormat="1" applyFont="1" applyFill="1" applyBorder="1" applyAlignment="1">
      <alignment horizontal="center"/>
    </xf>
    <xf numFmtId="0" fontId="22" fillId="50" borderId="1" xfId="0" applyFont="1" applyFill="1" applyBorder="1"/>
    <xf numFmtId="0" fontId="22" fillId="7" borderId="1" xfId="0" applyFont="1" applyFill="1" applyBorder="1"/>
    <xf numFmtId="9" fontId="22" fillId="7" borderId="1" xfId="0" applyNumberFormat="1" applyFont="1" applyFill="1" applyBorder="1" applyAlignment="1">
      <alignment horizontal="center"/>
    </xf>
    <xf numFmtId="1" fontId="22" fillId="7" borderId="1" xfId="0" applyNumberFormat="1" applyFont="1" applyFill="1" applyBorder="1" applyAlignment="1">
      <alignment horizontal="center" vertical="top" wrapText="1"/>
    </xf>
    <xf numFmtId="10" fontId="22" fillId="7" borderId="1" xfId="0" applyNumberFormat="1" applyFont="1" applyFill="1" applyBorder="1" applyAlignment="1">
      <alignment horizontal="center" vertical="top" wrapText="1"/>
    </xf>
    <xf numFmtId="0" fontId="56" fillId="50" borderId="1" xfId="0" applyFont="1" applyFill="1" applyBorder="1" applyAlignment="1">
      <alignment horizontal="center"/>
    </xf>
    <xf numFmtId="10" fontId="22" fillId="0" borderId="0" xfId="0" applyNumberFormat="1" applyFont="1" applyAlignment="1">
      <alignment horizontal="center"/>
    </xf>
    <xf numFmtId="164" fontId="22" fillId="0" borderId="18" xfId="0" applyNumberFormat="1" applyFont="1" applyBorder="1" applyAlignment="1">
      <alignment horizontal="center"/>
    </xf>
    <xf numFmtId="164" fontId="22" fillId="0" borderId="1" xfId="0" applyNumberFormat="1" applyFont="1" applyBorder="1" applyAlignment="1">
      <alignment horizontal="center"/>
    </xf>
    <xf numFmtId="0" fontId="22" fillId="8" borderId="1" xfId="0" applyFont="1" applyFill="1" applyBorder="1" applyAlignment="1">
      <alignment horizontal="center"/>
    </xf>
    <xf numFmtId="10" fontId="56" fillId="50" borderId="1" xfId="0" applyNumberFormat="1" applyFont="1" applyFill="1" applyBorder="1" applyAlignment="1">
      <alignment horizontal="center"/>
    </xf>
    <xf numFmtId="0" fontId="22" fillId="50" borderId="1" xfId="0" quotePrefix="1" applyFont="1" applyFill="1" applyBorder="1" applyAlignment="1">
      <alignment horizontal="left" vertical="center" wrapText="1"/>
    </xf>
    <xf numFmtId="10" fontId="56" fillId="7" borderId="1" xfId="0" applyNumberFormat="1" applyFont="1" applyFill="1" applyBorder="1" applyAlignment="1">
      <alignment horizontal="center"/>
    </xf>
    <xf numFmtId="10" fontId="56" fillId="7" borderId="1" xfId="0" applyNumberFormat="1" applyFont="1" applyFill="1" applyBorder="1" applyAlignment="1">
      <alignment horizontal="center" vertical="center"/>
    </xf>
    <xf numFmtId="0" fontId="22" fillId="50" borderId="18" xfId="0" quotePrefix="1" applyFont="1" applyFill="1" applyBorder="1" applyAlignment="1">
      <alignment horizontal="left" vertical="center" wrapText="1"/>
    </xf>
    <xf numFmtId="10" fontId="22" fillId="50" borderId="18" xfId="0" applyNumberFormat="1" applyFont="1" applyFill="1" applyBorder="1" applyAlignment="1">
      <alignment horizontal="center" vertical="center"/>
    </xf>
    <xf numFmtId="10" fontId="22" fillId="50" borderId="1" xfId="0" applyNumberFormat="1" applyFont="1" applyFill="1" applyBorder="1" applyAlignment="1">
      <alignment horizontal="center" vertical="center"/>
    </xf>
    <xf numFmtId="10" fontId="22" fillId="2" borderId="0" xfId="0" applyNumberFormat="1" applyFont="1" applyFill="1" applyAlignment="1">
      <alignment horizontal="center"/>
    </xf>
    <xf numFmtId="9" fontId="22" fillId="2" borderId="1" xfId="0" applyNumberFormat="1" applyFont="1" applyFill="1" applyBorder="1" applyAlignment="1">
      <alignment horizontal="center"/>
    </xf>
    <xf numFmtId="0" fontId="41" fillId="10" borderId="7" xfId="0" applyFont="1" applyFill="1" applyBorder="1" applyAlignment="1">
      <alignment horizontal="center"/>
    </xf>
    <xf numFmtId="0" fontId="41" fillId="10" borderId="57" xfId="0" applyFont="1" applyFill="1" applyBorder="1" applyAlignment="1">
      <alignment horizontal="center"/>
    </xf>
    <xf numFmtId="0" fontId="41" fillId="10" borderId="8" xfId="0" applyFont="1" applyFill="1" applyBorder="1" applyAlignment="1">
      <alignment horizontal="center"/>
    </xf>
    <xf numFmtId="0" fontId="41" fillId="10" borderId="18" xfId="0" applyFont="1" applyFill="1" applyBorder="1" applyAlignment="1">
      <alignment horizontal="center"/>
    </xf>
    <xf numFmtId="0" fontId="22" fillId="8" borderId="17" xfId="0" applyFont="1" applyFill="1" applyBorder="1" applyAlignment="1">
      <alignment horizontal="center"/>
    </xf>
    <xf numFmtId="0" fontId="22" fillId="8" borderId="3" xfId="0" applyFont="1" applyFill="1" applyBorder="1" applyAlignment="1">
      <alignment horizontal="center"/>
    </xf>
    <xf numFmtId="0" fontId="22" fillId="8" borderId="18" xfId="0" applyFont="1" applyFill="1" applyBorder="1" applyAlignment="1">
      <alignment horizontal="center"/>
    </xf>
    <xf numFmtId="0" fontId="22" fillId="0" borderId="0" xfId="0" applyFont="1" applyAlignment="1">
      <alignment horizontal="center" vertical="center"/>
    </xf>
    <xf numFmtId="0" fontId="22" fillId="0" borderId="0" xfId="0" applyFont="1" applyAlignment="1">
      <alignment horizontal="center" wrapText="1"/>
    </xf>
    <xf numFmtId="1" fontId="22" fillId="0" borderId="0" xfId="0" applyNumberFormat="1" applyFont="1" applyAlignment="1">
      <alignment horizontal="center"/>
    </xf>
    <xf numFmtId="1" fontId="56" fillId="50" borderId="1" xfId="0" applyNumberFormat="1" applyFont="1" applyFill="1" applyBorder="1" applyAlignment="1">
      <alignment horizontal="center" vertical="center"/>
    </xf>
    <xf numFmtId="0" fontId="56" fillId="50" borderId="1" xfId="0" applyFont="1" applyFill="1" applyBorder="1" applyAlignment="1">
      <alignment horizontal="center" vertical="center"/>
    </xf>
    <xf numFmtId="1" fontId="56" fillId="7" borderId="1" xfId="0" applyNumberFormat="1" applyFont="1" applyFill="1" applyBorder="1" applyAlignment="1">
      <alignment horizontal="center"/>
    </xf>
    <xf numFmtId="0" fontId="56" fillId="7" borderId="3" xfId="0" applyFont="1" applyFill="1" applyBorder="1" applyAlignment="1">
      <alignment horizontal="center"/>
    </xf>
    <xf numFmtId="165" fontId="56" fillId="7" borderId="1" xfId="0" applyNumberFormat="1" applyFont="1" applyFill="1" applyBorder="1" applyAlignment="1">
      <alignment horizontal="center"/>
    </xf>
    <xf numFmtId="0" fontId="52" fillId="0" borderId="2" xfId="0" applyFont="1" applyBorder="1"/>
    <xf numFmtId="0" fontId="0" fillId="0" borderId="2" xfId="0" applyBorder="1" applyAlignment="1">
      <alignment horizontal="left"/>
    </xf>
    <xf numFmtId="0" fontId="22" fillId="0" borderId="2" xfId="0" applyFont="1" applyBorder="1" applyAlignment="1">
      <alignment horizontal="left"/>
    </xf>
    <xf numFmtId="0" fontId="56" fillId="48" borderId="1" xfId="0" applyFont="1" applyFill="1" applyBorder="1" applyAlignment="1">
      <alignment horizontal="center" vertical="center"/>
    </xf>
    <xf numFmtId="0" fontId="56" fillId="0" borderId="0" xfId="0" applyFont="1" applyAlignment="1">
      <alignment wrapText="1"/>
    </xf>
    <xf numFmtId="0" fontId="22" fillId="0" borderId="18" xfId="0" applyFont="1" applyBorder="1" applyAlignment="1">
      <alignment horizontal="center"/>
    </xf>
    <xf numFmtId="1" fontId="28" fillId="51" borderId="1" xfId="66" applyNumberFormat="1" applyFill="1" applyBorder="1" applyAlignment="1">
      <alignment horizontal="center"/>
    </xf>
    <xf numFmtId="0" fontId="22" fillId="0" borderId="9" xfId="0" applyFont="1" applyBorder="1"/>
    <xf numFmtId="9" fontId="22" fillId="0" borderId="10" xfId="0" applyNumberFormat="1" applyFont="1" applyBorder="1" applyAlignment="1">
      <alignment horizontal="center"/>
    </xf>
    <xf numFmtId="10" fontId="22" fillId="0" borderId="0" xfId="0" applyNumberFormat="1" applyFont="1"/>
    <xf numFmtId="9" fontId="56" fillId="50" borderId="1" xfId="0" applyNumberFormat="1" applyFont="1" applyFill="1" applyBorder="1" applyAlignment="1">
      <alignment horizontal="center"/>
    </xf>
    <xf numFmtId="0" fontId="56" fillId="50" borderId="45" xfId="0" applyFont="1" applyFill="1" applyBorder="1"/>
    <xf numFmtId="9" fontId="56" fillId="50" borderId="45" xfId="0" applyNumberFormat="1" applyFont="1" applyFill="1" applyBorder="1" applyAlignment="1">
      <alignment horizontal="center"/>
    </xf>
    <xf numFmtId="10" fontId="56" fillId="50" borderId="45" xfId="0" applyNumberFormat="1" applyFont="1" applyFill="1" applyBorder="1" applyAlignment="1">
      <alignment horizontal="center"/>
    </xf>
    <xf numFmtId="0" fontId="52" fillId="0" borderId="0" xfId="0" applyFont="1" applyAlignment="1">
      <alignment horizontal="center"/>
    </xf>
    <xf numFmtId="0" fontId="56" fillId="5" borderId="1" xfId="0" applyFont="1" applyFill="1" applyBorder="1" applyAlignment="1">
      <alignment horizontal="left" vertical="top" wrapText="1"/>
    </xf>
    <xf numFmtId="9" fontId="22" fillId="5" borderId="0" xfId="0" applyNumberFormat="1" applyFont="1" applyFill="1" applyAlignment="1">
      <alignment horizontal="center"/>
    </xf>
    <xf numFmtId="9" fontId="22" fillId="5" borderId="1" xfId="0" applyNumberFormat="1" applyFont="1" applyFill="1" applyBorder="1" applyAlignment="1">
      <alignment horizontal="center"/>
    </xf>
    <xf numFmtId="0" fontId="53" fillId="10" borderId="1" xfId="0" applyFont="1" applyFill="1" applyBorder="1" applyAlignment="1">
      <alignment horizontal="center" vertical="center" wrapText="1"/>
    </xf>
    <xf numFmtId="0" fontId="53" fillId="10" borderId="2" xfId="0" applyFont="1" applyFill="1" applyBorder="1" applyAlignment="1">
      <alignment horizontal="center" vertical="center" wrapText="1"/>
    </xf>
    <xf numFmtId="0" fontId="22" fillId="12" borderId="1" xfId="0" applyFont="1" applyFill="1" applyBorder="1" applyAlignment="1">
      <alignment horizontal="center"/>
    </xf>
    <xf numFmtId="10" fontId="22" fillId="12" borderId="1" xfId="0" applyNumberFormat="1" applyFont="1" applyFill="1" applyBorder="1" applyAlignment="1">
      <alignment horizontal="center"/>
    </xf>
    <xf numFmtId="1" fontId="22" fillId="5" borderId="1" xfId="0" applyNumberFormat="1" applyFont="1" applyFill="1" applyBorder="1" applyAlignment="1">
      <alignment horizontal="center" vertical="top" wrapText="1"/>
    </xf>
    <xf numFmtId="10" fontId="22" fillId="5" borderId="1" xfId="0" applyNumberFormat="1" applyFont="1" applyFill="1" applyBorder="1" applyAlignment="1">
      <alignment horizontal="center" vertical="top" wrapText="1"/>
    </xf>
    <xf numFmtId="0" fontId="22" fillId="5" borderId="1" xfId="0" applyFont="1" applyFill="1" applyBorder="1" applyAlignment="1">
      <alignment horizontal="center" vertical="top" wrapText="1"/>
    </xf>
    <xf numFmtId="10" fontId="22" fillId="12" borderId="1" xfId="0" applyNumberFormat="1" applyFont="1" applyFill="1" applyBorder="1" applyAlignment="1">
      <alignment horizontal="center" vertical="top" wrapText="1"/>
    </xf>
    <xf numFmtId="0" fontId="41" fillId="0" borderId="0" xfId="0" applyFont="1"/>
    <xf numFmtId="0" fontId="41" fillId="10" borderId="1" xfId="0" applyFont="1" applyFill="1" applyBorder="1" applyAlignment="1">
      <alignment horizontal="center" wrapText="1"/>
    </xf>
    <xf numFmtId="165" fontId="22" fillId="0" borderId="1" xfId="0" applyNumberFormat="1" applyFont="1" applyBorder="1" applyAlignment="1">
      <alignment horizontal="center"/>
    </xf>
    <xf numFmtId="0" fontId="22" fillId="10" borderId="1" xfId="0" applyFont="1" applyFill="1" applyBorder="1"/>
    <xf numFmtId="10" fontId="52" fillId="0" borderId="0" xfId="0" applyNumberFormat="1" applyFont="1"/>
    <xf numFmtId="0" fontId="53" fillId="0" borderId="0" xfId="0" applyFont="1" applyAlignment="1">
      <alignment horizontal="center" vertical="center" wrapText="1"/>
    </xf>
    <xf numFmtId="0" fontId="22" fillId="0" borderId="0" xfId="0" applyFont="1" applyAlignment="1">
      <alignment horizontal="center"/>
    </xf>
    <xf numFmtId="9" fontId="22" fillId="0" borderId="1" xfId="0" applyNumberFormat="1" applyFont="1" applyBorder="1"/>
    <xf numFmtId="0" fontId="56" fillId="50" borderId="1" xfId="0" applyFont="1" applyFill="1" applyBorder="1"/>
    <xf numFmtId="0" fontId="14" fillId="10" borderId="45" xfId="0" quotePrefix="1" applyFont="1" applyFill="1" applyBorder="1" applyAlignment="1">
      <alignment horizontal="center" vertical="center" wrapText="1"/>
    </xf>
    <xf numFmtId="0" fontId="14" fillId="10" borderId="45" xfId="0" applyFont="1" applyFill="1" applyBorder="1" applyAlignment="1">
      <alignment horizontal="center" vertical="center" wrapText="1"/>
    </xf>
    <xf numFmtId="0" fontId="22" fillId="0" borderId="32" xfId="0" applyFont="1" applyBorder="1" applyAlignment="1">
      <alignment horizontal="center"/>
    </xf>
    <xf numFmtId="165" fontId="22" fillId="0" borderId="20" xfId="1" applyNumberFormat="1" applyFont="1" applyBorder="1" applyAlignment="1">
      <alignment horizontal="center"/>
    </xf>
    <xf numFmtId="0" fontId="56" fillId="50" borderId="30" xfId="0" quotePrefix="1" applyFont="1" applyFill="1" applyBorder="1" applyAlignment="1">
      <alignment horizontal="left"/>
    </xf>
    <xf numFmtId="0" fontId="56" fillId="50" borderId="46" xfId="0" applyFont="1" applyFill="1" applyBorder="1" applyAlignment="1">
      <alignment horizontal="center"/>
    </xf>
    <xf numFmtId="165" fontId="56" fillId="50" borderId="48" xfId="1" applyNumberFormat="1" applyFont="1" applyFill="1" applyBorder="1" applyAlignment="1">
      <alignment horizontal="center"/>
    </xf>
    <xf numFmtId="0" fontId="58" fillId="5" borderId="1" xfId="0" applyFont="1" applyFill="1" applyBorder="1" applyAlignment="1">
      <alignment vertical="center" wrapText="1"/>
    </xf>
    <xf numFmtId="0" fontId="56" fillId="5" borderId="1" xfId="0" applyFont="1" applyFill="1" applyBorder="1"/>
    <xf numFmtId="2" fontId="56" fillId="50" borderId="1" xfId="0" applyNumberFormat="1" applyFont="1" applyFill="1" applyBorder="1"/>
    <xf numFmtId="10" fontId="56" fillId="50" borderId="1" xfId="0" applyNumberFormat="1" applyFont="1" applyFill="1" applyBorder="1"/>
    <xf numFmtId="0" fontId="55" fillId="2" borderId="1" xfId="0" applyFont="1" applyFill="1" applyBorder="1" applyAlignment="1">
      <alignment horizontal="left" vertical="center" wrapText="1"/>
    </xf>
    <xf numFmtId="0" fontId="22" fillId="0" borderId="1" xfId="0" applyFont="1" applyBorder="1" applyAlignment="1">
      <alignment horizontal="left" vertical="center" wrapText="1"/>
    </xf>
    <xf numFmtId="0" fontId="14" fillId="10" borderId="9" xfId="0" applyFont="1" applyFill="1" applyBorder="1" applyAlignment="1">
      <alignment horizontal="center" vertical="center" wrapText="1"/>
    </xf>
    <xf numFmtId="0" fontId="14" fillId="10" borderId="10" xfId="0" quotePrefix="1" applyFont="1" applyFill="1" applyBorder="1" applyAlignment="1">
      <alignment horizontal="center" vertical="center" wrapText="1"/>
    </xf>
    <xf numFmtId="0" fontId="42" fillId="0" borderId="0" xfId="0" applyFont="1" applyAlignment="1">
      <alignment vertical="center" wrapText="1"/>
    </xf>
    <xf numFmtId="0" fontId="6" fillId="0" borderId="0" xfId="0" applyFont="1" applyAlignment="1">
      <alignment wrapText="1"/>
    </xf>
    <xf numFmtId="1" fontId="22" fillId="0" borderId="2" xfId="0" applyNumberFormat="1" applyFont="1" applyBorder="1" applyAlignment="1">
      <alignment horizontal="center"/>
    </xf>
    <xf numFmtId="0" fontId="53" fillId="10" borderId="47" xfId="0" applyFont="1" applyFill="1" applyBorder="1" applyAlignment="1">
      <alignment horizontal="center" vertical="center" wrapText="1"/>
    </xf>
    <xf numFmtId="0" fontId="53" fillId="10" borderId="23" xfId="0" applyFont="1" applyFill="1" applyBorder="1" applyAlignment="1">
      <alignment horizontal="center" vertical="center" wrapText="1"/>
    </xf>
    <xf numFmtId="9" fontId="4" fillId="0" borderId="10" xfId="0" applyNumberFormat="1" applyFont="1" applyBorder="1" applyAlignment="1">
      <alignment horizontal="center" vertical="center"/>
    </xf>
    <xf numFmtId="0" fontId="5" fillId="50" borderId="29" xfId="0" applyFont="1" applyFill="1" applyBorder="1" applyAlignment="1">
      <alignment vertical="center"/>
    </xf>
    <xf numFmtId="9" fontId="5" fillId="50" borderId="14" xfId="0" applyNumberFormat="1" applyFont="1" applyFill="1" applyBorder="1" applyAlignment="1">
      <alignment horizontal="center" vertical="center"/>
    </xf>
    <xf numFmtId="1" fontId="4" fillId="0" borderId="1" xfId="0" applyNumberFormat="1" applyFont="1" applyBorder="1" applyAlignment="1">
      <alignment horizontal="center" vertical="center"/>
    </xf>
    <xf numFmtId="1" fontId="5" fillId="50" borderId="15" xfId="0" applyNumberFormat="1" applyFont="1" applyFill="1" applyBorder="1" applyAlignment="1">
      <alignment horizontal="center" vertical="center"/>
    </xf>
    <xf numFmtId="1" fontId="5" fillId="50" borderId="16" xfId="0" applyNumberFormat="1" applyFont="1" applyFill="1" applyBorder="1" applyAlignment="1">
      <alignment horizontal="center" vertical="center"/>
    </xf>
    <xf numFmtId="1" fontId="4" fillId="0" borderId="9" xfId="0" applyNumberFormat="1" applyFont="1" applyBorder="1" applyAlignment="1">
      <alignment horizontal="center" vertical="center"/>
    </xf>
    <xf numFmtId="1" fontId="4" fillId="0" borderId="25" xfId="0" applyNumberFormat="1" applyFont="1" applyBorder="1" applyAlignment="1">
      <alignment horizontal="center" vertical="center"/>
    </xf>
    <xf numFmtId="0" fontId="14" fillId="10" borderId="25" xfId="0" applyFont="1" applyFill="1" applyBorder="1" applyAlignment="1">
      <alignment horizontal="center" vertical="center" wrapText="1"/>
    </xf>
    <xf numFmtId="10" fontId="22" fillId="5" borderId="1" xfId="0" applyNumberFormat="1" applyFont="1" applyFill="1" applyBorder="1" applyAlignment="1">
      <alignment horizontal="center" vertical="center"/>
    </xf>
    <xf numFmtId="10" fontId="22" fillId="5" borderId="1" xfId="0" applyNumberFormat="1" applyFont="1" applyFill="1" applyBorder="1" applyAlignment="1">
      <alignment horizontal="center"/>
    </xf>
    <xf numFmtId="14" fontId="4" fillId="2" borderId="0" xfId="0" applyNumberFormat="1" applyFont="1" applyFill="1" applyAlignment="1">
      <alignment horizontal="center" vertical="center" wrapText="1"/>
    </xf>
    <xf numFmtId="0" fontId="10" fillId="2" borderId="0" xfId="0" applyFont="1" applyFill="1" applyAlignment="1">
      <alignment horizontal="center" vertical="center" wrapText="1"/>
    </xf>
    <xf numFmtId="9" fontId="56" fillId="5" borderId="1" xfId="0" applyNumberFormat="1" applyFont="1" applyFill="1" applyBorder="1" applyAlignment="1">
      <alignment horizontal="center"/>
    </xf>
    <xf numFmtId="9" fontId="56" fillId="5" borderId="1" xfId="0" applyNumberFormat="1" applyFont="1" applyFill="1" applyBorder="1"/>
    <xf numFmtId="0" fontId="51" fillId="0" borderId="0" xfId="2" quotePrefix="1" applyFont="1" applyAlignment="1" applyProtection="1">
      <protection locked="0"/>
    </xf>
    <xf numFmtId="0" fontId="51" fillId="0" borderId="0" xfId="2" applyFont="1" applyAlignment="1"/>
    <xf numFmtId="10" fontId="22" fillId="0" borderId="1" xfId="0" applyNumberFormat="1" applyFont="1" applyBorder="1" applyAlignment="1">
      <alignment horizontal="center" vertical="center"/>
    </xf>
    <xf numFmtId="0" fontId="9" fillId="10" borderId="1" xfId="0" applyFont="1" applyFill="1" applyBorder="1" applyAlignment="1">
      <alignment horizontal="center"/>
    </xf>
    <xf numFmtId="0" fontId="22" fillId="2"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55" fillId="2" borderId="1" xfId="0" applyFont="1" applyFill="1" applyBorder="1" applyAlignment="1">
      <alignment horizontal="center" vertical="center" wrapText="1"/>
    </xf>
    <xf numFmtId="0" fontId="9" fillId="10" borderId="0" xfId="0" applyFont="1" applyFill="1" applyAlignment="1">
      <alignment horizontal="center" vertical="center" wrapText="1"/>
    </xf>
    <xf numFmtId="0" fontId="56" fillId="50" borderId="1" xfId="0" applyFont="1" applyFill="1" applyBorder="1" applyAlignment="1">
      <alignment wrapText="1"/>
    </xf>
    <xf numFmtId="0" fontId="58" fillId="50" borderId="1" xfId="0" applyFont="1" applyFill="1" applyBorder="1" applyAlignment="1">
      <alignment vertical="center" wrapText="1"/>
    </xf>
    <xf numFmtId="0" fontId="41" fillId="10" borderId="1" xfId="0" applyFont="1" applyFill="1" applyBorder="1" applyAlignment="1">
      <alignment horizontal="center" vertical="center" wrapText="1"/>
    </xf>
    <xf numFmtId="0" fontId="14" fillId="10" borderId="1" xfId="0" applyFont="1" applyFill="1" applyBorder="1" applyAlignment="1">
      <alignment horizontal="center" vertical="center"/>
    </xf>
    <xf numFmtId="0" fontId="20" fillId="4" borderId="0" xfId="0" applyFont="1" applyFill="1" applyAlignment="1">
      <alignment horizontal="center"/>
    </xf>
    <xf numFmtId="10" fontId="4" fillId="4" borderId="1" xfId="0" applyNumberFormat="1" applyFont="1" applyFill="1" applyBorder="1"/>
    <xf numFmtId="10" fontId="6" fillId="0" borderId="1" xfId="0" applyNumberFormat="1" applyFont="1" applyBorder="1"/>
    <xf numFmtId="0" fontId="52" fillId="0" borderId="17" xfId="0" applyFont="1" applyBorder="1"/>
    <xf numFmtId="165" fontId="0" fillId="0" borderId="0" xfId="0" applyNumberFormat="1"/>
    <xf numFmtId="9" fontId="0" fillId="0" borderId="0" xfId="0" applyNumberFormat="1"/>
    <xf numFmtId="1" fontId="4" fillId="0" borderId="0" xfId="0" applyNumberFormat="1" applyFont="1"/>
    <xf numFmtId="9" fontId="52" fillId="0" borderId="0" xfId="0" applyNumberFormat="1" applyFont="1" applyAlignment="1">
      <alignment horizontal="center"/>
    </xf>
    <xf numFmtId="0" fontId="22" fillId="52" borderId="1" xfId="0" applyFont="1" applyFill="1" applyBorder="1"/>
    <xf numFmtId="0" fontId="22" fillId="52" borderId="1" xfId="0" quotePrefix="1" applyFont="1" applyFill="1" applyBorder="1" applyAlignment="1">
      <alignment horizontal="left"/>
    </xf>
    <xf numFmtId="0" fontId="22" fillId="0" borderId="2" xfId="0" applyFont="1" applyBorder="1"/>
    <xf numFmtId="0" fontId="6" fillId="0" borderId="2" xfId="0" applyFont="1" applyBorder="1"/>
    <xf numFmtId="164" fontId="22" fillId="2" borderId="1" xfId="0" applyNumberFormat="1" applyFont="1" applyFill="1" applyBorder="1" applyAlignment="1">
      <alignment horizontal="center"/>
    </xf>
    <xf numFmtId="1" fontId="22" fillId="2" borderId="1" xfId="0" applyNumberFormat="1" applyFont="1" applyFill="1" applyBorder="1" applyAlignment="1">
      <alignment horizontal="center"/>
    </xf>
    <xf numFmtId="164" fontId="22" fillId="2" borderId="1" xfId="0" applyNumberFormat="1" applyFont="1" applyFill="1" applyBorder="1" applyAlignment="1">
      <alignment horizontal="center" vertical="center"/>
    </xf>
    <xf numFmtId="164" fontId="22" fillId="2" borderId="18" xfId="0" applyNumberFormat="1" applyFont="1" applyFill="1" applyBorder="1" applyAlignment="1">
      <alignment horizontal="center" vertical="center"/>
    </xf>
    <xf numFmtId="1" fontId="22" fillId="2" borderId="0" xfId="0" applyNumberFormat="1" applyFont="1" applyFill="1" applyAlignment="1">
      <alignment horizontal="center"/>
    </xf>
    <xf numFmtId="164" fontId="22" fillId="2" borderId="0" xfId="0" applyNumberFormat="1" applyFont="1" applyFill="1" applyAlignment="1">
      <alignment horizontal="center" vertical="center"/>
    </xf>
    <xf numFmtId="1" fontId="0" fillId="0" borderId="0" xfId="0" applyNumberFormat="1"/>
    <xf numFmtId="0" fontId="76" fillId="0" borderId="0" xfId="0" quotePrefix="1" applyFont="1" applyAlignment="1">
      <alignment vertical="center"/>
    </xf>
    <xf numFmtId="166" fontId="4" fillId="0" borderId="0" xfId="0" applyNumberFormat="1" applyFont="1" applyAlignment="1">
      <alignment horizontal="left" vertical="center" indent="14"/>
    </xf>
    <xf numFmtId="0" fontId="42" fillId="3" borderId="1" xfId="0" applyFont="1" applyFill="1" applyBorder="1" applyAlignment="1" applyProtection="1">
      <alignment horizontal="center" vertical="center" wrapText="1"/>
      <protection locked="0"/>
    </xf>
    <xf numFmtId="0" fontId="79" fillId="3" borderId="1" xfId="0" applyFont="1" applyFill="1" applyBorder="1" applyAlignment="1" applyProtection="1">
      <alignment horizontal="center" vertical="center" wrapText="1"/>
      <protection locked="0"/>
    </xf>
    <xf numFmtId="0" fontId="60" fillId="0" borderId="0" xfId="0" quotePrefix="1" applyFont="1" applyAlignment="1">
      <alignment horizontal="left" vertical="center" wrapText="1" indent="14"/>
    </xf>
    <xf numFmtId="0" fontId="1" fillId="0" borderId="0" xfId="0" applyFont="1"/>
    <xf numFmtId="0" fontId="81" fillId="0" borderId="0" xfId="0" applyFont="1"/>
    <xf numFmtId="9" fontId="1" fillId="0" borderId="0" xfId="1" applyFont="1"/>
    <xf numFmtId="0" fontId="82" fillId="0" borderId="1" xfId="0" applyFont="1" applyBorder="1" applyAlignment="1">
      <alignment horizontal="center"/>
    </xf>
    <xf numFmtId="0" fontId="82" fillId="0" borderId="2" xfId="0" applyFont="1" applyBorder="1" applyAlignment="1">
      <alignment horizontal="center"/>
    </xf>
    <xf numFmtId="0" fontId="82" fillId="0" borderId="0" xfId="0" applyFont="1" applyAlignment="1">
      <alignment horizontal="center"/>
    </xf>
    <xf numFmtId="0" fontId="37" fillId="0" borderId="0" xfId="0" applyFont="1"/>
    <xf numFmtId="0" fontId="57" fillId="0" borderId="0" xfId="0" quotePrefix="1" applyFont="1" applyAlignment="1">
      <alignment horizontal="center" vertical="top"/>
    </xf>
    <xf numFmtId="166" fontId="4" fillId="11" borderId="0" xfId="0" applyNumberFormat="1" applyFont="1" applyFill="1" applyAlignment="1">
      <alignment horizontal="left" vertical="center" indent="19"/>
    </xf>
    <xf numFmtId="0" fontId="1" fillId="3" borderId="0" xfId="0" applyFont="1" applyFill="1"/>
    <xf numFmtId="0" fontId="57" fillId="53" borderId="0" xfId="0" quotePrefix="1" applyFont="1" applyFill="1" applyAlignment="1">
      <alignment horizontal="center" vertical="top" wrapText="1"/>
    </xf>
    <xf numFmtId="0" fontId="80" fillId="53" borderId="0" xfId="0" quotePrefix="1" applyFont="1" applyFill="1" applyAlignment="1">
      <alignment horizontal="center" vertical="center" wrapText="1"/>
    </xf>
    <xf numFmtId="0" fontId="80" fillId="0" borderId="0" xfId="0" quotePrefix="1" applyFont="1" applyAlignment="1">
      <alignment horizontal="center" vertical="center" wrapText="1"/>
    </xf>
    <xf numFmtId="166" fontId="4" fillId="0" borderId="0" xfId="0" applyNumberFormat="1" applyFont="1" applyAlignment="1">
      <alignment horizontal="left" vertical="center" indent="20"/>
    </xf>
    <xf numFmtId="166" fontId="4" fillId="11" borderId="0" xfId="0" applyNumberFormat="1" applyFont="1" applyFill="1" applyAlignment="1">
      <alignment horizontal="center" vertical="center"/>
    </xf>
    <xf numFmtId="0" fontId="84" fillId="53" borderId="0" xfId="0" quotePrefix="1" applyFont="1" applyFill="1" applyAlignment="1">
      <alignment horizontal="center" vertical="center" wrapText="1"/>
    </xf>
    <xf numFmtId="0" fontId="84" fillId="0" borderId="0" xfId="0" quotePrefix="1" applyFont="1" applyAlignment="1">
      <alignment horizontal="center" vertical="center" wrapText="1"/>
    </xf>
    <xf numFmtId="166" fontId="4" fillId="0" borderId="0" xfId="0" applyNumberFormat="1" applyFont="1" applyAlignment="1">
      <alignment horizontal="left" vertical="center" indent="19"/>
    </xf>
    <xf numFmtId="166" fontId="4" fillId="0" borderId="0" xfId="0" applyNumberFormat="1" applyFont="1" applyAlignment="1">
      <alignment horizontal="left" vertical="center" indent="15"/>
    </xf>
    <xf numFmtId="166" fontId="4" fillId="0" borderId="0" xfId="0" applyNumberFormat="1" applyFont="1" applyAlignment="1">
      <alignment horizontal="left" vertical="center" indent="4"/>
    </xf>
    <xf numFmtId="0" fontId="84" fillId="0" borderId="0" xfId="0" quotePrefix="1" applyFont="1" applyAlignment="1">
      <alignment vertical="center" wrapText="1"/>
    </xf>
    <xf numFmtId="166" fontId="4" fillId="0" borderId="0" xfId="0" applyNumberFormat="1" applyFont="1" applyAlignment="1">
      <alignment vertical="center"/>
    </xf>
    <xf numFmtId="166" fontId="4" fillId="0" borderId="0" xfId="0" applyNumberFormat="1" applyFont="1" applyAlignment="1">
      <alignment horizontal="left" vertical="center" indent="13"/>
    </xf>
    <xf numFmtId="166" fontId="4" fillId="0" borderId="0" xfId="0" applyNumberFormat="1" applyFont="1" applyAlignment="1">
      <alignment horizontal="left" vertical="center" indent="11"/>
    </xf>
    <xf numFmtId="0" fontId="41" fillId="0" borderId="0" xfId="0" applyFont="1" applyAlignment="1">
      <alignment horizontal="center" vertical="center" wrapText="1"/>
    </xf>
    <xf numFmtId="166" fontId="4" fillId="0" borderId="0" xfId="0" applyNumberFormat="1" applyFont="1" applyAlignment="1">
      <alignment horizontal="left" vertical="center" indent="17"/>
    </xf>
    <xf numFmtId="166" fontId="4" fillId="0" borderId="0" xfId="0" applyNumberFormat="1" applyFont="1" applyAlignment="1">
      <alignment horizontal="left" vertical="center" indent="16"/>
    </xf>
    <xf numFmtId="0" fontId="87" fillId="55" borderId="9" xfId="0" applyFont="1" applyFill="1" applyBorder="1" applyAlignment="1">
      <alignment horizontal="center" vertical="center" wrapText="1"/>
    </xf>
    <xf numFmtId="0" fontId="87" fillId="55" borderId="1" xfId="0" applyFont="1" applyFill="1" applyBorder="1" applyAlignment="1">
      <alignment horizontal="center" vertical="center" wrapText="1"/>
    </xf>
    <xf numFmtId="0" fontId="87" fillId="55" borderId="10" xfId="0" quotePrefix="1" applyFont="1" applyFill="1" applyBorder="1" applyAlignment="1">
      <alignment horizontal="center" vertical="center" wrapText="1"/>
    </xf>
    <xf numFmtId="0" fontId="87" fillId="54" borderId="9" xfId="0" applyFont="1" applyFill="1" applyBorder="1" applyAlignment="1">
      <alignment horizontal="center" vertical="center" wrapText="1"/>
    </xf>
    <xf numFmtId="0" fontId="87" fillId="54" borderId="1" xfId="0" applyFont="1" applyFill="1" applyBorder="1" applyAlignment="1">
      <alignment horizontal="center" vertical="center" wrapText="1"/>
    </xf>
    <xf numFmtId="0" fontId="87" fillId="54" borderId="10" xfId="0" quotePrefix="1" applyFont="1" applyFill="1" applyBorder="1" applyAlignment="1">
      <alignment horizontal="center" vertical="center" wrapText="1"/>
    </xf>
    <xf numFmtId="0" fontId="77" fillId="0" borderId="0" xfId="0" quotePrefix="1" applyFont="1" applyAlignment="1">
      <alignment horizontal="center" wrapText="1"/>
    </xf>
    <xf numFmtId="0" fontId="80" fillId="0" borderId="0" xfId="0" quotePrefix="1" applyFont="1" applyAlignment="1">
      <alignment horizontal="center" wrapText="1"/>
    </xf>
    <xf numFmtId="0" fontId="89" fillId="48" borderId="2" xfId="0" quotePrefix="1" applyFont="1" applyFill="1" applyBorder="1" applyAlignment="1">
      <alignment horizontal="left" vertical="center"/>
    </xf>
    <xf numFmtId="0" fontId="90" fillId="48" borderId="26" xfId="0" quotePrefix="1" applyFont="1" applyFill="1" applyBorder="1" applyAlignment="1">
      <alignment horizontal="center" vertical="center"/>
    </xf>
    <xf numFmtId="0" fontId="90" fillId="48" borderId="25" xfId="0" quotePrefix="1" applyFont="1" applyFill="1" applyBorder="1" applyAlignment="1">
      <alignment horizontal="center" vertical="center"/>
    </xf>
    <xf numFmtId="0" fontId="88" fillId="10" borderId="17" xfId="0" applyFont="1" applyFill="1" applyBorder="1" applyAlignment="1">
      <alignment horizontal="center"/>
    </xf>
    <xf numFmtId="0" fontId="89" fillId="48" borderId="2" xfId="0" quotePrefix="1" applyFont="1" applyFill="1" applyBorder="1" applyAlignment="1">
      <alignment vertical="center"/>
    </xf>
    <xf numFmtId="0" fontId="89" fillId="48" borderId="26" xfId="0" quotePrefix="1" applyFont="1" applyFill="1" applyBorder="1" applyAlignment="1">
      <alignment vertical="center"/>
    </xf>
    <xf numFmtId="0" fontId="94" fillId="48" borderId="1" xfId="0" quotePrefix="1" applyFont="1" applyFill="1" applyBorder="1" applyAlignment="1">
      <alignment horizontal="center" vertical="center" wrapText="1"/>
    </xf>
    <xf numFmtId="0" fontId="89" fillId="48" borderId="26" xfId="0" quotePrefix="1" applyFont="1" applyFill="1" applyBorder="1" applyAlignment="1">
      <alignment horizontal="left" vertical="center"/>
    </xf>
    <xf numFmtId="0" fontId="41" fillId="10" borderId="0" xfId="0" applyFont="1" applyFill="1" applyAlignment="1">
      <alignment horizontal="center"/>
    </xf>
    <xf numFmtId="0" fontId="56" fillId="48" borderId="1" xfId="0" applyFont="1" applyFill="1" applyBorder="1" applyAlignment="1">
      <alignment horizontal="center" vertical="center" wrapText="1"/>
    </xf>
    <xf numFmtId="0" fontId="41" fillId="10" borderId="17" xfId="0" applyFont="1" applyFill="1" applyBorder="1" applyAlignment="1">
      <alignment horizontal="center" wrapText="1"/>
    </xf>
    <xf numFmtId="1" fontId="52" fillId="0" borderId="0" xfId="0" applyNumberFormat="1" applyFont="1"/>
    <xf numFmtId="0" fontId="5" fillId="13" borderId="1" xfId="0" applyFont="1" applyFill="1" applyBorder="1" applyAlignment="1" applyProtection="1">
      <alignment horizontal="center" vertical="center" wrapText="1"/>
      <protection locked="0"/>
    </xf>
    <xf numFmtId="10" fontId="102" fillId="0" borderId="1" xfId="0" applyNumberFormat="1" applyFont="1" applyBorder="1" applyAlignment="1">
      <alignment horizontal="center" vertical="center"/>
    </xf>
    <xf numFmtId="0" fontId="94" fillId="48" borderId="2" xfId="0" quotePrefix="1" applyFont="1" applyFill="1" applyBorder="1" applyAlignment="1">
      <alignment horizontal="left" vertical="center"/>
    </xf>
    <xf numFmtId="0" fontId="94" fillId="48" borderId="26" xfId="0" quotePrefix="1" applyFont="1" applyFill="1" applyBorder="1" applyAlignment="1">
      <alignment horizontal="center" vertical="center"/>
    </xf>
    <xf numFmtId="2" fontId="52" fillId="0" borderId="0" xfId="0" applyNumberFormat="1" applyFont="1"/>
    <xf numFmtId="0" fontId="44" fillId="48" borderId="2" xfId="0" quotePrefix="1" applyFont="1" applyFill="1" applyBorder="1" applyAlignment="1">
      <alignment horizontal="left" vertical="center"/>
    </xf>
    <xf numFmtId="0" fontId="5" fillId="48"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5" fillId="8" borderId="1" xfId="0" applyFont="1" applyFill="1" applyBorder="1" applyAlignment="1" applyProtection="1">
      <alignment horizontal="center" vertical="center" wrapText="1"/>
      <protection locked="0"/>
    </xf>
    <xf numFmtId="0" fontId="6" fillId="8" borderId="1" xfId="0" applyFont="1" applyFill="1" applyBorder="1" applyAlignment="1">
      <alignment horizontal="center" wrapText="1"/>
    </xf>
    <xf numFmtId="0" fontId="56" fillId="0" borderId="1" xfId="0" applyFont="1" applyBorder="1" applyAlignment="1">
      <alignment wrapText="1"/>
    </xf>
    <xf numFmtId="10" fontId="102" fillId="0" borderId="1" xfId="0" applyNumberFormat="1" applyFont="1" applyBorder="1" applyAlignment="1">
      <alignment horizontal="center"/>
    </xf>
    <xf numFmtId="0" fontId="40" fillId="48" borderId="1" xfId="0" applyFont="1" applyFill="1" applyBorder="1" applyAlignment="1" applyProtection="1">
      <alignment horizontal="center" vertical="center" wrapText="1"/>
      <protection locked="0"/>
    </xf>
    <xf numFmtId="0" fontId="82" fillId="0" borderId="25" xfId="0" applyFont="1" applyBorder="1" applyAlignment="1">
      <alignment horizontal="center"/>
    </xf>
    <xf numFmtId="0" fontId="94" fillId="8" borderId="1" xfId="0" applyFont="1" applyFill="1" applyBorder="1"/>
    <xf numFmtId="0" fontId="61" fillId="8" borderId="1" xfId="0" applyFont="1" applyFill="1" applyBorder="1" applyAlignment="1">
      <alignment horizontal="left"/>
    </xf>
    <xf numFmtId="0" fontId="103" fillId="0" borderId="0" xfId="0" applyFont="1" applyAlignment="1">
      <alignment vertical="center" wrapText="1"/>
    </xf>
    <xf numFmtId="0" fontId="105" fillId="0" borderId="0" xfId="0" applyFont="1"/>
    <xf numFmtId="10" fontId="105" fillId="0" borderId="0" xfId="0" applyNumberFormat="1" applyFont="1"/>
    <xf numFmtId="2" fontId="102" fillId="0" borderId="1" xfId="0" applyNumberFormat="1" applyFont="1" applyBorder="1" applyAlignment="1">
      <alignment horizontal="center" vertical="center"/>
    </xf>
    <xf numFmtId="2" fontId="22" fillId="50" borderId="1" xfId="0" applyNumberFormat="1" applyFont="1" applyFill="1" applyBorder="1" applyAlignment="1">
      <alignment horizontal="center" vertical="center"/>
    </xf>
    <xf numFmtId="2" fontId="102" fillId="0" borderId="1" xfId="0" applyNumberFormat="1" applyFont="1" applyBorder="1" applyAlignment="1">
      <alignment horizontal="center"/>
    </xf>
    <xf numFmtId="0" fontId="22" fillId="2" borderId="1" xfId="0" applyFont="1" applyFill="1" applyBorder="1" applyAlignment="1">
      <alignment horizontal="center" vertical="center"/>
    </xf>
    <xf numFmtId="0" fontId="0" fillId="0" borderId="1" xfId="0" applyBorder="1" applyAlignment="1">
      <alignment horizontal="center"/>
    </xf>
    <xf numFmtId="0" fontId="106" fillId="0" borderId="0" xfId="0" applyFont="1"/>
    <xf numFmtId="0" fontId="0" fillId="0" borderId="0" xfId="0" applyFont="1"/>
    <xf numFmtId="0" fontId="0" fillId="0" borderId="1" xfId="0" applyBorder="1" applyAlignment="1">
      <alignment horizontal="center"/>
    </xf>
    <xf numFmtId="0" fontId="82" fillId="0" borderId="17" xfId="0" applyFont="1" applyBorder="1" applyAlignment="1">
      <alignment horizontal="center"/>
    </xf>
    <xf numFmtId="0" fontId="108" fillId="0" borderId="1" xfId="0" applyFont="1" applyBorder="1" applyAlignment="1">
      <alignment vertical="center" wrapText="1"/>
    </xf>
    <xf numFmtId="0" fontId="0" fillId="0" borderId="25" xfId="0" applyBorder="1" applyAlignment="1">
      <alignment horizontal="center"/>
    </xf>
    <xf numFmtId="0" fontId="107" fillId="0" borderId="1" xfId="0" applyFont="1" applyBorder="1" applyAlignment="1">
      <alignment horizontal="center" vertical="center" wrapText="1"/>
    </xf>
    <xf numFmtId="164" fontId="22" fillId="0" borderId="0" xfId="0" applyNumberFormat="1" applyFont="1" applyBorder="1" applyAlignment="1">
      <alignment horizontal="center"/>
    </xf>
    <xf numFmtId="0" fontId="22" fillId="0" borderId="0" xfId="0" applyFont="1" applyBorder="1" applyAlignment="1">
      <alignment horizontal="center" vertical="center"/>
    </xf>
    <xf numFmtId="0" fontId="22" fillId="2" borderId="0" xfId="0" applyFont="1" applyFill="1" applyBorder="1" applyAlignment="1">
      <alignment horizontal="center" vertical="center"/>
    </xf>
    <xf numFmtId="0" fontId="22" fillId="0" borderId="25" xfId="0" applyFont="1" applyBorder="1" applyAlignment="1">
      <alignment horizontal="center" vertical="center"/>
    </xf>
    <xf numFmtId="0" fontId="22" fillId="0" borderId="4" xfId="0" applyFont="1" applyBorder="1" applyAlignment="1">
      <alignment horizontal="center" vertical="center"/>
    </xf>
    <xf numFmtId="0" fontId="109" fillId="0" borderId="0" xfId="0" applyFont="1"/>
    <xf numFmtId="0" fontId="22" fillId="0" borderId="1" xfId="0" applyFont="1" applyBorder="1" applyAlignment="1">
      <alignment horizontal="center" vertical="center" wrapText="1"/>
    </xf>
    <xf numFmtId="0" fontId="22" fillId="2" borderId="1" xfId="0" applyFont="1" applyFill="1" applyBorder="1" applyAlignment="1">
      <alignment horizontal="center" vertical="center" wrapText="1"/>
    </xf>
    <xf numFmtId="0" fontId="82" fillId="0" borderId="0" xfId="0" applyFont="1" applyBorder="1" applyAlignment="1">
      <alignment horizontal="center"/>
    </xf>
    <xf numFmtId="0" fontId="82" fillId="0" borderId="26" xfId="0" applyFont="1" applyBorder="1" applyAlignment="1">
      <alignment horizontal="center"/>
    </xf>
    <xf numFmtId="9" fontId="82" fillId="0" borderId="0" xfId="1" applyFont="1" applyBorder="1" applyAlignment="1">
      <alignment horizontal="center"/>
    </xf>
    <xf numFmtId="0" fontId="22" fillId="8" borderId="1" xfId="0" applyFont="1" applyFill="1" applyBorder="1" applyAlignment="1">
      <alignment horizontal="center" wrapText="1"/>
    </xf>
    <xf numFmtId="0" fontId="22" fillId="0" borderId="1" xfId="0" applyFont="1" applyBorder="1" applyAlignment="1">
      <alignment horizontal="center" wrapText="1"/>
    </xf>
    <xf numFmtId="0" fontId="22" fillId="6" borderId="1" xfId="0" applyFont="1" applyFill="1" applyBorder="1" applyAlignment="1">
      <alignment horizontal="center" wrapText="1"/>
    </xf>
    <xf numFmtId="0" fontId="56" fillId="0" borderId="0" xfId="0" applyFont="1" applyAlignment="1">
      <alignment horizontal="center" wrapText="1"/>
    </xf>
    <xf numFmtId="0" fontId="1" fillId="56" borderId="0" xfId="0" applyFont="1" applyFill="1"/>
    <xf numFmtId="0" fontId="1" fillId="56" borderId="0" xfId="0" applyFont="1" applyFill="1" applyBorder="1"/>
    <xf numFmtId="0" fontId="0" fillId="56" borderId="0" xfId="0" applyFill="1"/>
    <xf numFmtId="9" fontId="1" fillId="56" borderId="0" xfId="1" applyFont="1" applyFill="1" applyBorder="1"/>
    <xf numFmtId="0" fontId="103" fillId="56" borderId="0" xfId="0" applyFont="1" applyFill="1" applyBorder="1"/>
    <xf numFmtId="0" fontId="0" fillId="56" borderId="0" xfId="0" applyFill="1" applyBorder="1"/>
    <xf numFmtId="0" fontId="104" fillId="56" borderId="0" xfId="0" applyFont="1" applyFill="1" applyBorder="1" applyAlignment="1">
      <alignment vertical="center"/>
    </xf>
    <xf numFmtId="0" fontId="0" fillId="0" borderId="0" xfId="0" quotePrefix="1" applyFill="1"/>
    <xf numFmtId="0" fontId="0" fillId="0" borderId="0" xfId="0" applyFill="1"/>
    <xf numFmtId="0" fontId="110" fillId="0" borderId="0" xfId="0" quotePrefix="1" applyFont="1" applyFill="1" applyAlignment="1">
      <alignment horizontal="center" vertical="center"/>
    </xf>
    <xf numFmtId="0" fontId="77" fillId="0" borderId="0" xfId="0" quotePrefix="1" applyFont="1" applyFill="1" applyAlignment="1">
      <alignment horizontal="center" vertical="center"/>
    </xf>
    <xf numFmtId="0" fontId="0" fillId="0" borderId="0" xfId="0" applyAlignment="1">
      <alignment wrapText="1"/>
    </xf>
    <xf numFmtId="0" fontId="77" fillId="0" borderId="0" xfId="0" quotePrefix="1" applyFont="1" applyFill="1" applyAlignment="1">
      <alignment horizontal="center" vertical="center" wrapText="1"/>
    </xf>
    <xf numFmtId="0" fontId="49" fillId="0" borderId="0" xfId="0" applyFont="1" applyAlignment="1">
      <alignment wrapText="1"/>
    </xf>
    <xf numFmtId="0" fontId="51" fillId="0" borderId="0" xfId="2" applyFont="1" applyAlignment="1">
      <alignment wrapText="1"/>
    </xf>
    <xf numFmtId="0" fontId="51" fillId="0" borderId="0" xfId="2" quotePrefix="1" applyFont="1" applyAlignment="1" applyProtection="1">
      <alignment wrapText="1"/>
      <protection locked="0"/>
    </xf>
    <xf numFmtId="0" fontId="0" fillId="0" borderId="0" xfId="0" applyFill="1" applyAlignment="1">
      <alignment wrapText="1"/>
    </xf>
    <xf numFmtId="0" fontId="50" fillId="0" borderId="0" xfId="0" applyFont="1" applyAlignment="1">
      <alignment wrapText="1"/>
    </xf>
    <xf numFmtId="0" fontId="0" fillId="0" borderId="0" xfId="0" quotePrefix="1" applyFill="1" applyAlignment="1">
      <alignment wrapText="1"/>
    </xf>
    <xf numFmtId="0" fontId="101" fillId="0" borderId="0" xfId="0" applyFont="1"/>
    <xf numFmtId="0" fontId="54" fillId="10" borderId="1" xfId="0" quotePrefix="1" applyFont="1" applyFill="1" applyBorder="1" applyAlignment="1">
      <alignment horizontal="center" vertical="center" wrapText="1"/>
    </xf>
    <xf numFmtId="0" fontId="111" fillId="10" borderId="1" xfId="0" quotePrefix="1" applyFont="1" applyFill="1" applyBorder="1" applyAlignment="1">
      <alignment horizontal="center" vertical="center"/>
    </xf>
    <xf numFmtId="0" fontId="11" fillId="0" borderId="0" xfId="0" quotePrefix="1" applyFont="1" applyFill="1" applyBorder="1" applyAlignment="1">
      <alignment horizontal="center" vertical="center"/>
    </xf>
    <xf numFmtId="0" fontId="11" fillId="58" borderId="1" xfId="0" quotePrefix="1" applyFont="1" applyFill="1" applyBorder="1" applyAlignment="1">
      <alignment horizontal="left" vertical="center" wrapText="1"/>
    </xf>
    <xf numFmtId="0" fontId="11" fillId="58" borderId="1" xfId="0" quotePrefix="1" applyFont="1" applyFill="1" applyBorder="1" applyAlignment="1">
      <alignment horizontal="left" vertical="center"/>
    </xf>
    <xf numFmtId="0" fontId="52" fillId="0" borderId="18" xfId="0" applyFont="1" applyBorder="1" applyAlignment="1">
      <alignment horizontal="center" vertical="center"/>
    </xf>
    <xf numFmtId="0" fontId="22" fillId="0" borderId="17" xfId="0" applyFont="1" applyBorder="1" applyAlignment="1">
      <alignment horizontal="center"/>
    </xf>
    <xf numFmtId="0" fontId="22" fillId="0" borderId="3" xfId="0" applyFont="1" applyBorder="1" applyAlignment="1">
      <alignment horizontal="center"/>
    </xf>
    <xf numFmtId="1" fontId="22" fillId="2" borderId="25" xfId="0" applyNumberFormat="1" applyFont="1" applyFill="1" applyBorder="1" applyAlignment="1">
      <alignment horizontal="center"/>
    </xf>
    <xf numFmtId="0" fontId="5" fillId="48" borderId="17" xfId="0" applyFont="1" applyFill="1" applyBorder="1" applyAlignment="1">
      <alignment horizontal="center" vertical="center"/>
    </xf>
    <xf numFmtId="0" fontId="41" fillId="10" borderId="3" xfId="0" applyFont="1" applyFill="1" applyBorder="1" applyAlignment="1">
      <alignment horizontal="center"/>
    </xf>
    <xf numFmtId="164" fontId="22" fillId="2" borderId="25" xfId="0" applyNumberFormat="1" applyFont="1" applyFill="1" applyBorder="1" applyAlignment="1">
      <alignment horizontal="center"/>
    </xf>
    <xf numFmtId="1" fontId="22" fillId="0" borderId="25" xfId="0" applyNumberFormat="1" applyFont="1" applyBorder="1" applyAlignment="1">
      <alignment horizontal="center"/>
    </xf>
    <xf numFmtId="0" fontId="41" fillId="10" borderId="61" xfId="0" applyFont="1" applyFill="1" applyBorder="1" applyAlignment="1">
      <alignment horizontal="center"/>
    </xf>
    <xf numFmtId="0" fontId="56" fillId="7" borderId="21" xfId="0" applyFont="1" applyFill="1" applyBorder="1" applyAlignment="1">
      <alignment horizontal="center"/>
    </xf>
    <xf numFmtId="165" fontId="22" fillId="0" borderId="17" xfId="0" applyNumberFormat="1" applyFont="1" applyBorder="1" applyAlignment="1">
      <alignment horizontal="center"/>
    </xf>
    <xf numFmtId="0" fontId="56" fillId="7" borderId="61" xfId="0" applyFont="1" applyFill="1" applyBorder="1" applyAlignment="1">
      <alignment horizontal="center"/>
    </xf>
    <xf numFmtId="0" fontId="56" fillId="7" borderId="12" xfId="0" applyFont="1" applyFill="1" applyBorder="1" applyAlignment="1">
      <alignment horizontal="center"/>
    </xf>
    <xf numFmtId="0" fontId="56" fillId="7" borderId="13" xfId="0" applyFont="1" applyFill="1" applyBorder="1" applyAlignment="1">
      <alignment horizontal="center"/>
    </xf>
    <xf numFmtId="1" fontId="22" fillId="0" borderId="17" xfId="0" applyNumberFormat="1" applyFont="1" applyBorder="1" applyAlignment="1">
      <alignment horizontal="center"/>
    </xf>
    <xf numFmtId="0" fontId="56" fillId="7" borderId="63" xfId="0" applyFont="1" applyFill="1" applyBorder="1" applyAlignment="1">
      <alignment horizontal="center"/>
    </xf>
    <xf numFmtId="1" fontId="56" fillId="7" borderId="62" xfId="0" applyNumberFormat="1" applyFont="1" applyFill="1" applyBorder="1" applyAlignment="1">
      <alignment horizontal="center"/>
    </xf>
    <xf numFmtId="0" fontId="56" fillId="7" borderId="8" xfId="0" applyFont="1" applyFill="1" applyBorder="1" applyAlignment="1">
      <alignment horizontal="center"/>
    </xf>
    <xf numFmtId="0" fontId="56" fillId="7" borderId="10" xfId="0" applyFont="1" applyFill="1" applyBorder="1" applyAlignment="1">
      <alignment horizontal="center"/>
    </xf>
    <xf numFmtId="0" fontId="56" fillId="50" borderId="16" xfId="0" applyFont="1" applyFill="1" applyBorder="1" applyAlignment="1">
      <alignment horizontal="center" vertical="center" wrapText="1"/>
    </xf>
    <xf numFmtId="1" fontId="56" fillId="50" borderId="16" xfId="0" applyNumberFormat="1" applyFont="1" applyFill="1" applyBorder="1" applyAlignment="1">
      <alignment horizontal="center" vertical="center"/>
    </xf>
    <xf numFmtId="0" fontId="56" fillId="50" borderId="14" xfId="0" applyFont="1" applyFill="1" applyBorder="1" applyAlignment="1">
      <alignment horizontal="center" vertical="center"/>
    </xf>
    <xf numFmtId="0" fontId="56" fillId="7" borderId="64" xfId="0" applyFont="1" applyFill="1" applyBorder="1" applyAlignment="1">
      <alignment horizontal="center"/>
    </xf>
    <xf numFmtId="0" fontId="56" fillId="7" borderId="65" xfId="0" applyFont="1" applyFill="1" applyBorder="1" applyAlignment="1">
      <alignment horizontal="center"/>
    </xf>
    <xf numFmtId="0" fontId="56" fillId="7" borderId="66" xfId="0" applyFont="1" applyFill="1" applyBorder="1" applyAlignment="1">
      <alignment horizontal="center"/>
    </xf>
    <xf numFmtId="165" fontId="56" fillId="7" borderId="62" xfId="0" applyNumberFormat="1" applyFont="1" applyFill="1" applyBorder="1" applyAlignment="1">
      <alignment horizontal="center"/>
    </xf>
    <xf numFmtId="165" fontId="56" fillId="7" borderId="16" xfId="0" applyNumberFormat="1" applyFont="1" applyFill="1" applyBorder="1" applyAlignment="1">
      <alignment horizontal="center"/>
    </xf>
    <xf numFmtId="165" fontId="56" fillId="7" borderId="8" xfId="0" applyNumberFormat="1" applyFont="1" applyFill="1" applyBorder="1" applyAlignment="1">
      <alignment horizontal="center"/>
    </xf>
    <xf numFmtId="165" fontId="56" fillId="7" borderId="10" xfId="0" applyNumberFormat="1" applyFont="1" applyFill="1" applyBorder="1" applyAlignment="1">
      <alignment horizontal="center"/>
    </xf>
    <xf numFmtId="165" fontId="56" fillId="7" borderId="14" xfId="0" applyNumberFormat="1" applyFont="1" applyFill="1" applyBorder="1" applyAlignment="1">
      <alignment horizontal="center"/>
    </xf>
    <xf numFmtId="0" fontId="0" fillId="0" borderId="0" xfId="0" applyAlignment="1">
      <alignment horizontal="left" indent="1"/>
    </xf>
    <xf numFmtId="0" fontId="103" fillId="3" borderId="0" xfId="0" applyFont="1" applyFill="1" applyAlignment="1">
      <alignment vertical="center"/>
    </xf>
    <xf numFmtId="0" fontId="22" fillId="2" borderId="1" xfId="0" applyFont="1" applyFill="1" applyBorder="1" applyAlignment="1">
      <alignment horizontal="center" vertical="center"/>
    </xf>
    <xf numFmtId="0" fontId="0" fillId="0" borderId="1" xfId="0" applyBorder="1" applyAlignment="1">
      <alignment horizontal="center"/>
    </xf>
    <xf numFmtId="0" fontId="1" fillId="3" borderId="0" xfId="0" applyFont="1" applyFill="1" applyBorder="1"/>
    <xf numFmtId="49" fontId="113" fillId="57" borderId="0" xfId="0" applyNumberFormat="1" applyFont="1" applyFill="1" applyBorder="1" applyAlignment="1">
      <alignment horizontal="left"/>
    </xf>
    <xf numFmtId="0" fontId="1" fillId="56" borderId="0" xfId="0" applyFont="1" applyFill="1" applyBorder="1" applyAlignment="1">
      <alignment horizontal="left"/>
    </xf>
    <xf numFmtId="0" fontId="0" fillId="0" borderId="1" xfId="0" applyBorder="1"/>
    <xf numFmtId="0" fontId="112" fillId="53" borderId="0" xfId="0" quotePrefix="1" applyFont="1" applyFill="1" applyAlignment="1">
      <alignment horizontal="center" vertical="center" wrapText="1"/>
    </xf>
    <xf numFmtId="0" fontId="42" fillId="45" borderId="2" xfId="0" applyFont="1" applyFill="1" applyBorder="1" applyAlignment="1">
      <alignment horizontal="center"/>
    </xf>
    <xf numFmtId="0" fontId="42" fillId="45" borderId="26" xfId="0" applyFont="1" applyFill="1" applyBorder="1" applyAlignment="1">
      <alignment horizontal="center"/>
    </xf>
    <xf numFmtId="0" fontId="42" fillId="45" borderId="2" xfId="0" applyNumberFormat="1" applyFont="1" applyFill="1" applyBorder="1" applyAlignment="1">
      <alignment horizontal="center"/>
    </xf>
    <xf numFmtId="0" fontId="42" fillId="45" borderId="25" xfId="0" applyNumberFormat="1" applyFont="1" applyFill="1" applyBorder="1" applyAlignment="1">
      <alignment horizontal="center"/>
    </xf>
    <xf numFmtId="0" fontId="77" fillId="53" borderId="0" xfId="0" quotePrefix="1" applyFont="1" applyFill="1" applyAlignment="1">
      <alignment horizontal="center" vertical="top" wrapText="1"/>
    </xf>
    <xf numFmtId="0" fontId="89" fillId="48" borderId="20" xfId="0" applyFont="1" applyFill="1" applyBorder="1" applyAlignment="1">
      <alignment horizontal="left" vertical="center"/>
    </xf>
    <xf numFmtId="0" fontId="89" fillId="48" borderId="4" xfId="0" applyFont="1" applyFill="1" applyBorder="1" applyAlignment="1">
      <alignment horizontal="left" vertical="center"/>
    </xf>
    <xf numFmtId="0" fontId="91" fillId="48" borderId="4" xfId="0" applyFont="1" applyFill="1" applyBorder="1" applyAlignment="1">
      <alignment horizontal="left"/>
    </xf>
    <xf numFmtId="0" fontId="92" fillId="48" borderId="4" xfId="0" applyFont="1" applyFill="1" applyBorder="1" applyAlignment="1">
      <alignment horizontal="left"/>
    </xf>
    <xf numFmtId="0" fontId="89" fillId="48" borderId="2" xfId="0" quotePrefix="1" applyFont="1" applyFill="1" applyBorder="1" applyAlignment="1">
      <alignment horizontal="left" vertical="center"/>
    </xf>
    <xf numFmtId="0" fontId="89" fillId="48" borderId="26" xfId="0" quotePrefix="1" applyFont="1" applyFill="1" applyBorder="1" applyAlignment="1">
      <alignment horizontal="left" vertical="center"/>
    </xf>
    <xf numFmtId="0" fontId="77" fillId="53" borderId="0" xfId="0" quotePrefix="1" applyFont="1" applyFill="1" applyAlignment="1">
      <alignment horizontal="center" vertical="center"/>
    </xf>
    <xf numFmtId="0" fontId="11" fillId="8" borderId="56" xfId="0" applyFont="1" applyFill="1" applyBorder="1" applyAlignment="1">
      <alignment horizontal="center"/>
    </xf>
    <xf numFmtId="0" fontId="11" fillId="8" borderId="0" xfId="0" applyFont="1" applyFill="1" applyAlignment="1">
      <alignment horizontal="center"/>
    </xf>
    <xf numFmtId="0" fontId="22" fillId="0" borderId="1" xfId="0" applyFont="1" applyBorder="1" applyAlignment="1">
      <alignment horizontal="center" vertical="center" wrapText="1"/>
    </xf>
    <xf numFmtId="0" fontId="52" fillId="0" borderId="1" xfId="0" applyFont="1" applyBorder="1" applyAlignment="1">
      <alignment wrapText="1"/>
    </xf>
    <xf numFmtId="0" fontId="52" fillId="0" borderId="1" xfId="0" applyFont="1" applyBorder="1" applyAlignment="1"/>
    <xf numFmtId="10" fontId="22" fillId="0" borderId="1" xfId="0" applyNumberFormat="1" applyFont="1" applyBorder="1" applyAlignment="1">
      <alignment horizontal="center" vertical="center"/>
    </xf>
    <xf numFmtId="0" fontId="89" fillId="48" borderId="1" xfId="0" applyFont="1" applyFill="1" applyBorder="1" applyAlignment="1">
      <alignment horizontal="left"/>
    </xf>
    <xf numFmtId="0" fontId="10" fillId="48" borderId="20" xfId="0" applyFont="1" applyFill="1" applyBorder="1" applyAlignment="1">
      <alignment horizontal="center" vertical="center" wrapText="1"/>
    </xf>
    <xf numFmtId="0" fontId="93" fillId="48" borderId="4" xfId="0" applyFont="1" applyFill="1" applyBorder="1" applyAlignment="1">
      <alignment wrapText="1"/>
    </xf>
    <xf numFmtId="0" fontId="11" fillId="48" borderId="1" xfId="0" applyFont="1" applyFill="1" applyBorder="1" applyAlignment="1">
      <alignment horizontal="center" vertical="center"/>
    </xf>
    <xf numFmtId="166" fontId="4" fillId="11" borderId="0" xfId="0" applyNumberFormat="1" applyFont="1" applyFill="1" applyAlignment="1">
      <alignment horizontal="center" vertical="center"/>
    </xf>
    <xf numFmtId="1" fontId="10" fillId="48" borderId="56" xfId="0" applyNumberFormat="1" applyFont="1" applyFill="1" applyBorder="1" applyAlignment="1">
      <alignment horizontal="center" vertical="center"/>
    </xf>
    <xf numFmtId="1" fontId="10" fillId="48" borderId="0" xfId="0" applyNumberFormat="1" applyFont="1" applyFill="1" applyBorder="1" applyAlignment="1">
      <alignment horizontal="center" vertical="center"/>
    </xf>
    <xf numFmtId="0" fontId="10" fillId="48" borderId="56" xfId="0" applyFont="1" applyFill="1" applyBorder="1" applyAlignment="1">
      <alignment horizontal="center"/>
    </xf>
    <xf numFmtId="0" fontId="10" fillId="48" borderId="0" xfId="0" applyFont="1" applyFill="1" applyBorder="1" applyAlignment="1">
      <alignment horizontal="center"/>
    </xf>
    <xf numFmtId="0" fontId="80" fillId="53" borderId="0" xfId="0" quotePrefix="1" applyFont="1" applyFill="1" applyAlignment="1">
      <alignment horizontal="center" vertical="center"/>
    </xf>
    <xf numFmtId="0" fontId="89" fillId="48" borderId="0" xfId="0" applyFont="1" applyFill="1" applyBorder="1" applyAlignment="1">
      <alignment horizontal="center" vertical="center"/>
    </xf>
    <xf numFmtId="0" fontId="89" fillId="48" borderId="0" xfId="0" applyFont="1" applyFill="1" applyAlignment="1">
      <alignment horizontal="center" vertical="center"/>
    </xf>
    <xf numFmtId="0" fontId="44" fillId="48" borderId="20" xfId="0" quotePrefix="1" applyFont="1" applyFill="1" applyBorder="1" applyAlignment="1">
      <alignment horizontal="center" vertical="center"/>
    </xf>
    <xf numFmtId="0" fontId="44" fillId="48" borderId="4" xfId="0" quotePrefix="1" applyFont="1" applyFill="1" applyBorder="1" applyAlignment="1">
      <alignment horizontal="center" vertical="center"/>
    </xf>
    <xf numFmtId="0" fontId="57" fillId="53" borderId="0" xfId="0" quotePrefix="1" applyFont="1" applyFill="1" applyAlignment="1">
      <alignment horizontal="center" vertical="center"/>
    </xf>
    <xf numFmtId="0" fontId="89" fillId="48" borderId="56" xfId="0" applyFont="1" applyFill="1" applyBorder="1" applyAlignment="1">
      <alignment horizontal="center" vertical="center"/>
    </xf>
    <xf numFmtId="0" fontId="89" fillId="48" borderId="1" xfId="0" applyFont="1" applyFill="1" applyBorder="1" applyAlignment="1">
      <alignment horizontal="center" vertical="center"/>
    </xf>
    <xf numFmtId="0" fontId="89" fillId="48" borderId="20" xfId="0" quotePrefix="1" applyFont="1" applyFill="1" applyBorder="1" applyAlignment="1">
      <alignment horizontal="center" vertical="center"/>
    </xf>
    <xf numFmtId="0" fontId="89" fillId="48" borderId="4" xfId="0" quotePrefix="1" applyFont="1" applyFill="1" applyBorder="1" applyAlignment="1">
      <alignment horizontal="center" vertical="center"/>
    </xf>
    <xf numFmtId="0" fontId="9" fillId="10" borderId="2" xfId="0" applyFont="1" applyFill="1" applyBorder="1" applyAlignment="1">
      <alignment horizontal="center"/>
    </xf>
    <xf numFmtId="0" fontId="9" fillId="10" borderId="26" xfId="0" applyFont="1" applyFill="1" applyBorder="1" applyAlignment="1">
      <alignment horizontal="center"/>
    </xf>
    <xf numFmtId="0" fontId="9" fillId="10" borderId="25" xfId="0" applyFont="1" applyFill="1" applyBorder="1" applyAlignment="1">
      <alignment horizontal="center"/>
    </xf>
    <xf numFmtId="1" fontId="10" fillId="8" borderId="56" xfId="0" applyNumberFormat="1" applyFont="1" applyFill="1" applyBorder="1" applyAlignment="1">
      <alignment horizontal="center" vertical="center"/>
    </xf>
    <xf numFmtId="1" fontId="10" fillId="8" borderId="0" xfId="0" applyNumberFormat="1" applyFont="1" applyFill="1" applyBorder="1" applyAlignment="1">
      <alignment horizontal="center" vertical="center"/>
    </xf>
    <xf numFmtId="0" fontId="89" fillId="8" borderId="2" xfId="0" quotePrefix="1" applyFont="1" applyFill="1" applyBorder="1" applyAlignment="1">
      <alignment horizontal="left" vertical="center"/>
    </xf>
    <xf numFmtId="0" fontId="89" fillId="8" borderId="26" xfId="0" quotePrefix="1" applyFont="1" applyFill="1" applyBorder="1" applyAlignment="1">
      <alignment horizontal="left" vertical="center"/>
    </xf>
    <xf numFmtId="0" fontId="89" fillId="8" borderId="25" xfId="0" quotePrefix="1" applyFont="1" applyFill="1" applyBorder="1" applyAlignment="1">
      <alignment horizontal="left" vertical="center"/>
    </xf>
    <xf numFmtId="0" fontId="54" fillId="8" borderId="2" xfId="0" quotePrefix="1" applyFont="1" applyFill="1" applyBorder="1" applyAlignment="1">
      <alignment horizontal="left" vertical="center"/>
    </xf>
    <xf numFmtId="0" fontId="54" fillId="8" borderId="26" xfId="0" quotePrefix="1" applyFont="1" applyFill="1" applyBorder="1" applyAlignment="1">
      <alignment horizontal="left" vertical="center"/>
    </xf>
    <xf numFmtId="0" fontId="22" fillId="0" borderId="17" xfId="0" applyFont="1" applyBorder="1" applyAlignment="1">
      <alignment horizontal="center" vertical="center" wrapText="1"/>
    </xf>
    <xf numFmtId="0" fontId="52" fillId="0" borderId="3" xfId="0" applyFont="1" applyBorder="1" applyAlignment="1">
      <alignment horizontal="center" vertical="center" wrapText="1"/>
    </xf>
    <xf numFmtId="0" fontId="52" fillId="0" borderId="18" xfId="0" applyFont="1" applyBorder="1" applyAlignment="1">
      <alignment horizontal="center" vertical="center" wrapText="1"/>
    </xf>
    <xf numFmtId="10" fontId="22" fillId="0" borderId="17" xfId="0" applyNumberFormat="1" applyFont="1" applyBorder="1" applyAlignment="1">
      <alignment horizontal="center" vertical="center"/>
    </xf>
    <xf numFmtId="0" fontId="52" fillId="0" borderId="3" xfId="0" applyFont="1" applyBorder="1" applyAlignment="1">
      <alignment horizontal="center" vertical="center"/>
    </xf>
    <xf numFmtId="0" fontId="52" fillId="0" borderId="18" xfId="0" applyFont="1" applyBorder="1" applyAlignment="1">
      <alignment horizontal="center" vertical="center"/>
    </xf>
    <xf numFmtId="0" fontId="55" fillId="2"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89" fillId="8" borderId="2" xfId="0" quotePrefix="1" applyFont="1" applyFill="1" applyBorder="1" applyAlignment="1">
      <alignment horizontal="center" vertical="center"/>
    </xf>
    <xf numFmtId="0" fontId="89" fillId="8" borderId="26" xfId="0" quotePrefix="1" applyFont="1" applyFill="1" applyBorder="1" applyAlignment="1">
      <alignment horizontal="center" vertical="center"/>
    </xf>
    <xf numFmtId="0" fontId="44" fillId="8" borderId="2" xfId="0" quotePrefix="1" applyFont="1" applyFill="1" applyBorder="1" applyAlignment="1">
      <alignment horizontal="center" vertical="center"/>
    </xf>
    <xf numFmtId="0" fontId="44" fillId="8" borderId="26" xfId="0" quotePrefix="1" applyFont="1" applyFill="1" applyBorder="1" applyAlignment="1">
      <alignment horizontal="center" vertical="center"/>
    </xf>
    <xf numFmtId="0" fontId="22" fillId="2" borderId="1" xfId="0" applyFont="1" applyFill="1" applyBorder="1" applyAlignment="1">
      <alignment horizontal="center" vertical="center" wrapText="1"/>
    </xf>
    <xf numFmtId="0" fontId="22" fillId="2" borderId="17" xfId="0" applyFont="1" applyFill="1" applyBorder="1" applyAlignment="1">
      <alignment horizontal="center" vertical="center" wrapText="1"/>
    </xf>
    <xf numFmtId="0" fontId="22" fillId="2" borderId="3" xfId="0" applyFont="1" applyFill="1" applyBorder="1" applyAlignment="1">
      <alignment horizontal="center" vertical="center" wrapText="1"/>
    </xf>
    <xf numFmtId="10" fontId="22" fillId="2" borderId="17" xfId="0" applyNumberFormat="1" applyFont="1" applyFill="1" applyBorder="1" applyAlignment="1">
      <alignment horizontal="center" vertical="center"/>
    </xf>
    <xf numFmtId="10" fontId="22" fillId="2" borderId="3" xfId="0" applyNumberFormat="1" applyFont="1" applyFill="1" applyBorder="1" applyAlignment="1">
      <alignment horizontal="center" vertical="center"/>
    </xf>
    <xf numFmtId="0" fontId="10" fillId="8" borderId="2" xfId="0" quotePrefix="1" applyFont="1" applyFill="1" applyBorder="1" applyAlignment="1">
      <alignment horizontal="center" vertical="center"/>
    </xf>
    <xf numFmtId="0" fontId="10" fillId="8" borderId="26" xfId="0" quotePrefix="1" applyFont="1" applyFill="1" applyBorder="1" applyAlignment="1">
      <alignment horizontal="center" vertical="center"/>
    </xf>
    <xf numFmtId="0" fontId="44" fillId="8" borderId="1" xfId="0" applyFont="1" applyFill="1" applyBorder="1" applyAlignment="1">
      <alignment horizontal="center" vertical="center"/>
    </xf>
    <xf numFmtId="0" fontId="57" fillId="53" borderId="0" xfId="0" quotePrefix="1" applyFont="1" applyFill="1" applyAlignment="1">
      <alignment horizontal="center" vertical="top" wrapText="1"/>
    </xf>
    <xf numFmtId="0" fontId="57" fillId="0" borderId="0" xfId="0" quotePrefix="1" applyFont="1" applyAlignment="1">
      <alignment horizontal="center" vertical="center" wrapText="1"/>
    </xf>
    <xf numFmtId="0" fontId="22" fillId="2" borderId="11" xfId="0" applyFont="1" applyFill="1" applyBorder="1" applyAlignment="1">
      <alignment horizontal="center" vertical="center"/>
    </xf>
    <xf numFmtId="0" fontId="22" fillId="2" borderId="12" xfId="0" applyFont="1" applyFill="1" applyBorder="1" applyAlignment="1">
      <alignment horizontal="center" vertical="center"/>
    </xf>
    <xf numFmtId="0" fontId="22" fillId="2" borderId="49" xfId="0" applyFont="1" applyFill="1" applyBorder="1" applyAlignment="1">
      <alignment horizontal="center" vertical="center"/>
    </xf>
    <xf numFmtId="0" fontId="56" fillId="50" borderId="52" xfId="0" applyFont="1" applyFill="1" applyBorder="1" applyAlignment="1">
      <alignment horizontal="center" vertical="center"/>
    </xf>
    <xf numFmtId="0" fontId="56" fillId="50" borderId="24" xfId="0" applyFont="1" applyFill="1" applyBorder="1" applyAlignment="1">
      <alignment horizontal="center" vertical="center"/>
    </xf>
    <xf numFmtId="0" fontId="56" fillId="50" borderId="60" xfId="0" applyFont="1" applyFill="1" applyBorder="1" applyAlignment="1">
      <alignment horizontal="center" vertical="center"/>
    </xf>
    <xf numFmtId="0" fontId="22" fillId="2" borderId="58" xfId="0" applyFont="1" applyFill="1" applyBorder="1" applyAlignment="1">
      <alignment horizontal="center" vertical="center"/>
    </xf>
    <xf numFmtId="0" fontId="22" fillId="2" borderId="24" xfId="0" applyFont="1" applyFill="1" applyBorder="1" applyAlignment="1">
      <alignment horizontal="center" vertical="center"/>
    </xf>
    <xf numFmtId="0" fontId="22" fillId="2" borderId="59" xfId="0" applyFont="1" applyFill="1" applyBorder="1" applyAlignment="1">
      <alignment horizontal="center" vertical="center"/>
    </xf>
    <xf numFmtId="0" fontId="80" fillId="53" borderId="0" xfId="0" quotePrefix="1" applyFont="1" applyFill="1" applyAlignment="1">
      <alignment horizontal="center" vertical="center" wrapText="1"/>
    </xf>
    <xf numFmtId="0" fontId="57" fillId="53" borderId="0" xfId="0" quotePrefix="1" applyFont="1" applyFill="1" applyAlignment="1">
      <alignment horizontal="center" vertical="center" wrapText="1"/>
    </xf>
    <xf numFmtId="17" fontId="11" fillId="48" borderId="50" xfId="0" applyNumberFormat="1" applyFont="1" applyFill="1" applyBorder="1" applyAlignment="1">
      <alignment horizontal="center" vertical="center"/>
    </xf>
    <xf numFmtId="17" fontId="11" fillId="48" borderId="35" xfId="0" applyNumberFormat="1" applyFont="1" applyFill="1" applyBorder="1" applyAlignment="1">
      <alignment horizontal="center" vertical="center"/>
    </xf>
    <xf numFmtId="0" fontId="95" fillId="48" borderId="51" xfId="0" applyFont="1" applyFill="1" applyBorder="1" applyAlignment="1">
      <alignment vertical="center"/>
    </xf>
    <xf numFmtId="166" fontId="48" fillId="11" borderId="0" xfId="0" applyNumberFormat="1" applyFont="1" applyFill="1" applyAlignment="1">
      <alignment horizontal="left" vertical="center" indent="14"/>
    </xf>
    <xf numFmtId="17" fontId="11" fillId="48" borderId="24" xfId="0" applyNumberFormat="1" applyFont="1" applyFill="1" applyBorder="1" applyAlignment="1">
      <alignment horizontal="center" vertical="center"/>
    </xf>
    <xf numFmtId="17" fontId="11" fillId="48" borderId="0" xfId="0" applyNumberFormat="1" applyFont="1" applyFill="1" applyAlignment="1">
      <alignment horizontal="center" vertical="center"/>
    </xf>
    <xf numFmtId="0" fontId="22" fillId="2" borderId="17" xfId="0" applyFont="1" applyFill="1" applyBorder="1" applyAlignment="1">
      <alignment horizontal="center" vertical="center"/>
    </xf>
    <xf numFmtId="0" fontId="22" fillId="2" borderId="3" xfId="0" applyFont="1" applyFill="1" applyBorder="1" applyAlignment="1">
      <alignment horizontal="center" vertical="center"/>
    </xf>
    <xf numFmtId="17" fontId="11" fillId="48" borderId="24" xfId="0" applyNumberFormat="1" applyFont="1" applyFill="1" applyBorder="1" applyAlignment="1">
      <alignment horizontal="center"/>
    </xf>
    <xf numFmtId="17" fontId="11" fillId="48" borderId="0" xfId="0" applyNumberFormat="1" applyFont="1" applyFill="1" applyAlignment="1">
      <alignment horizontal="center"/>
    </xf>
    <xf numFmtId="17" fontId="11" fillId="48" borderId="50" xfId="0" applyNumberFormat="1" applyFont="1" applyFill="1" applyBorder="1" applyAlignment="1">
      <alignment horizontal="center"/>
    </xf>
    <xf numFmtId="17" fontId="11" fillId="48" borderId="35" xfId="0" applyNumberFormat="1" applyFont="1" applyFill="1" applyBorder="1" applyAlignment="1">
      <alignment horizontal="center"/>
    </xf>
    <xf numFmtId="0" fontId="95" fillId="48" borderId="51" xfId="0" applyFont="1" applyFill="1" applyBorder="1" applyAlignment="1"/>
    <xf numFmtId="0" fontId="56" fillId="50" borderId="61" xfId="0" applyFont="1" applyFill="1" applyBorder="1" applyAlignment="1">
      <alignment horizontal="center" vertical="center"/>
    </xf>
    <xf numFmtId="0" fontId="56" fillId="50" borderId="12" xfId="0" applyFont="1" applyFill="1" applyBorder="1" applyAlignment="1">
      <alignment horizontal="center" vertical="center"/>
    </xf>
    <xf numFmtId="0" fontId="56" fillId="50" borderId="13" xfId="0" applyFont="1" applyFill="1" applyBorder="1" applyAlignment="1">
      <alignment horizontal="center" vertical="center"/>
    </xf>
    <xf numFmtId="0" fontId="56" fillId="50" borderId="27" xfId="0" applyFont="1" applyFill="1" applyBorder="1" applyAlignment="1">
      <alignment horizontal="center" vertical="center"/>
    </xf>
    <xf numFmtId="0" fontId="56" fillId="50" borderId="53" xfId="0" applyFont="1" applyFill="1" applyBorder="1" applyAlignment="1">
      <alignment horizontal="center" vertical="center"/>
    </xf>
    <xf numFmtId="0" fontId="56" fillId="50" borderId="54" xfId="0" applyFont="1" applyFill="1" applyBorder="1" applyAlignment="1">
      <alignment horizontal="center" vertical="center"/>
    </xf>
    <xf numFmtId="0" fontId="44" fillId="48" borderId="56" xfId="0" applyFont="1" applyFill="1" applyBorder="1" applyAlignment="1">
      <alignment horizontal="center" vertical="center"/>
    </xf>
    <xf numFmtId="0" fontId="44" fillId="48" borderId="0" xfId="0" applyFont="1" applyFill="1" applyAlignment="1">
      <alignment horizontal="center" vertical="center"/>
    </xf>
    <xf numFmtId="0" fontId="44" fillId="48" borderId="56" xfId="0" applyFont="1" applyFill="1" applyBorder="1" applyAlignment="1">
      <alignment horizontal="center"/>
    </xf>
    <xf numFmtId="0" fontId="44" fillId="48" borderId="0" xfId="0" applyFont="1" applyFill="1" applyAlignment="1">
      <alignment horizontal="center"/>
    </xf>
    <xf numFmtId="0" fontId="96" fillId="48" borderId="0" xfId="0" applyFont="1" applyFill="1" applyAlignment="1">
      <alignment horizontal="center"/>
    </xf>
    <xf numFmtId="0" fontId="96" fillId="48" borderId="0" xfId="0" applyFont="1" applyFill="1" applyAlignment="1">
      <alignment horizontal="center" vertical="center"/>
    </xf>
    <xf numFmtId="0" fontId="11" fillId="48" borderId="2" xfId="0" applyFont="1" applyFill="1" applyBorder="1" applyAlignment="1">
      <alignment horizontal="center" vertical="center" wrapText="1"/>
    </xf>
    <xf numFmtId="0" fontId="11" fillId="48" borderId="26" xfId="0" applyFont="1" applyFill="1" applyBorder="1" applyAlignment="1">
      <alignment horizontal="center" vertical="center" wrapText="1"/>
    </xf>
    <xf numFmtId="0" fontId="11" fillId="48" borderId="25" xfId="0" applyFont="1" applyFill="1" applyBorder="1" applyAlignment="1">
      <alignment horizontal="center" vertical="center" wrapText="1"/>
    </xf>
    <xf numFmtId="0" fontId="58" fillId="47" borderId="2" xfId="0" applyFont="1" applyFill="1" applyBorder="1" applyAlignment="1">
      <alignment horizontal="center" vertical="center" wrapText="1"/>
    </xf>
    <xf numFmtId="0" fontId="55" fillId="47" borderId="26" xfId="0" applyFont="1" applyFill="1" applyBorder="1" applyAlignment="1">
      <alignment horizontal="center" vertical="center" wrapText="1"/>
    </xf>
    <xf numFmtId="0" fontId="55" fillId="47" borderId="25" xfId="0" applyFont="1" applyFill="1" applyBorder="1" applyAlignment="1">
      <alignment horizontal="center" vertical="center" wrapText="1"/>
    </xf>
    <xf numFmtId="0" fontId="58" fillId="47" borderId="26" xfId="0" applyFont="1" applyFill="1" applyBorder="1" applyAlignment="1">
      <alignment horizontal="center" vertical="center" wrapText="1"/>
    </xf>
    <xf numFmtId="0" fontId="58" fillId="47" borderId="25" xfId="0" applyFont="1" applyFill="1" applyBorder="1" applyAlignment="1">
      <alignment horizontal="center" vertical="center" wrapText="1"/>
    </xf>
    <xf numFmtId="0" fontId="61" fillId="48" borderId="2" xfId="0" applyFont="1" applyFill="1" applyBorder="1" applyAlignment="1">
      <alignment horizontal="center" vertical="center" wrapText="1"/>
    </xf>
    <xf numFmtId="0" fontId="61" fillId="48" borderId="26" xfId="0" applyFont="1" applyFill="1" applyBorder="1" applyAlignment="1">
      <alignment horizontal="center" vertical="center" wrapText="1"/>
    </xf>
    <xf numFmtId="0" fontId="61" fillId="48" borderId="25" xfId="0" applyFont="1" applyFill="1" applyBorder="1" applyAlignment="1">
      <alignment horizontal="center" vertical="center" wrapText="1"/>
    </xf>
    <xf numFmtId="0" fontId="83" fillId="48" borderId="26" xfId="0" applyFont="1" applyFill="1" applyBorder="1" applyAlignment="1">
      <alignment horizontal="center" vertical="center" wrapText="1"/>
    </xf>
    <xf numFmtId="0" fontId="83" fillId="48" borderId="25" xfId="0" applyFont="1" applyFill="1" applyBorder="1" applyAlignment="1">
      <alignment horizontal="center" vertical="center" wrapText="1"/>
    </xf>
    <xf numFmtId="0" fontId="97" fillId="48" borderId="26" xfId="0" applyFont="1" applyFill="1" applyBorder="1" applyAlignment="1">
      <alignment horizontal="center" vertical="center" wrapText="1"/>
    </xf>
    <xf numFmtId="0" fontId="97" fillId="48" borderId="25" xfId="0" applyFont="1" applyFill="1" applyBorder="1" applyAlignment="1">
      <alignment horizontal="center" vertical="center" wrapText="1"/>
    </xf>
    <xf numFmtId="166" fontId="4" fillId="11" borderId="0" xfId="0" applyNumberFormat="1" applyFont="1" applyFill="1" applyAlignment="1">
      <alignment horizontal="left" vertical="center" indent="14"/>
    </xf>
    <xf numFmtId="0" fontId="11" fillId="8" borderId="2" xfId="0" applyFont="1" applyFill="1" applyBorder="1" applyAlignment="1">
      <alignment horizontal="center" vertical="center" wrapText="1"/>
    </xf>
    <xf numFmtId="0" fontId="11" fillId="8" borderId="26" xfId="0" applyFont="1" applyFill="1" applyBorder="1" applyAlignment="1">
      <alignment horizontal="center" vertical="center" wrapText="1"/>
    </xf>
    <xf numFmtId="0" fontId="98" fillId="8" borderId="26" xfId="0" applyFont="1" applyFill="1" applyBorder="1" applyAlignment="1">
      <alignment horizontal="center" vertical="center" wrapText="1"/>
    </xf>
    <xf numFmtId="0" fontId="98" fillId="8" borderId="25" xfId="0" applyFont="1" applyFill="1" applyBorder="1" applyAlignment="1">
      <alignment horizontal="center" vertical="center" wrapText="1"/>
    </xf>
    <xf numFmtId="0" fontId="59" fillId="47" borderId="26" xfId="0" applyFont="1" applyFill="1" applyBorder="1" applyAlignment="1">
      <alignment horizontal="center" vertical="center" wrapText="1"/>
    </xf>
    <xf numFmtId="0" fontId="59" fillId="47" borderId="25" xfId="0" applyFont="1" applyFill="1" applyBorder="1" applyAlignment="1">
      <alignment horizontal="center" vertical="center" wrapText="1"/>
    </xf>
    <xf numFmtId="0" fontId="5" fillId="2" borderId="0" xfId="0" applyFont="1" applyFill="1" applyAlignment="1">
      <alignment horizontal="center"/>
    </xf>
    <xf numFmtId="0" fontId="17" fillId="2" borderId="0" xfId="0" applyFont="1" applyFill="1" applyAlignment="1">
      <alignment horizontal="center"/>
    </xf>
    <xf numFmtId="0" fontId="84" fillId="53" borderId="0" xfId="0" quotePrefix="1" applyFont="1" applyFill="1" applyAlignment="1">
      <alignment horizontal="center" vertical="center" wrapText="1"/>
    </xf>
    <xf numFmtId="166" fontId="4" fillId="11" borderId="24" xfId="0" applyNumberFormat="1" applyFont="1" applyFill="1" applyBorder="1" applyAlignment="1">
      <alignment horizontal="center" vertical="center"/>
    </xf>
    <xf numFmtId="0" fontId="86" fillId="8" borderId="26" xfId="0" applyFont="1" applyFill="1" applyBorder="1" applyAlignment="1">
      <alignment horizontal="center" vertical="center" wrapText="1"/>
    </xf>
    <xf numFmtId="0" fontId="86" fillId="8" borderId="25" xfId="0" applyFont="1" applyFill="1" applyBorder="1" applyAlignment="1">
      <alignment horizontal="center" vertical="center" wrapText="1"/>
    </xf>
    <xf numFmtId="0" fontId="99" fillId="48" borderId="26" xfId="0" applyFont="1" applyFill="1" applyBorder="1" applyAlignment="1">
      <alignment horizontal="center" vertical="center" wrapText="1"/>
    </xf>
    <xf numFmtId="0" fontId="99" fillId="48" borderId="25" xfId="0" applyFont="1" applyFill="1" applyBorder="1" applyAlignment="1">
      <alignment horizontal="center" vertical="center" wrapText="1"/>
    </xf>
    <xf numFmtId="0" fontId="86" fillId="48" borderId="26" xfId="0" applyFont="1" applyFill="1" applyBorder="1" applyAlignment="1">
      <alignment horizontal="center" vertical="center" wrapText="1"/>
    </xf>
    <xf numFmtId="0" fontId="86" fillId="48" borderId="25" xfId="0" applyFont="1" applyFill="1" applyBorder="1" applyAlignment="1">
      <alignment horizontal="center" vertical="center" wrapText="1"/>
    </xf>
    <xf numFmtId="166" fontId="4" fillId="49" borderId="0" xfId="0" applyNumberFormat="1" applyFont="1" applyFill="1" applyAlignment="1">
      <alignment horizontal="center" vertical="center"/>
    </xf>
    <xf numFmtId="166" fontId="4" fillId="11" borderId="0" xfId="0" applyNumberFormat="1" applyFont="1" applyFill="1" applyAlignment="1">
      <alignment horizontal="left" vertical="center" indent="20"/>
    </xf>
    <xf numFmtId="0" fontId="9" fillId="10" borderId="0" xfId="0" applyFont="1" applyFill="1" applyAlignment="1">
      <alignment horizontal="center" vertical="center" wrapText="1"/>
    </xf>
    <xf numFmtId="0" fontId="9" fillId="10" borderId="4" xfId="0" applyFont="1" applyFill="1" applyBorder="1" applyAlignment="1">
      <alignment horizontal="center" vertical="center" wrapText="1"/>
    </xf>
    <xf numFmtId="0" fontId="9" fillId="10" borderId="20" xfId="0" applyFont="1" applyFill="1" applyBorder="1" applyAlignment="1">
      <alignment horizontal="center"/>
    </xf>
    <xf numFmtId="0" fontId="9" fillId="10" borderId="4" xfId="0" applyFont="1" applyFill="1" applyBorder="1" applyAlignment="1">
      <alignment horizontal="center"/>
    </xf>
    <xf numFmtId="0" fontId="9" fillId="10" borderId="0" xfId="0" applyFont="1" applyFill="1" applyAlignment="1">
      <alignment horizontal="center"/>
    </xf>
    <xf numFmtId="0" fontId="9" fillId="10" borderId="21" xfId="0" applyFont="1" applyFill="1" applyBorder="1" applyAlignment="1">
      <alignment horizontal="center"/>
    </xf>
    <xf numFmtId="0" fontId="9" fillId="10" borderId="22" xfId="0" applyFont="1" applyFill="1" applyBorder="1" applyAlignment="1">
      <alignment horizontal="center" vertical="center" wrapText="1"/>
    </xf>
    <xf numFmtId="0" fontId="9" fillId="10" borderId="34" xfId="0" applyFont="1" applyFill="1" applyBorder="1" applyAlignment="1">
      <alignment horizontal="center" vertical="center" wrapText="1"/>
    </xf>
    <xf numFmtId="0" fontId="9"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4" fillId="10" borderId="22" xfId="0" applyFont="1" applyFill="1" applyBorder="1" applyAlignment="1">
      <alignment horizontal="center"/>
    </xf>
    <xf numFmtId="0" fontId="0" fillId="0" borderId="34" xfId="0" applyBorder="1" applyAlignment="1">
      <alignment horizontal="center"/>
    </xf>
    <xf numFmtId="0" fontId="14" fillId="10" borderId="2" xfId="0" applyFont="1" applyFill="1" applyBorder="1" applyAlignment="1">
      <alignment horizontal="center"/>
    </xf>
    <xf numFmtId="0" fontId="0" fillId="0" borderId="26" xfId="0" applyBorder="1" applyAlignment="1">
      <alignment horizontal="center"/>
    </xf>
    <xf numFmtId="0" fontId="14" fillId="10" borderId="1" xfId="0" applyFont="1" applyFill="1" applyBorder="1" applyAlignment="1">
      <alignment horizontal="center"/>
    </xf>
    <xf numFmtId="0" fontId="0" fillId="0" borderId="1" xfId="0" applyBorder="1" applyAlignment="1">
      <alignment horizontal="center"/>
    </xf>
    <xf numFmtId="0" fontId="84" fillId="0" borderId="0" xfId="0" quotePrefix="1" applyFont="1" applyAlignment="1">
      <alignment horizontal="center" vertical="center" wrapText="1"/>
    </xf>
    <xf numFmtId="0" fontId="14" fillId="10" borderId="50" xfId="0" quotePrefix="1" applyFont="1" applyFill="1" applyBorder="1" applyAlignment="1">
      <alignment horizontal="center" wrapText="1"/>
    </xf>
    <xf numFmtId="0" fontId="14" fillId="10" borderId="35" xfId="0" applyFont="1" applyFill="1" applyBorder="1" applyAlignment="1">
      <alignment horizontal="center" wrapText="1"/>
    </xf>
    <xf numFmtId="0" fontId="14" fillId="10" borderId="27" xfId="0" applyFont="1" applyFill="1" applyBorder="1" applyAlignment="1">
      <alignment horizontal="center" vertical="center" wrapText="1"/>
    </xf>
    <xf numFmtId="0" fontId="14" fillId="10" borderId="28" xfId="0" applyFont="1" applyFill="1" applyBorder="1" applyAlignment="1">
      <alignment horizontal="center" vertical="center" wrapText="1"/>
    </xf>
    <xf numFmtId="0" fontId="14" fillId="10" borderId="52" xfId="0" quotePrefix="1" applyFont="1" applyFill="1" applyBorder="1" applyAlignment="1">
      <alignment horizontal="center" vertical="center" wrapText="1"/>
    </xf>
    <xf numFmtId="0" fontId="14" fillId="10" borderId="28" xfId="0" quotePrefix="1" applyFont="1" applyFill="1" applyBorder="1" applyAlignment="1">
      <alignment horizontal="center" vertical="center" wrapText="1"/>
    </xf>
    <xf numFmtId="0" fontId="14" fillId="10" borderId="31" xfId="0" applyFont="1" applyFill="1" applyBorder="1" applyAlignment="1">
      <alignment horizontal="center" vertical="center" wrapText="1"/>
    </xf>
    <xf numFmtId="0" fontId="14" fillId="10" borderId="55" xfId="0" quotePrefix="1" applyFont="1" applyFill="1" applyBorder="1" applyAlignment="1">
      <alignment horizontal="center" vertical="center" wrapText="1"/>
    </xf>
    <xf numFmtId="0" fontId="14" fillId="10" borderId="29" xfId="0" quotePrefix="1" applyFont="1" applyFill="1" applyBorder="1" applyAlignment="1">
      <alignment horizontal="center" vertical="center" wrapText="1"/>
    </xf>
    <xf numFmtId="0" fontId="22" fillId="0" borderId="1" xfId="0" applyFont="1" applyBorder="1" applyAlignment="1"/>
    <xf numFmtId="0" fontId="0" fillId="0" borderId="1" xfId="0" applyBorder="1" applyAlignment="1"/>
    <xf numFmtId="166" fontId="4" fillId="11" borderId="0" xfId="0" applyNumberFormat="1" applyFont="1" applyFill="1" applyAlignment="1">
      <alignment horizontal="left" vertical="center" indent="13"/>
    </xf>
    <xf numFmtId="0" fontId="10" fillId="48" borderId="4" xfId="0" applyFont="1" applyFill="1" applyBorder="1" applyAlignment="1">
      <alignment horizontal="center"/>
    </xf>
    <xf numFmtId="0" fontId="100" fillId="48" borderId="4" xfId="0" applyFont="1" applyFill="1" applyBorder="1" applyAlignment="1">
      <alignment horizontal="center"/>
    </xf>
    <xf numFmtId="0" fontId="101" fillId="0" borderId="20" xfId="0" applyFont="1" applyBorder="1" applyAlignment="1">
      <alignment horizontal="center" vertical="center" wrapText="1"/>
    </xf>
    <xf numFmtId="0" fontId="101" fillId="0" borderId="32" xfId="0" applyFont="1" applyBorder="1" applyAlignment="1">
      <alignment horizontal="center" vertical="center" wrapText="1"/>
    </xf>
    <xf numFmtId="0" fontId="58" fillId="50" borderId="1" xfId="0" applyFont="1" applyFill="1" applyBorder="1" applyAlignment="1">
      <alignment vertical="center" wrapText="1"/>
    </xf>
    <xf numFmtId="0" fontId="0" fillId="0" borderId="1" xfId="0" applyBorder="1" applyAlignment="1">
      <alignment wrapText="1"/>
    </xf>
    <xf numFmtId="0" fontId="14" fillId="10" borderId="1" xfId="0" applyFont="1" applyFill="1" applyBorder="1" applyAlignment="1">
      <alignment horizontal="center" vertical="center" wrapText="1"/>
    </xf>
    <xf numFmtId="1" fontId="56"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6" fillId="50" borderId="1" xfId="0" applyFont="1" applyFill="1" applyBorder="1" applyAlignment="1">
      <alignment wrapText="1"/>
    </xf>
    <xf numFmtId="0" fontId="9" fillId="10" borderId="56" xfId="0" applyFont="1" applyFill="1" applyBorder="1" applyAlignment="1">
      <alignment horizontal="center" vertical="center" wrapText="1"/>
    </xf>
    <xf numFmtId="0" fontId="101" fillId="0" borderId="0" xfId="0" applyFont="1" applyAlignment="1">
      <alignment horizontal="center" vertical="center" wrapText="1"/>
    </xf>
    <xf numFmtId="0" fontId="101" fillId="0" borderId="4" xfId="0" applyFont="1" applyBorder="1" applyAlignment="1">
      <alignment horizontal="center" vertical="center" wrapText="1"/>
    </xf>
    <xf numFmtId="0" fontId="93" fillId="48" borderId="4" xfId="0" applyFont="1" applyFill="1" applyBorder="1" applyAlignment="1">
      <alignment horizontal="center" wrapText="1"/>
    </xf>
    <xf numFmtId="0" fontId="14" fillId="10" borderId="1" xfId="0" applyFont="1" applyFill="1" applyBorder="1" applyAlignment="1">
      <alignment horizontal="center" vertical="center"/>
    </xf>
    <xf numFmtId="0" fontId="14" fillId="10" borderId="5" xfId="0" applyFont="1" applyFill="1" applyBorder="1" applyAlignment="1">
      <alignment horizontal="center" vertical="center"/>
    </xf>
    <xf numFmtId="0" fontId="14" fillId="10" borderId="6" xfId="0" applyFont="1" applyFill="1" applyBorder="1" applyAlignment="1">
      <alignment horizontal="center" vertical="center"/>
    </xf>
    <xf numFmtId="0" fontId="14" fillId="10" borderId="19" xfId="0" applyFont="1" applyFill="1" applyBorder="1" applyAlignment="1">
      <alignment horizontal="center" vertical="center"/>
    </xf>
    <xf numFmtId="0" fontId="87" fillId="54" borderId="5" xfId="0" applyFont="1" applyFill="1" applyBorder="1" applyAlignment="1">
      <alignment horizontal="center" vertical="center"/>
    </xf>
    <xf numFmtId="0" fontId="87" fillId="54" borderId="6" xfId="0" applyFont="1" applyFill="1" applyBorder="1" applyAlignment="1">
      <alignment horizontal="center" vertical="center"/>
    </xf>
    <xf numFmtId="0" fontId="87" fillId="54" borderId="19" xfId="0" applyFont="1" applyFill="1" applyBorder="1" applyAlignment="1">
      <alignment horizontal="center" vertical="center"/>
    </xf>
    <xf numFmtId="0" fontId="87" fillId="55" borderId="5" xfId="0" applyFont="1" applyFill="1" applyBorder="1" applyAlignment="1">
      <alignment horizontal="center" vertical="center"/>
    </xf>
    <xf numFmtId="0" fontId="87" fillId="55" borderId="6" xfId="0" applyFont="1" applyFill="1" applyBorder="1" applyAlignment="1">
      <alignment horizontal="center" vertical="center"/>
    </xf>
    <xf numFmtId="0" fontId="87" fillId="55" borderId="19" xfId="0" applyFont="1" applyFill="1" applyBorder="1" applyAlignment="1">
      <alignment horizontal="center" vertical="center"/>
    </xf>
    <xf numFmtId="0" fontId="9" fillId="10" borderId="27" xfId="0" applyFont="1" applyFill="1" applyBorder="1" applyAlignment="1">
      <alignment horizontal="center" vertical="center"/>
    </xf>
    <xf numFmtId="0" fontId="9" fillId="10" borderId="59" xfId="0" applyFont="1" applyFill="1" applyBorder="1" applyAlignment="1">
      <alignment horizontal="center" vertical="center"/>
    </xf>
    <xf numFmtId="0" fontId="43" fillId="9" borderId="0" xfId="0" applyFont="1" applyFill="1" applyAlignment="1">
      <alignment horizontal="left" vertical="center" indent="14"/>
    </xf>
    <xf numFmtId="0" fontId="44" fillId="5" borderId="0" xfId="0" applyFont="1" applyFill="1" applyAlignment="1">
      <alignment horizontal="left" vertical="center" wrapText="1" indent="14"/>
    </xf>
    <xf numFmtId="14" fontId="12" fillId="11" borderId="0" xfId="0" applyNumberFormat="1" applyFont="1" applyFill="1" applyAlignment="1">
      <alignment horizontal="left" vertical="center" indent="3"/>
    </xf>
    <xf numFmtId="0" fontId="43" fillId="9" borderId="0" xfId="0" applyFont="1" applyFill="1" applyAlignment="1">
      <alignment horizontal="left" vertical="center" indent="13"/>
    </xf>
    <xf numFmtId="0" fontId="61" fillId="5" borderId="0" xfId="0" applyFont="1" applyFill="1" applyAlignment="1">
      <alignment horizontal="left" vertical="center" wrapText="1" indent="11"/>
    </xf>
    <xf numFmtId="14" fontId="4" fillId="11" borderId="0" xfId="0" applyNumberFormat="1" applyFont="1" applyFill="1" applyAlignment="1">
      <alignment horizontal="left" vertical="center" indent="3"/>
    </xf>
    <xf numFmtId="0" fontId="11"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400">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DCC5ED"/>
      <color rgb="FFFF0000"/>
      <color rgb="FF9900FF"/>
      <color rgb="FF66FFFF"/>
      <color rgb="FF6600FF"/>
      <color rgb="FFB07BD7"/>
      <color rgb="FF0066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HMIP caseload cluster'!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9.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3.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7.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8.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0.xml.rels><?xml version="1.0" encoding="UTF-8" standalone="yes"?>
<Relationships xmlns="http://schemas.openxmlformats.org/package/2006/relationships"><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5.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6.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8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348477</xdr:colOff>
      <xdr:row>21</xdr:row>
      <xdr:rowOff>58080</xdr:rowOff>
    </xdr:from>
    <xdr:to>
      <xdr:col>10</xdr:col>
      <xdr:colOff>429789</xdr:colOff>
      <xdr:row>23</xdr:row>
      <xdr:rowOff>192858</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6609422" y="5366525"/>
          <a:ext cx="4506952" cy="564565"/>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171450</xdr:rowOff>
    </xdr:from>
    <xdr:to>
      <xdr:col>16</xdr:col>
      <xdr:colOff>581025</xdr:colOff>
      <xdr:row>28</xdr:row>
      <xdr:rowOff>158750</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800"/>
          <a:ext cx="9886950" cy="513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offenders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origonally allocated points from that division or cluster to get an overall percentage capacity for that division or cluster. The HMIP tabs show the average capacity of an OM in a region or cluster and excludes OMs who currently do not have any assigned capacity points (hence some variation in results).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165287</xdr:colOff>
      <xdr:row>0</xdr:row>
      <xdr:rowOff>344020</xdr:rowOff>
    </xdr:from>
    <xdr:to>
      <xdr:col>1</xdr:col>
      <xdr:colOff>728382</xdr:colOff>
      <xdr:row>2</xdr:row>
      <xdr:rowOff>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5287" y="344020"/>
          <a:ext cx="832036" cy="49642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5.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showRowColHeaders="0" tabSelected="1" zoomScale="82" zoomScaleNormal="82" zoomScaleSheetLayoutView="85" workbookViewId="0">
      <selection activeCell="B25" sqref="B25"/>
    </sheetView>
  </sheetViews>
  <sheetFormatPr baseColWidth="10" defaultColWidth="8.83203125" defaultRowHeight="14" x14ac:dyDescent="0.15"/>
  <cols>
    <col min="1" max="1" width="3.1640625" customWidth="1"/>
    <col min="2" max="2" width="77" customWidth="1"/>
    <col min="9" max="9" width="21.5" customWidth="1"/>
    <col min="10" max="10" width="9.5" bestFit="1" customWidth="1"/>
    <col min="15" max="15" width="66.33203125" customWidth="1"/>
    <col min="17" max="17" width="63.5" style="349" bestFit="1" customWidth="1"/>
    <col min="27" max="27" width="6.5" customWidth="1"/>
  </cols>
  <sheetData>
    <row r="1" spans="1:27" ht="45" customHeight="1" x14ac:dyDescent="0.15">
      <c r="B1" s="401" t="s">
        <v>0</v>
      </c>
      <c r="C1" s="401"/>
      <c r="D1" s="401"/>
      <c r="E1" s="401"/>
      <c r="F1" s="401"/>
      <c r="G1" s="401"/>
      <c r="H1" s="401"/>
      <c r="I1" s="401"/>
      <c r="J1" s="401"/>
      <c r="K1" s="401"/>
      <c r="L1" s="401"/>
      <c r="M1" s="401"/>
    </row>
    <row r="2" spans="1:27" x14ac:dyDescent="0.15">
      <c r="A2" s="9"/>
    </row>
    <row r="3" spans="1:27" ht="21.75" customHeight="1" x14ac:dyDescent="0.2">
      <c r="B3" s="357"/>
      <c r="C3" s="206"/>
      <c r="D3" s="206"/>
    </row>
    <row r="4" spans="1:27" ht="18" customHeight="1" x14ac:dyDescent="0.15">
      <c r="C4" s="205"/>
      <c r="D4" s="205"/>
      <c r="O4" s="347"/>
      <c r="P4" s="348"/>
      <c r="Q4" s="350"/>
      <c r="R4" s="348"/>
      <c r="S4" s="348"/>
      <c r="T4" s="348"/>
      <c r="U4" s="348"/>
      <c r="V4" s="348"/>
      <c r="W4" s="348"/>
      <c r="X4" s="348"/>
      <c r="Y4" s="348"/>
      <c r="Z4" s="348"/>
      <c r="AA4" s="348"/>
    </row>
    <row r="5" spans="1:27" ht="23.25" customHeight="1" x14ac:dyDescent="0.15">
      <c r="B5" s="358" t="s">
        <v>1325</v>
      </c>
      <c r="C5" s="205"/>
      <c r="D5" s="205"/>
      <c r="O5" s="359" t="s">
        <v>1324</v>
      </c>
      <c r="P5" s="348"/>
      <c r="Q5" s="350"/>
      <c r="R5" s="348"/>
      <c r="S5" s="348"/>
      <c r="T5" s="348"/>
      <c r="U5" s="348"/>
      <c r="V5" s="348"/>
      <c r="W5" s="348"/>
      <c r="X5" s="348"/>
      <c r="Y5" s="348"/>
      <c r="Z5" s="348"/>
      <c r="AA5" s="348"/>
    </row>
    <row r="6" spans="1:27" ht="18" customHeight="1" x14ac:dyDescent="0.2">
      <c r="B6" s="361" t="s">
        <v>3</v>
      </c>
      <c r="C6" s="205"/>
      <c r="D6" s="205"/>
      <c r="O6" s="362" t="s">
        <v>9</v>
      </c>
      <c r="P6" s="59"/>
      <c r="R6" s="59"/>
      <c r="S6" s="60"/>
    </row>
    <row r="7" spans="1:27" ht="18" customHeight="1" x14ac:dyDescent="0.15">
      <c r="B7" s="361" t="s">
        <v>1323</v>
      </c>
      <c r="C7" s="205"/>
      <c r="D7" s="205"/>
      <c r="O7" s="362" t="s">
        <v>10</v>
      </c>
      <c r="P7" s="348"/>
      <c r="R7" s="348"/>
      <c r="S7" s="348"/>
      <c r="T7" s="348"/>
      <c r="U7" s="348"/>
      <c r="V7" s="348"/>
      <c r="W7" s="348"/>
      <c r="X7" s="348"/>
      <c r="Y7" s="348"/>
      <c r="Z7" s="348"/>
      <c r="AA7" s="348"/>
    </row>
    <row r="8" spans="1:27" ht="18" customHeight="1" x14ac:dyDescent="0.2">
      <c r="B8" s="362" t="s">
        <v>1346</v>
      </c>
      <c r="C8" s="205"/>
      <c r="D8" s="205"/>
      <c r="O8" s="360"/>
      <c r="P8" s="59"/>
      <c r="R8" s="60"/>
    </row>
    <row r="9" spans="1:27" ht="18" customHeight="1" x14ac:dyDescent="0.15">
      <c r="B9" s="362" t="s">
        <v>5</v>
      </c>
      <c r="C9" s="205"/>
      <c r="D9" s="205"/>
      <c r="O9" s="359" t="s">
        <v>1326</v>
      </c>
      <c r="P9" s="348"/>
      <c r="R9" s="348"/>
      <c r="S9" s="348"/>
      <c r="T9" s="348"/>
      <c r="U9" s="348"/>
      <c r="V9" s="348"/>
      <c r="W9" s="348"/>
      <c r="X9" s="348"/>
      <c r="Y9" s="348"/>
      <c r="Z9" s="348"/>
      <c r="AA9" s="348"/>
    </row>
    <row r="10" spans="1:27" ht="17.25" customHeight="1" x14ac:dyDescent="0.2">
      <c r="B10" s="362" t="s">
        <v>6</v>
      </c>
      <c r="C10" s="205"/>
      <c r="D10" s="205"/>
      <c r="O10" s="362" t="s">
        <v>1329</v>
      </c>
      <c r="P10" s="59"/>
      <c r="Q10" s="351"/>
      <c r="R10" s="59"/>
      <c r="S10" s="60"/>
    </row>
    <row r="11" spans="1:27" ht="18" customHeight="1" x14ac:dyDescent="0.2">
      <c r="B11" s="362" t="s">
        <v>8</v>
      </c>
      <c r="O11" s="362" t="s">
        <v>4</v>
      </c>
      <c r="P11" s="210"/>
      <c r="Q11" s="352"/>
      <c r="R11" s="210"/>
      <c r="S11" s="210"/>
    </row>
    <row r="12" spans="1:27" ht="19.5" customHeight="1" x14ac:dyDescent="0.2">
      <c r="B12" s="362" t="s">
        <v>11</v>
      </c>
      <c r="O12" s="362" t="s">
        <v>7</v>
      </c>
      <c r="P12" s="209"/>
      <c r="Q12" s="353"/>
      <c r="R12" s="209"/>
      <c r="S12" s="209"/>
    </row>
    <row r="13" spans="1:27" ht="18" x14ac:dyDescent="0.2">
      <c r="B13" s="362" t="s">
        <v>12</v>
      </c>
      <c r="O13" s="362" t="s">
        <v>1328</v>
      </c>
      <c r="P13" s="210"/>
      <c r="Q13" s="352"/>
      <c r="R13" s="210"/>
      <c r="S13" s="210"/>
    </row>
    <row r="14" spans="1:27" ht="18" x14ac:dyDescent="0.2">
      <c r="B14" s="362" t="s">
        <v>13</v>
      </c>
      <c r="O14" s="360"/>
      <c r="P14" s="210"/>
      <c r="Q14" s="210"/>
      <c r="R14" s="210"/>
      <c r="S14" s="210"/>
      <c r="T14" s="210"/>
    </row>
    <row r="15" spans="1:27" ht="20" x14ac:dyDescent="0.2">
      <c r="B15" s="362" t="s">
        <v>14</v>
      </c>
      <c r="O15" s="359" t="s">
        <v>1327</v>
      </c>
      <c r="P15" s="210"/>
      <c r="Q15" s="210"/>
      <c r="R15" s="210"/>
      <c r="S15" s="210"/>
    </row>
    <row r="16" spans="1:27" ht="18" x14ac:dyDescent="0.2">
      <c r="B16" s="362" t="s">
        <v>15</v>
      </c>
      <c r="O16" s="362" t="s">
        <v>1</v>
      </c>
      <c r="P16" s="210"/>
      <c r="Q16" s="352"/>
      <c r="R16" s="210"/>
      <c r="S16" s="210"/>
    </row>
    <row r="17" spans="2:19" ht="18" x14ac:dyDescent="0.2">
      <c r="B17" s="362" t="s">
        <v>16</v>
      </c>
      <c r="O17" s="362" t="s">
        <v>2</v>
      </c>
      <c r="P17" s="210"/>
      <c r="Q17" s="352"/>
      <c r="R17" s="210"/>
      <c r="S17" s="210"/>
    </row>
    <row r="18" spans="2:19" ht="18" x14ac:dyDescent="0.2">
      <c r="B18" s="362" t="s">
        <v>1316</v>
      </c>
      <c r="P18" s="210"/>
      <c r="Q18" s="352"/>
      <c r="R18" s="210"/>
      <c r="S18" s="210"/>
    </row>
    <row r="19" spans="2:19" ht="18" x14ac:dyDescent="0.2">
      <c r="O19" s="346"/>
      <c r="P19" s="210"/>
      <c r="Q19" s="352"/>
      <c r="R19" s="210"/>
      <c r="S19" s="210"/>
    </row>
    <row r="20" spans="2:19" ht="18" x14ac:dyDescent="0.2">
      <c r="O20" s="60"/>
      <c r="P20" s="210"/>
      <c r="Q20" s="352"/>
      <c r="R20" s="210"/>
      <c r="S20" s="210"/>
    </row>
    <row r="21" spans="2:19" x14ac:dyDescent="0.15">
      <c r="O21" s="345"/>
    </row>
    <row r="22" spans="2:19" ht="18" x14ac:dyDescent="0.2">
      <c r="B22" s="393"/>
      <c r="O22" s="60"/>
      <c r="P22" s="346"/>
      <c r="Q22" s="354"/>
      <c r="R22" s="346"/>
      <c r="S22" s="346"/>
    </row>
    <row r="23" spans="2:19" ht="18" x14ac:dyDescent="0.2">
      <c r="O23" s="209"/>
      <c r="P23" s="60"/>
      <c r="Q23" s="355"/>
      <c r="R23" s="60"/>
      <c r="S23" s="60"/>
    </row>
    <row r="24" spans="2:19" ht="18" x14ac:dyDescent="0.2">
      <c r="O24" s="60"/>
      <c r="P24" s="345"/>
      <c r="Q24" s="356"/>
      <c r="R24" s="345"/>
      <c r="S24" s="345"/>
    </row>
    <row r="25" spans="2:19" ht="18" x14ac:dyDescent="0.2">
      <c r="P25" s="60"/>
      <c r="Q25" s="355"/>
      <c r="R25" s="60"/>
      <c r="S25" s="60"/>
    </row>
    <row r="26" spans="2:19" ht="18" x14ac:dyDescent="0.2">
      <c r="P26" s="209"/>
      <c r="Q26" s="353"/>
      <c r="R26" s="209"/>
      <c r="S26" s="209"/>
    </row>
    <row r="27" spans="2:19" ht="18" x14ac:dyDescent="0.2">
      <c r="P27" s="60"/>
      <c r="Q27" s="355"/>
      <c r="R27" s="60"/>
      <c r="S27" s="60"/>
    </row>
    <row r="33" spans="2:10" x14ac:dyDescent="0.15">
      <c r="J33" s="7"/>
    </row>
    <row r="41" spans="2:10" x14ac:dyDescent="0.15">
      <c r="C41" s="53"/>
    </row>
    <row r="46" spans="2:10" x14ac:dyDescent="0.15">
      <c r="B46" s="53"/>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9"/>
  <sheetViews>
    <sheetView topLeftCell="R1" zoomScaleNormal="100" workbookViewId="0">
      <selection activeCell="S26" sqref="S26"/>
    </sheetView>
  </sheetViews>
  <sheetFormatPr baseColWidth="10" defaultColWidth="8.83203125" defaultRowHeight="15" x14ac:dyDescent="0.2"/>
  <cols>
    <col min="1" max="1" width="31.5" style="245" bestFit="1" customWidth="1"/>
    <col min="2" max="2" width="29.5" style="245" bestFit="1" customWidth="1"/>
    <col min="3" max="3" width="26.5" style="245" bestFit="1" customWidth="1"/>
    <col min="4" max="4" width="31.83203125" style="245" customWidth="1"/>
    <col min="5" max="5" width="51.1640625" style="245" bestFit="1" customWidth="1"/>
    <col min="6" max="6" width="45.5" style="245" bestFit="1" customWidth="1"/>
    <col min="7" max="7" width="26.5" style="245" bestFit="1" customWidth="1"/>
    <col min="8" max="8" width="34.5" style="245" bestFit="1" customWidth="1"/>
    <col min="9" max="9" width="50.83203125" style="245" bestFit="1" customWidth="1"/>
    <col min="10" max="10" width="23.1640625" style="245" bestFit="1" customWidth="1"/>
    <col min="11" max="11" width="31.5" style="245" bestFit="1" customWidth="1"/>
    <col min="12" max="12" width="53.5" style="245" customWidth="1"/>
    <col min="13" max="13" width="26.5" style="245" bestFit="1" customWidth="1"/>
    <col min="14" max="14" width="44.5" style="245" bestFit="1" customWidth="1"/>
    <col min="15" max="15" width="31.83203125" style="245" bestFit="1" customWidth="1"/>
    <col min="16" max="16" width="39.5" style="245" customWidth="1"/>
    <col min="17" max="17" width="33.5" style="245" bestFit="1" customWidth="1"/>
    <col min="18" max="18" width="55.1640625" style="245" bestFit="1" customWidth="1"/>
    <col min="19" max="19" width="30.5" style="247" bestFit="1" customWidth="1"/>
    <col min="20" max="20" width="41.5" style="245" bestFit="1" customWidth="1"/>
    <col min="21" max="22" width="45.1640625" style="245" customWidth="1"/>
    <col min="23" max="23" width="46.83203125" style="245" bestFit="1" customWidth="1"/>
    <col min="24" max="24" width="35.5" style="245" bestFit="1" customWidth="1"/>
    <col min="25" max="25" width="45.1640625" style="245" bestFit="1" customWidth="1"/>
    <col min="26" max="16384" width="8.83203125" style="245"/>
  </cols>
  <sheetData>
    <row r="1" spans="1:25" s="251" customFormat="1" x14ac:dyDescent="0.2">
      <c r="A1" s="248" t="s">
        <v>17</v>
      </c>
      <c r="B1" s="248" t="s">
        <v>18</v>
      </c>
      <c r="C1" s="248" t="s">
        <v>19</v>
      </c>
      <c r="D1" s="248" t="s">
        <v>20</v>
      </c>
      <c r="E1" s="248" t="s">
        <v>21</v>
      </c>
      <c r="F1" s="248" t="s">
        <v>22</v>
      </c>
      <c r="G1" s="248" t="s">
        <v>23</v>
      </c>
      <c r="H1" s="248" t="s">
        <v>24</v>
      </c>
      <c r="I1" s="248" t="s">
        <v>25</v>
      </c>
      <c r="J1" s="248" t="s">
        <v>26</v>
      </c>
      <c r="K1" s="248" t="s">
        <v>27</v>
      </c>
      <c r="L1" s="248" t="s">
        <v>28</v>
      </c>
      <c r="M1" s="249"/>
      <c r="N1" s="250" t="s">
        <v>17</v>
      </c>
      <c r="O1" s="331" t="s">
        <v>18</v>
      </c>
      <c r="P1" s="332" t="s">
        <v>19</v>
      </c>
      <c r="Q1" s="319" t="s">
        <v>20</v>
      </c>
      <c r="R1" s="332" t="s">
        <v>21</v>
      </c>
      <c r="S1" s="333" t="s">
        <v>22</v>
      </c>
      <c r="T1" s="332" t="s">
        <v>23</v>
      </c>
      <c r="U1" s="319" t="s">
        <v>24</v>
      </c>
      <c r="V1" s="319" t="s">
        <v>25</v>
      </c>
      <c r="W1" s="305" t="s">
        <v>26</v>
      </c>
      <c r="X1" s="249" t="s">
        <v>27</v>
      </c>
      <c r="Y1" s="331" t="s">
        <v>28</v>
      </c>
    </row>
    <row r="2" spans="1:25" x14ac:dyDescent="0.2">
      <c r="A2" s="245" t="s">
        <v>29</v>
      </c>
      <c r="B2" s="245" t="s">
        <v>30</v>
      </c>
      <c r="C2" s="245" t="s">
        <v>31</v>
      </c>
      <c r="D2" s="245" t="s">
        <v>32</v>
      </c>
      <c r="E2" s="254" t="s">
        <v>1352</v>
      </c>
      <c r="F2" s="245" t="s">
        <v>34</v>
      </c>
      <c r="G2" s="245" t="s">
        <v>35</v>
      </c>
      <c r="H2" s="245" t="s">
        <v>36</v>
      </c>
      <c r="I2" s="245" t="s">
        <v>37</v>
      </c>
      <c r="J2" s="245" t="s">
        <v>38</v>
      </c>
      <c r="K2" s="245" t="s">
        <v>39</v>
      </c>
      <c r="L2" s="245" t="s">
        <v>62</v>
      </c>
      <c r="N2" s="338" t="s">
        <v>41</v>
      </c>
      <c r="O2" s="339" t="s">
        <v>42</v>
      </c>
      <c r="P2" s="338" t="s">
        <v>43</v>
      </c>
      <c r="Q2" s="339" t="s">
        <v>66</v>
      </c>
      <c r="R2" s="338" t="s">
        <v>45</v>
      </c>
      <c r="S2" s="341" t="s">
        <v>46</v>
      </c>
      <c r="T2" s="338" t="s">
        <v>47</v>
      </c>
      <c r="U2" s="344" t="s">
        <v>1206</v>
      </c>
      <c r="V2" s="342" t="s">
        <v>1288</v>
      </c>
      <c r="W2" s="338" t="s">
        <v>48</v>
      </c>
      <c r="X2" s="338" t="s">
        <v>49</v>
      </c>
      <c r="Y2" s="339" t="s">
        <v>50</v>
      </c>
    </row>
    <row r="3" spans="1:25" x14ac:dyDescent="0.2">
      <c r="A3" s="245" t="s">
        <v>51</v>
      </c>
      <c r="B3" s="245" t="s">
        <v>52</v>
      </c>
      <c r="C3" s="245" t="s">
        <v>53</v>
      </c>
      <c r="D3" s="245" t="s">
        <v>54</v>
      </c>
      <c r="E3" s="245" t="s">
        <v>33</v>
      </c>
      <c r="F3" s="245" t="s">
        <v>56</v>
      </c>
      <c r="G3" s="245" t="s">
        <v>57</v>
      </c>
      <c r="H3" s="245" t="s">
        <v>58</v>
      </c>
      <c r="I3" s="245" t="s">
        <v>59</v>
      </c>
      <c r="J3" s="245" t="s">
        <v>60</v>
      </c>
      <c r="K3" s="245" t="s">
        <v>61</v>
      </c>
      <c r="L3" s="245" t="s">
        <v>83</v>
      </c>
      <c r="N3" s="338" t="s">
        <v>63</v>
      </c>
      <c r="O3" s="339" t="s">
        <v>64</v>
      </c>
      <c r="P3" s="338" t="s">
        <v>65</v>
      </c>
      <c r="Q3" s="339" t="s">
        <v>87</v>
      </c>
      <c r="R3" s="338" t="s">
        <v>67</v>
      </c>
      <c r="S3" s="341" t="s">
        <v>68</v>
      </c>
      <c r="T3" s="338" t="s">
        <v>69</v>
      </c>
      <c r="U3" s="344" t="s">
        <v>1207</v>
      </c>
      <c r="V3" s="342" t="s">
        <v>1289</v>
      </c>
      <c r="W3" s="338" t="s">
        <v>91</v>
      </c>
      <c r="X3" s="338" t="s">
        <v>271</v>
      </c>
      <c r="Y3" s="339" t="s">
        <v>71</v>
      </c>
    </row>
    <row r="4" spans="1:25" x14ac:dyDescent="0.2">
      <c r="A4" s="245" t="s">
        <v>72</v>
      </c>
      <c r="B4" s="245" t="s">
        <v>73</v>
      </c>
      <c r="C4" s="245" t="s">
        <v>74</v>
      </c>
      <c r="D4" s="245" t="s">
        <v>75</v>
      </c>
      <c r="E4" s="245" t="s">
        <v>55</v>
      </c>
      <c r="F4" s="245" t="s">
        <v>77</v>
      </c>
      <c r="G4" s="245" t="s">
        <v>78</v>
      </c>
      <c r="H4" s="245" t="s">
        <v>79</v>
      </c>
      <c r="I4" s="245" t="s">
        <v>80</v>
      </c>
      <c r="J4" s="245" t="s">
        <v>81</v>
      </c>
      <c r="K4" s="245" t="s">
        <v>82</v>
      </c>
      <c r="L4" s="245" t="s">
        <v>105</v>
      </c>
      <c r="N4" s="338" t="s">
        <v>84</v>
      </c>
      <c r="O4" s="339" t="s">
        <v>85</v>
      </c>
      <c r="P4" s="338" t="s">
        <v>86</v>
      </c>
      <c r="Q4" s="339" t="s">
        <v>109</v>
      </c>
      <c r="R4" s="338" t="s">
        <v>88</v>
      </c>
      <c r="S4" s="338" t="s">
        <v>89</v>
      </c>
      <c r="T4" s="338" t="s">
        <v>90</v>
      </c>
      <c r="U4" s="344" t="s">
        <v>1208</v>
      </c>
      <c r="V4" s="342" t="s">
        <v>1290</v>
      </c>
      <c r="W4" s="338" t="s">
        <v>113</v>
      </c>
      <c r="X4" s="338" t="s">
        <v>286</v>
      </c>
      <c r="Y4" s="339" t="s">
        <v>93</v>
      </c>
    </row>
    <row r="5" spans="1:25" x14ac:dyDescent="0.2">
      <c r="A5" s="245" t="s">
        <v>94</v>
      </c>
      <c r="B5" s="245" t="s">
        <v>95</v>
      </c>
      <c r="C5" s="245" t="s">
        <v>96</v>
      </c>
      <c r="D5" s="245" t="s">
        <v>97</v>
      </c>
      <c r="E5" s="245" t="s">
        <v>76</v>
      </c>
      <c r="F5" s="245" t="s">
        <v>99</v>
      </c>
      <c r="G5" s="245" t="s">
        <v>100</v>
      </c>
      <c r="H5" s="245" t="s">
        <v>101</v>
      </c>
      <c r="I5" s="245" t="s">
        <v>102</v>
      </c>
      <c r="J5" s="245" t="s">
        <v>103</v>
      </c>
      <c r="K5" s="245" t="s">
        <v>104</v>
      </c>
      <c r="L5" s="245" t="s">
        <v>127</v>
      </c>
      <c r="N5" s="338" t="s">
        <v>106</v>
      </c>
      <c r="O5" s="339" t="s">
        <v>107</v>
      </c>
      <c r="P5" s="338" t="s">
        <v>108</v>
      </c>
      <c r="Q5" s="339" t="s">
        <v>131</v>
      </c>
      <c r="R5" s="338" t="s">
        <v>110</v>
      </c>
      <c r="S5" s="338" t="s">
        <v>111</v>
      </c>
      <c r="T5" s="338" t="s">
        <v>112</v>
      </c>
      <c r="U5" s="344" t="s">
        <v>1209</v>
      </c>
      <c r="V5" s="342" t="s">
        <v>1291</v>
      </c>
      <c r="W5" s="338" t="s">
        <v>134</v>
      </c>
      <c r="X5" s="338" t="s">
        <v>70</v>
      </c>
      <c r="Y5" s="339" t="s">
        <v>1349</v>
      </c>
    </row>
    <row r="6" spans="1:25" x14ac:dyDescent="0.2">
      <c r="A6" s="245" t="s">
        <v>116</v>
      </c>
      <c r="B6" s="245" t="s">
        <v>117</v>
      </c>
      <c r="C6" s="245" t="s">
        <v>118</v>
      </c>
      <c r="D6" s="245" t="s">
        <v>119</v>
      </c>
      <c r="E6" s="245" t="s">
        <v>98</v>
      </c>
      <c r="F6" s="245" t="s">
        <v>121</v>
      </c>
      <c r="G6" s="245" t="s">
        <v>122</v>
      </c>
      <c r="H6" s="245" t="s">
        <v>123</v>
      </c>
      <c r="I6" s="245" t="s">
        <v>124</v>
      </c>
      <c r="J6" s="245" t="s">
        <v>125</v>
      </c>
      <c r="K6" s="245" t="s">
        <v>126</v>
      </c>
      <c r="L6" s="245" t="s">
        <v>148</v>
      </c>
      <c r="N6" s="338" t="s">
        <v>128</v>
      </c>
      <c r="O6" s="339" t="s">
        <v>129</v>
      </c>
      <c r="P6" s="338" t="s">
        <v>130</v>
      </c>
      <c r="Q6" s="339" t="s">
        <v>152</v>
      </c>
      <c r="R6" s="338" t="s">
        <v>132</v>
      </c>
      <c r="S6" s="338" t="s">
        <v>1276</v>
      </c>
      <c r="T6" s="338" t="s">
        <v>133</v>
      </c>
      <c r="U6" s="344" t="s">
        <v>1210</v>
      </c>
      <c r="V6" s="342" t="s">
        <v>1292</v>
      </c>
      <c r="W6" s="338" t="s">
        <v>155</v>
      </c>
      <c r="X6" s="338" t="s">
        <v>92</v>
      </c>
      <c r="Y6" s="339" t="s">
        <v>115</v>
      </c>
    </row>
    <row r="7" spans="1:25" x14ac:dyDescent="0.2">
      <c r="A7" s="245" t="s">
        <v>137</v>
      </c>
      <c r="B7" s="245" t="s">
        <v>138</v>
      </c>
      <c r="C7" s="245" t="s">
        <v>139</v>
      </c>
      <c r="D7" s="245" t="s">
        <v>140</v>
      </c>
      <c r="E7" s="245" t="s">
        <v>120</v>
      </c>
      <c r="F7" s="245" t="s">
        <v>142</v>
      </c>
      <c r="G7" s="245" t="s">
        <v>143</v>
      </c>
      <c r="H7" s="245" t="s">
        <v>144</v>
      </c>
      <c r="I7" s="245" t="s">
        <v>145</v>
      </c>
      <c r="J7" s="245" t="s">
        <v>146</v>
      </c>
      <c r="K7" s="245" t="s">
        <v>147</v>
      </c>
      <c r="L7" s="245" t="s">
        <v>169</v>
      </c>
      <c r="N7" s="338" t="s">
        <v>149</v>
      </c>
      <c r="O7" s="339" t="s">
        <v>150</v>
      </c>
      <c r="P7" s="338" t="s">
        <v>151</v>
      </c>
      <c r="Q7" s="339" t="s">
        <v>173</v>
      </c>
      <c r="R7" s="338" t="s">
        <v>153</v>
      </c>
      <c r="S7" s="338" t="s">
        <v>1277</v>
      </c>
      <c r="T7" s="338" t="s">
        <v>154</v>
      </c>
      <c r="U7" s="344" t="s">
        <v>1211</v>
      </c>
      <c r="V7" s="342" t="s">
        <v>1293</v>
      </c>
      <c r="W7" s="338" t="s">
        <v>176</v>
      </c>
      <c r="X7" s="338" t="s">
        <v>114</v>
      </c>
      <c r="Y7" s="339" t="s">
        <v>136</v>
      </c>
    </row>
    <row r="8" spans="1:25" x14ac:dyDescent="0.2">
      <c r="A8" s="245" t="s">
        <v>158</v>
      </c>
      <c r="B8" s="245" t="s">
        <v>159</v>
      </c>
      <c r="C8" s="245" t="s">
        <v>160</v>
      </c>
      <c r="D8" s="245" t="s">
        <v>161</v>
      </c>
      <c r="E8" s="245" t="s">
        <v>141</v>
      </c>
      <c r="F8" s="245" t="s">
        <v>163</v>
      </c>
      <c r="G8" s="245" t="s">
        <v>164</v>
      </c>
      <c r="H8" s="245" t="s">
        <v>165</v>
      </c>
      <c r="I8" s="245" t="s">
        <v>166</v>
      </c>
      <c r="J8" s="245" t="s">
        <v>167</v>
      </c>
      <c r="K8" s="245" t="s">
        <v>168</v>
      </c>
      <c r="L8" s="245" t="s">
        <v>189</v>
      </c>
      <c r="N8" s="338" t="s">
        <v>170</v>
      </c>
      <c r="O8" s="339" t="s">
        <v>171</v>
      </c>
      <c r="P8" s="338" t="s">
        <v>172</v>
      </c>
      <c r="Q8" s="339" t="s">
        <v>193</v>
      </c>
      <c r="R8" s="338" t="s">
        <v>174</v>
      </c>
      <c r="S8" s="338" t="s">
        <v>1278</v>
      </c>
      <c r="T8" s="338" t="s">
        <v>175</v>
      </c>
      <c r="U8" s="344" t="s">
        <v>1212</v>
      </c>
      <c r="V8" s="339" t="s">
        <v>1286</v>
      </c>
      <c r="W8" s="338" t="s">
        <v>197</v>
      </c>
      <c r="X8" s="338" t="s">
        <v>135</v>
      </c>
      <c r="Y8" s="339" t="s">
        <v>157</v>
      </c>
    </row>
    <row r="9" spans="1:25" x14ac:dyDescent="0.2">
      <c r="A9" s="245" t="s">
        <v>179</v>
      </c>
      <c r="B9" s="245" t="s">
        <v>180</v>
      </c>
      <c r="C9" s="245" t="s">
        <v>181</v>
      </c>
      <c r="E9" s="245" t="s">
        <v>162</v>
      </c>
      <c r="F9" s="245" t="s">
        <v>183</v>
      </c>
      <c r="G9" s="245" t="s">
        <v>184</v>
      </c>
      <c r="H9" s="245" t="s">
        <v>185</v>
      </c>
      <c r="I9" s="245" t="s">
        <v>186</v>
      </c>
      <c r="J9" s="245" t="s">
        <v>187</v>
      </c>
      <c r="K9" s="245" t="s">
        <v>188</v>
      </c>
      <c r="L9" s="245" t="s">
        <v>208</v>
      </c>
      <c r="N9" s="338" t="s">
        <v>190</v>
      </c>
      <c r="O9" s="339" t="s">
        <v>191</v>
      </c>
      <c r="P9" s="338" t="s">
        <v>192</v>
      </c>
      <c r="Q9" s="339" t="s">
        <v>211</v>
      </c>
      <c r="R9" s="338" t="s">
        <v>194</v>
      </c>
      <c r="S9" s="338" t="s">
        <v>1279</v>
      </c>
      <c r="T9" s="338" t="s">
        <v>195</v>
      </c>
      <c r="U9" s="344" t="s">
        <v>1272</v>
      </c>
      <c r="V9" s="339" t="s">
        <v>1287</v>
      </c>
      <c r="W9" s="338" t="s">
        <v>215</v>
      </c>
      <c r="X9" s="338" t="s">
        <v>156</v>
      </c>
      <c r="Y9" s="339" t="s">
        <v>178</v>
      </c>
    </row>
    <row r="10" spans="1:25" x14ac:dyDescent="0.2">
      <c r="B10" s="245" t="s">
        <v>200</v>
      </c>
      <c r="C10" s="245" t="s">
        <v>201</v>
      </c>
      <c r="E10" s="245" t="s">
        <v>182</v>
      </c>
      <c r="F10" s="245" t="s">
        <v>203</v>
      </c>
      <c r="G10" s="245" t="s">
        <v>204</v>
      </c>
      <c r="H10" s="245" t="s">
        <v>205</v>
      </c>
      <c r="I10" s="245" t="s">
        <v>206</v>
      </c>
      <c r="K10" s="245" t="s">
        <v>224</v>
      </c>
      <c r="L10" s="245" t="s">
        <v>225</v>
      </c>
      <c r="N10" s="338" t="s">
        <v>226</v>
      </c>
      <c r="O10" s="339" t="s">
        <v>209</v>
      </c>
      <c r="P10" s="338" t="s">
        <v>210</v>
      </c>
      <c r="Q10" s="339" t="s">
        <v>229</v>
      </c>
      <c r="R10" s="338" t="s">
        <v>212</v>
      </c>
      <c r="S10" s="338" t="s">
        <v>1280</v>
      </c>
      <c r="T10" s="338" t="s">
        <v>213</v>
      </c>
      <c r="U10" s="344" t="s">
        <v>1273</v>
      </c>
      <c r="V10" s="339" t="s">
        <v>1294</v>
      </c>
      <c r="W10" s="338" t="s">
        <v>234</v>
      </c>
      <c r="X10" s="338" t="s">
        <v>177</v>
      </c>
      <c r="Y10" s="339" t="s">
        <v>1350</v>
      </c>
    </row>
    <row r="11" spans="1:25" x14ac:dyDescent="0.2">
      <c r="B11" s="245" t="s">
        <v>218</v>
      </c>
      <c r="C11" s="245" t="s">
        <v>219</v>
      </c>
      <c r="E11" s="245" t="s">
        <v>202</v>
      </c>
      <c r="F11" s="245" t="s">
        <v>221</v>
      </c>
      <c r="G11" s="245" t="s">
        <v>222</v>
      </c>
      <c r="I11" s="245" t="s">
        <v>223</v>
      </c>
      <c r="K11" s="245" t="s">
        <v>242</v>
      </c>
      <c r="L11" s="245" t="s">
        <v>243</v>
      </c>
      <c r="N11" s="338" t="s">
        <v>244</v>
      </c>
      <c r="O11" s="339" t="s">
        <v>227</v>
      </c>
      <c r="P11" s="338" t="s">
        <v>228</v>
      </c>
      <c r="Q11" s="339" t="s">
        <v>246</v>
      </c>
      <c r="R11" s="338" t="s">
        <v>230</v>
      </c>
      <c r="S11" s="338" t="s">
        <v>1281</v>
      </c>
      <c r="T11" s="338" t="s">
        <v>232</v>
      </c>
      <c r="U11" s="339" t="s">
        <v>196</v>
      </c>
      <c r="V11" s="339" t="s">
        <v>1295</v>
      </c>
      <c r="W11" s="338" t="s">
        <v>250</v>
      </c>
      <c r="X11" s="338" t="s">
        <v>198</v>
      </c>
      <c r="Y11" s="339" t="s">
        <v>199</v>
      </c>
    </row>
    <row r="12" spans="1:25" x14ac:dyDescent="0.2">
      <c r="B12" s="245" t="s">
        <v>236</v>
      </c>
      <c r="C12" s="245" t="s">
        <v>237</v>
      </c>
      <c r="E12" s="245" t="s">
        <v>220</v>
      </c>
      <c r="F12" s="245" t="s">
        <v>239</v>
      </c>
      <c r="G12" s="245" t="s">
        <v>240</v>
      </c>
      <c r="I12" s="245" t="s">
        <v>241</v>
      </c>
      <c r="K12" s="245" t="s">
        <v>258</v>
      </c>
      <c r="L12" s="245" t="s">
        <v>259</v>
      </c>
      <c r="N12" s="338" t="s">
        <v>260</v>
      </c>
      <c r="O12" s="339" t="s">
        <v>261</v>
      </c>
      <c r="P12" s="338" t="s">
        <v>245</v>
      </c>
      <c r="Q12" s="339" t="s">
        <v>263</v>
      </c>
      <c r="R12" s="338" t="s">
        <v>247</v>
      </c>
      <c r="S12" s="338" t="s">
        <v>1282</v>
      </c>
      <c r="T12" s="338" t="s">
        <v>248</v>
      </c>
      <c r="U12" s="339" t="s">
        <v>214</v>
      </c>
      <c r="V12" s="339" t="s">
        <v>1296</v>
      </c>
      <c r="W12" s="338" t="s">
        <v>267</v>
      </c>
      <c r="X12" s="338" t="s">
        <v>216</v>
      </c>
      <c r="Y12" s="339" t="s">
        <v>217</v>
      </c>
    </row>
    <row r="13" spans="1:25" x14ac:dyDescent="0.2">
      <c r="B13" s="245" t="s">
        <v>253</v>
      </c>
      <c r="C13" s="245" t="s">
        <v>254</v>
      </c>
      <c r="E13" s="245" t="s">
        <v>238</v>
      </c>
      <c r="G13" s="245" t="s">
        <v>256</v>
      </c>
      <c r="I13" s="245" t="s">
        <v>257</v>
      </c>
      <c r="K13" s="245" t="s">
        <v>271</v>
      </c>
      <c r="L13" s="245" t="s">
        <v>272</v>
      </c>
      <c r="N13" s="338" t="s">
        <v>273</v>
      </c>
      <c r="O13" s="339" t="s">
        <v>274</v>
      </c>
      <c r="P13" s="338" t="s">
        <v>262</v>
      </c>
      <c r="Q13" s="339" t="s">
        <v>276</v>
      </c>
      <c r="R13" s="338" t="s">
        <v>264</v>
      </c>
      <c r="S13" s="338" t="s">
        <v>1283</v>
      </c>
      <c r="T13" s="338" t="s">
        <v>265</v>
      </c>
      <c r="U13" s="339" t="s">
        <v>233</v>
      </c>
      <c r="V13" s="339" t="s">
        <v>1297</v>
      </c>
      <c r="W13" s="338" t="s">
        <v>281</v>
      </c>
      <c r="X13" s="338" t="s">
        <v>251</v>
      </c>
      <c r="Y13" s="339" t="s">
        <v>235</v>
      </c>
    </row>
    <row r="14" spans="1:25" x14ac:dyDescent="0.2">
      <c r="E14" s="245" t="s">
        <v>255</v>
      </c>
      <c r="G14" s="245" t="s">
        <v>270</v>
      </c>
      <c r="K14" s="245" t="s">
        <v>286</v>
      </c>
      <c r="L14" s="245" t="s">
        <v>287</v>
      </c>
      <c r="N14" s="338" t="s">
        <v>288</v>
      </c>
      <c r="O14" s="339" t="s">
        <v>289</v>
      </c>
      <c r="P14" s="338" t="s">
        <v>275</v>
      </c>
      <c r="Q14" s="339" t="s">
        <v>291</v>
      </c>
      <c r="R14" s="338" t="s">
        <v>277</v>
      </c>
      <c r="S14" s="338" t="s">
        <v>1284</v>
      </c>
      <c r="T14" s="338" t="s">
        <v>279</v>
      </c>
      <c r="U14" s="339" t="s">
        <v>249</v>
      </c>
      <c r="V14" s="339" t="s">
        <v>1298</v>
      </c>
      <c r="W14" s="338" t="s">
        <v>297</v>
      </c>
      <c r="X14" s="338" t="s">
        <v>104</v>
      </c>
      <c r="Y14" s="397" t="s">
        <v>1363</v>
      </c>
    </row>
    <row r="15" spans="1:25" x14ac:dyDescent="0.2">
      <c r="E15" s="245" t="s">
        <v>269</v>
      </c>
      <c r="G15" s="245" t="s">
        <v>285</v>
      </c>
      <c r="K15" s="254" t="s">
        <v>1320</v>
      </c>
      <c r="L15" s="245" t="s">
        <v>302</v>
      </c>
      <c r="N15" s="338" t="s">
        <v>303</v>
      </c>
      <c r="O15" s="339" t="s">
        <v>317</v>
      </c>
      <c r="P15" s="338" t="s">
        <v>290</v>
      </c>
      <c r="Q15" s="339" t="s">
        <v>305</v>
      </c>
      <c r="R15" s="338" t="s">
        <v>292</v>
      </c>
      <c r="S15" s="338" t="s">
        <v>231</v>
      </c>
      <c r="T15" s="338" t="s">
        <v>294</v>
      </c>
      <c r="U15" s="339" t="s">
        <v>266</v>
      </c>
      <c r="V15" s="339" t="s">
        <v>1299</v>
      </c>
      <c r="W15" s="338" t="s">
        <v>310</v>
      </c>
      <c r="X15" s="338" t="s">
        <v>282</v>
      </c>
      <c r="Y15" s="339" t="s">
        <v>252</v>
      </c>
    </row>
    <row r="16" spans="1:25" x14ac:dyDescent="0.2">
      <c r="E16" s="245" t="s">
        <v>284</v>
      </c>
      <c r="G16" s="245" t="s">
        <v>301</v>
      </c>
      <c r="L16" s="245" t="s">
        <v>315</v>
      </c>
      <c r="N16" s="338" t="s">
        <v>316</v>
      </c>
      <c r="O16" s="339" t="s">
        <v>331</v>
      </c>
      <c r="P16" s="338" t="s">
        <v>304</v>
      </c>
      <c r="Q16" s="339" t="s">
        <v>319</v>
      </c>
      <c r="R16" s="338" t="s">
        <v>306</v>
      </c>
      <c r="S16" s="338" t="s">
        <v>278</v>
      </c>
      <c r="T16" s="338" t="s">
        <v>308</v>
      </c>
      <c r="U16" s="339" t="s">
        <v>280</v>
      </c>
      <c r="V16" s="339" t="s">
        <v>1300</v>
      </c>
      <c r="W16" s="338" t="s">
        <v>324</v>
      </c>
      <c r="X16" s="338" t="s">
        <v>298</v>
      </c>
      <c r="Y16" s="339" t="s">
        <v>268</v>
      </c>
    </row>
    <row r="17" spans="5:25" x14ac:dyDescent="0.2">
      <c r="E17" s="245" t="s">
        <v>300</v>
      </c>
      <c r="G17" s="245" t="s">
        <v>314</v>
      </c>
      <c r="L17" s="245" t="s">
        <v>329</v>
      </c>
      <c r="N17" s="338" t="s">
        <v>330</v>
      </c>
      <c r="O17" s="339" t="s">
        <v>344</v>
      </c>
      <c r="P17" s="338" t="s">
        <v>318</v>
      </c>
      <c r="Q17" s="339" t="s">
        <v>333</v>
      </c>
      <c r="R17" s="338" t="s">
        <v>320</v>
      </c>
      <c r="S17" s="254" t="s">
        <v>1371</v>
      </c>
      <c r="T17" s="338" t="s">
        <v>322</v>
      </c>
      <c r="U17" s="339" t="s">
        <v>295</v>
      </c>
      <c r="V17" s="339" t="s">
        <v>1301</v>
      </c>
      <c r="W17" s="338" t="s">
        <v>338</v>
      </c>
      <c r="X17" s="338" t="s">
        <v>311</v>
      </c>
      <c r="Y17" s="339" t="s">
        <v>283</v>
      </c>
    </row>
    <row r="18" spans="5:25" x14ac:dyDescent="0.2">
      <c r="E18" s="245" t="s">
        <v>313</v>
      </c>
      <c r="G18" s="245" t="s">
        <v>328</v>
      </c>
      <c r="N18" s="338" t="s">
        <v>343</v>
      </c>
      <c r="O18" s="339" t="s">
        <v>356</v>
      </c>
      <c r="P18" s="338" t="s">
        <v>332</v>
      </c>
      <c r="Q18" s="339" t="s">
        <v>346</v>
      </c>
      <c r="R18" s="338" t="s">
        <v>334</v>
      </c>
      <c r="S18" s="338" t="s">
        <v>293</v>
      </c>
      <c r="T18" s="338" t="s">
        <v>336</v>
      </c>
      <c r="U18" s="339" t="s">
        <v>309</v>
      </c>
      <c r="V18" s="339" t="s">
        <v>1302</v>
      </c>
      <c r="W18" s="338" t="s">
        <v>351</v>
      </c>
      <c r="X18" s="338" t="s">
        <v>325</v>
      </c>
      <c r="Y18" s="339" t="s">
        <v>299</v>
      </c>
    </row>
    <row r="19" spans="5:25" x14ac:dyDescent="0.2">
      <c r="E19" s="245" t="s">
        <v>327</v>
      </c>
      <c r="G19" s="245" t="s">
        <v>342</v>
      </c>
      <c r="N19" s="338" t="s">
        <v>355</v>
      </c>
      <c r="O19" s="339" t="s">
        <v>366</v>
      </c>
      <c r="P19" s="338" t="s">
        <v>345</v>
      </c>
      <c r="Q19" s="339" t="s">
        <v>358</v>
      </c>
      <c r="R19" s="338" t="s">
        <v>347</v>
      </c>
      <c r="S19" s="254" t="s">
        <v>1372</v>
      </c>
      <c r="T19" s="338" t="s">
        <v>349</v>
      </c>
      <c r="U19" s="339" t="s">
        <v>323</v>
      </c>
      <c r="V19" s="339" t="s">
        <v>1303</v>
      </c>
      <c r="W19" s="338" t="s">
        <v>362</v>
      </c>
      <c r="X19" s="338" t="s">
        <v>1270</v>
      </c>
      <c r="Y19" s="339" t="s">
        <v>312</v>
      </c>
    </row>
    <row r="20" spans="5:25" x14ac:dyDescent="0.2">
      <c r="E20" s="254" t="s">
        <v>1353</v>
      </c>
      <c r="G20" s="245" t="s">
        <v>354</v>
      </c>
      <c r="N20" s="338" t="s">
        <v>365</v>
      </c>
      <c r="O20" s="339" t="s">
        <v>394</v>
      </c>
      <c r="P20" s="338" t="s">
        <v>357</v>
      </c>
      <c r="Q20" s="339" t="s">
        <v>368</v>
      </c>
      <c r="R20" s="338" t="s">
        <v>359</v>
      </c>
      <c r="S20" s="338" t="s">
        <v>307</v>
      </c>
      <c r="T20" s="338" t="s">
        <v>361</v>
      </c>
      <c r="U20" s="339" t="s">
        <v>337</v>
      </c>
      <c r="V20" s="339" t="s">
        <v>1304</v>
      </c>
      <c r="W20" s="338" t="s">
        <v>372</v>
      </c>
      <c r="X20" s="338" t="s">
        <v>339</v>
      </c>
      <c r="Y20" s="397" t="s">
        <v>1364</v>
      </c>
    </row>
    <row r="21" spans="5:25" x14ac:dyDescent="0.2">
      <c r="E21" s="245" t="s">
        <v>341</v>
      </c>
      <c r="N21" s="338" t="s">
        <v>375</v>
      </c>
      <c r="O21" s="339" t="s">
        <v>405</v>
      </c>
      <c r="P21" s="338" t="s">
        <v>367</v>
      </c>
      <c r="Q21" s="339" t="s">
        <v>44</v>
      </c>
      <c r="R21" s="338" t="s">
        <v>369</v>
      </c>
      <c r="S21" s="338" t="s">
        <v>321</v>
      </c>
      <c r="T21" s="338" t="s">
        <v>371</v>
      </c>
      <c r="U21" s="339" t="s">
        <v>350</v>
      </c>
      <c r="V21" s="339" t="s">
        <v>1305</v>
      </c>
      <c r="W21" s="338" t="s">
        <v>380</v>
      </c>
      <c r="X21" s="338" t="s">
        <v>352</v>
      </c>
      <c r="Y21" s="339" t="s">
        <v>326</v>
      </c>
    </row>
    <row r="22" spans="5:25" x14ac:dyDescent="0.2">
      <c r="E22" s="245" t="s">
        <v>353</v>
      </c>
      <c r="N22" s="338" t="s">
        <v>384</v>
      </c>
      <c r="O22" s="339" t="s">
        <v>415</v>
      </c>
      <c r="P22" s="338" t="s">
        <v>376</v>
      </c>
      <c r="Q22" s="339" t="s">
        <v>396</v>
      </c>
      <c r="R22" s="338" t="s">
        <v>377</v>
      </c>
      <c r="S22" s="338" t="s">
        <v>335</v>
      </c>
      <c r="T22" s="338" t="s">
        <v>379</v>
      </c>
      <c r="U22" s="344" t="s">
        <v>1213</v>
      </c>
      <c r="V22" s="339" t="s">
        <v>1306</v>
      </c>
      <c r="W22" s="338" t="s">
        <v>389</v>
      </c>
      <c r="X22" s="338" t="s">
        <v>363</v>
      </c>
      <c r="Y22" s="339" t="s">
        <v>340</v>
      </c>
    </row>
    <row r="23" spans="5:25" x14ac:dyDescent="0.2">
      <c r="E23" s="245" t="s">
        <v>364</v>
      </c>
      <c r="N23" s="338" t="s">
        <v>393</v>
      </c>
      <c r="O23" s="339" t="s">
        <v>425</v>
      </c>
      <c r="P23" s="338" t="s">
        <v>385</v>
      </c>
      <c r="Q23" s="339" t="s">
        <v>407</v>
      </c>
      <c r="R23" s="338" t="s">
        <v>386</v>
      </c>
      <c r="S23" s="338" t="s">
        <v>348</v>
      </c>
      <c r="T23" s="338" t="s">
        <v>388</v>
      </c>
      <c r="U23" s="344" t="s">
        <v>1214</v>
      </c>
      <c r="V23" s="339" t="s">
        <v>1307</v>
      </c>
      <c r="W23" s="338" t="s">
        <v>400</v>
      </c>
      <c r="X23" s="338" t="s">
        <v>373</v>
      </c>
      <c r="Y23" s="397" t="s">
        <v>1366</v>
      </c>
    </row>
    <row r="24" spans="5:25" x14ac:dyDescent="0.2">
      <c r="E24" s="245" t="s">
        <v>374</v>
      </c>
      <c r="N24" s="338" t="s">
        <v>404</v>
      </c>
      <c r="O24" s="339" t="s">
        <v>434</v>
      </c>
      <c r="P24" s="254" t="s">
        <v>1321</v>
      </c>
      <c r="Q24" s="339" t="s">
        <v>417</v>
      </c>
      <c r="R24" s="338" t="s">
        <v>397</v>
      </c>
      <c r="S24" s="338" t="s">
        <v>360</v>
      </c>
      <c r="T24" s="338" t="s">
        <v>399</v>
      </c>
      <c r="U24" s="344" t="s">
        <v>1215</v>
      </c>
      <c r="V24" s="339" t="s">
        <v>1308</v>
      </c>
      <c r="W24" s="338" t="s">
        <v>411</v>
      </c>
      <c r="X24" s="338" t="s">
        <v>381</v>
      </c>
      <c r="Y24" s="397" t="s">
        <v>1365</v>
      </c>
    </row>
    <row r="25" spans="5:25" x14ac:dyDescent="0.2">
      <c r="E25" s="245" t="s">
        <v>383</v>
      </c>
      <c r="N25" s="338" t="s">
        <v>414</v>
      </c>
      <c r="O25" s="339" t="s">
        <v>443</v>
      </c>
      <c r="P25" s="338" t="s">
        <v>395</v>
      </c>
      <c r="Q25" s="339" t="s">
        <v>427</v>
      </c>
      <c r="R25" s="338" t="s">
        <v>408</v>
      </c>
      <c r="S25" s="338" t="s">
        <v>370</v>
      </c>
      <c r="T25" s="338" t="s">
        <v>410</v>
      </c>
      <c r="U25" s="344" t="s">
        <v>1216</v>
      </c>
      <c r="V25" s="339" t="s">
        <v>1309</v>
      </c>
      <c r="W25" s="338" t="s">
        <v>422</v>
      </c>
      <c r="X25" s="338" t="s">
        <v>390</v>
      </c>
      <c r="Y25" s="339" t="s">
        <v>382</v>
      </c>
    </row>
    <row r="26" spans="5:25" x14ac:dyDescent="0.2">
      <c r="E26" s="245" t="s">
        <v>392</v>
      </c>
      <c r="N26" s="338" t="s">
        <v>424</v>
      </c>
      <c r="O26" s="339" t="s">
        <v>452</v>
      </c>
      <c r="P26" s="338" t="s">
        <v>406</v>
      </c>
      <c r="Q26" s="339" t="s">
        <v>436</v>
      </c>
      <c r="R26" s="338" t="s">
        <v>418</v>
      </c>
      <c r="S26" s="338" t="s">
        <v>378</v>
      </c>
      <c r="T26" s="338" t="s">
        <v>420</v>
      </c>
      <c r="U26" s="344" t="s">
        <v>1217</v>
      </c>
      <c r="V26" s="339" t="s">
        <v>1310</v>
      </c>
      <c r="W26" s="338" t="s">
        <v>431</v>
      </c>
      <c r="X26" s="338" t="s">
        <v>401</v>
      </c>
      <c r="Y26" s="339" t="s">
        <v>391</v>
      </c>
    </row>
    <row r="27" spans="5:25" x14ac:dyDescent="0.2">
      <c r="E27" s="245" t="s">
        <v>403</v>
      </c>
      <c r="N27" s="338" t="s">
        <v>433</v>
      </c>
      <c r="O27" s="339" t="s">
        <v>470</v>
      </c>
      <c r="P27" s="338" t="s">
        <v>416</v>
      </c>
      <c r="Q27" s="339" t="s">
        <v>445</v>
      </c>
      <c r="R27" s="338" t="s">
        <v>428</v>
      </c>
      <c r="S27" s="338" t="s">
        <v>387</v>
      </c>
      <c r="T27" s="338" t="s">
        <v>430</v>
      </c>
      <c r="U27" s="344" t="s">
        <v>1218</v>
      </c>
      <c r="V27" s="339" t="s">
        <v>1311</v>
      </c>
      <c r="W27" s="338" t="s">
        <v>440</v>
      </c>
      <c r="X27" s="338" t="s">
        <v>412</v>
      </c>
      <c r="Y27" s="339" t="s">
        <v>402</v>
      </c>
    </row>
    <row r="28" spans="5:25" x14ac:dyDescent="0.2">
      <c r="N28" s="338" t="s">
        <v>442</v>
      </c>
      <c r="O28" s="339" t="s">
        <v>487</v>
      </c>
      <c r="P28" s="338" t="s">
        <v>426</v>
      </c>
      <c r="Q28" s="339" t="s">
        <v>454</v>
      </c>
      <c r="R28" s="338" t="s">
        <v>437</v>
      </c>
      <c r="S28" s="338" t="s">
        <v>398</v>
      </c>
      <c r="T28" s="338" t="s">
        <v>439</v>
      </c>
      <c r="U28" s="344" t="s">
        <v>1219</v>
      </c>
      <c r="V28" s="339" t="s">
        <v>1312</v>
      </c>
      <c r="W28" s="338" t="s">
        <v>449</v>
      </c>
      <c r="X28" s="338" t="s">
        <v>423</v>
      </c>
      <c r="Y28" s="339" t="s">
        <v>413</v>
      </c>
    </row>
    <row r="29" spans="5:25" x14ac:dyDescent="0.2">
      <c r="N29" s="338" t="s">
        <v>451</v>
      </c>
      <c r="O29" s="339" t="s">
        <v>496</v>
      </c>
      <c r="P29" s="338" t="s">
        <v>435</v>
      </c>
      <c r="Q29" s="339" t="s">
        <v>462</v>
      </c>
      <c r="R29" s="338" t="s">
        <v>446</v>
      </c>
      <c r="S29" s="338" t="s">
        <v>409</v>
      </c>
      <c r="T29" s="338" t="s">
        <v>448</v>
      </c>
      <c r="U29" s="344" t="s">
        <v>1220</v>
      </c>
      <c r="V29" s="339" t="s">
        <v>1313</v>
      </c>
      <c r="W29" s="338" t="s">
        <v>458</v>
      </c>
      <c r="X29" s="338" t="s">
        <v>432</v>
      </c>
      <c r="Y29" s="397" t="s">
        <v>1360</v>
      </c>
    </row>
    <row r="30" spans="5:25" x14ac:dyDescent="0.2">
      <c r="N30" s="338" t="s">
        <v>460</v>
      </c>
      <c r="O30" s="339" t="s">
        <v>506</v>
      </c>
      <c r="P30" s="338" t="s">
        <v>444</v>
      </c>
      <c r="Q30" s="339" t="s">
        <v>472</v>
      </c>
      <c r="R30" s="338" t="s">
        <v>455</v>
      </c>
      <c r="S30" s="338" t="s">
        <v>419</v>
      </c>
      <c r="T30" s="338" t="s">
        <v>457</v>
      </c>
      <c r="U30" s="339" t="s">
        <v>421</v>
      </c>
      <c r="V30" s="339" t="s">
        <v>1314</v>
      </c>
      <c r="W30" s="338" t="s">
        <v>467</v>
      </c>
      <c r="X30" s="338" t="s">
        <v>441</v>
      </c>
      <c r="Y30" s="397" t="s">
        <v>1361</v>
      </c>
    </row>
    <row r="31" spans="5:25" x14ac:dyDescent="0.2">
      <c r="N31" s="338" t="s">
        <v>469</v>
      </c>
      <c r="O31" s="339" t="s">
        <v>513</v>
      </c>
      <c r="P31" s="338" t="s">
        <v>453</v>
      </c>
      <c r="Q31" s="339" t="s">
        <v>480</v>
      </c>
      <c r="R31" s="338" t="s">
        <v>463</v>
      </c>
      <c r="S31" s="338" t="s">
        <v>429</v>
      </c>
      <c r="T31" s="338" t="s">
        <v>465</v>
      </c>
      <c r="U31" s="339" t="s">
        <v>502</v>
      </c>
      <c r="V31" s="339" t="s">
        <v>296</v>
      </c>
      <c r="W31" s="338" t="s">
        <v>476</v>
      </c>
      <c r="X31" s="338" t="s">
        <v>450</v>
      </c>
      <c r="Y31" s="397" t="s">
        <v>1362</v>
      </c>
    </row>
    <row r="32" spans="5:25" x14ac:dyDescent="0.2">
      <c r="N32" s="338" t="s">
        <v>478</v>
      </c>
      <c r="O32" s="339" t="s">
        <v>523</v>
      </c>
      <c r="P32" s="338" t="s">
        <v>461</v>
      </c>
      <c r="Q32" s="339" t="s">
        <v>489</v>
      </c>
      <c r="R32" s="338" t="s">
        <v>473</v>
      </c>
      <c r="S32" s="338" t="s">
        <v>438</v>
      </c>
      <c r="T32" s="338" t="s">
        <v>475</v>
      </c>
      <c r="U32" s="344" t="s">
        <v>1221</v>
      </c>
      <c r="V32" s="339" t="s">
        <v>466</v>
      </c>
      <c r="W32" s="338" t="s">
        <v>483</v>
      </c>
      <c r="X32" s="338" t="s">
        <v>459</v>
      </c>
      <c r="Y32" s="397" t="s">
        <v>1354</v>
      </c>
    </row>
    <row r="33" spans="14:25" x14ac:dyDescent="0.2">
      <c r="N33" s="338" t="s">
        <v>486</v>
      </c>
      <c r="O33" s="339" t="s">
        <v>531</v>
      </c>
      <c r="P33" s="338" t="s">
        <v>471</v>
      </c>
      <c r="Q33" s="339" t="s">
        <v>498</v>
      </c>
      <c r="R33" s="338" t="s">
        <v>481</v>
      </c>
      <c r="S33" s="338" t="s">
        <v>447</v>
      </c>
      <c r="T33" s="338" t="s">
        <v>482</v>
      </c>
      <c r="U33" s="344" t="s">
        <v>1222</v>
      </c>
      <c r="V33" s="339" t="s">
        <v>1285</v>
      </c>
      <c r="W33" s="338" t="s">
        <v>493</v>
      </c>
      <c r="X33" s="338" t="s">
        <v>468</v>
      </c>
      <c r="Y33" s="397" t="s">
        <v>1355</v>
      </c>
    </row>
    <row r="34" spans="14:25" x14ac:dyDescent="0.2">
      <c r="N34" s="338" t="s">
        <v>495</v>
      </c>
      <c r="O34" s="339" t="s">
        <v>539</v>
      </c>
      <c r="P34" s="338" t="s">
        <v>479</v>
      </c>
      <c r="Q34" s="339" t="s">
        <v>1252</v>
      </c>
      <c r="R34" s="338" t="s">
        <v>490</v>
      </c>
      <c r="S34" s="338" t="s">
        <v>456</v>
      </c>
      <c r="T34" s="338" t="s">
        <v>492</v>
      </c>
      <c r="U34" s="344" t="s">
        <v>1223</v>
      </c>
      <c r="W34" s="338" t="s">
        <v>503</v>
      </c>
      <c r="X34" s="338" t="s">
        <v>477</v>
      </c>
      <c r="Y34" s="397" t="s">
        <v>1356</v>
      </c>
    </row>
    <row r="35" spans="14:25" x14ac:dyDescent="0.2">
      <c r="N35" s="338" t="s">
        <v>505</v>
      </c>
      <c r="O35" s="339" t="s">
        <v>547</v>
      </c>
      <c r="P35" s="338" t="s">
        <v>488</v>
      </c>
      <c r="R35" s="338" t="s">
        <v>499</v>
      </c>
      <c r="S35" s="338" t="s">
        <v>464</v>
      </c>
      <c r="T35" s="338" t="s">
        <v>501</v>
      </c>
      <c r="U35" s="344" t="s">
        <v>1224</v>
      </c>
      <c r="W35" s="338" t="s">
        <v>510</v>
      </c>
      <c r="X35" s="338" t="s">
        <v>484</v>
      </c>
      <c r="Y35" s="397" t="s">
        <v>1357</v>
      </c>
    </row>
    <row r="36" spans="14:25" x14ac:dyDescent="0.2">
      <c r="N36" s="338" t="s">
        <v>512</v>
      </c>
      <c r="O36" s="339" t="s">
        <v>556</v>
      </c>
      <c r="P36" s="338" t="s">
        <v>497</v>
      </c>
      <c r="R36" s="340" t="s">
        <v>1274</v>
      </c>
      <c r="S36" s="338" t="s">
        <v>474</v>
      </c>
      <c r="T36" s="338" t="s">
        <v>509</v>
      </c>
      <c r="U36" s="344" t="s">
        <v>1225</v>
      </c>
      <c r="W36" s="338" t="s">
        <v>519</v>
      </c>
      <c r="X36" s="338" t="s">
        <v>494</v>
      </c>
      <c r="Y36" s="397" t="s">
        <v>1358</v>
      </c>
    </row>
    <row r="37" spans="14:25" x14ac:dyDescent="0.2">
      <c r="N37" s="338" t="s">
        <v>522</v>
      </c>
      <c r="P37" s="338" t="s">
        <v>507</v>
      </c>
      <c r="R37" s="338" t="s">
        <v>508</v>
      </c>
      <c r="S37" s="338" t="s">
        <v>491</v>
      </c>
      <c r="T37" s="338" t="s">
        <v>517</v>
      </c>
      <c r="U37" s="344" t="s">
        <v>1226</v>
      </c>
      <c r="W37" s="338" t="s">
        <v>536</v>
      </c>
      <c r="X37" s="338" t="s">
        <v>504</v>
      </c>
      <c r="Y37" s="397" t="s">
        <v>1359</v>
      </c>
    </row>
    <row r="38" spans="14:25" x14ac:dyDescent="0.2">
      <c r="N38" s="338" t="s">
        <v>530</v>
      </c>
      <c r="P38" s="338" t="s">
        <v>514</v>
      </c>
      <c r="R38" s="338" t="s">
        <v>515</v>
      </c>
      <c r="S38" s="338" t="s">
        <v>500</v>
      </c>
      <c r="T38" s="338" t="s">
        <v>527</v>
      </c>
      <c r="U38" s="344" t="s">
        <v>1227</v>
      </c>
      <c r="W38" s="338" t="s">
        <v>544</v>
      </c>
      <c r="X38" s="338" t="s">
        <v>511</v>
      </c>
      <c r="Y38" s="339" t="s">
        <v>485</v>
      </c>
    </row>
    <row r="39" spans="14:25" x14ac:dyDescent="0.2">
      <c r="N39" s="338" t="s">
        <v>538</v>
      </c>
      <c r="P39" s="338" t="s">
        <v>524</v>
      </c>
      <c r="R39" s="338" t="s">
        <v>525</v>
      </c>
      <c r="S39" s="338" t="s">
        <v>516</v>
      </c>
      <c r="T39" s="338" t="s">
        <v>535</v>
      </c>
      <c r="U39" s="339" t="s">
        <v>518</v>
      </c>
      <c r="W39" s="338" t="s">
        <v>552</v>
      </c>
      <c r="X39" s="338" t="s">
        <v>520</v>
      </c>
      <c r="Y39" s="398" t="s">
        <v>1343</v>
      </c>
    </row>
    <row r="40" spans="14:25" x14ac:dyDescent="0.2">
      <c r="N40" s="338" t="s">
        <v>546</v>
      </c>
      <c r="P40" s="338" t="s">
        <v>532</v>
      </c>
      <c r="R40" s="338" t="s">
        <v>533</v>
      </c>
      <c r="S40" s="338" t="s">
        <v>526</v>
      </c>
      <c r="T40" s="338" t="s">
        <v>543</v>
      </c>
      <c r="U40" s="344" t="s">
        <v>1228</v>
      </c>
      <c r="W40" s="338" t="s">
        <v>561</v>
      </c>
      <c r="X40" s="338" t="s">
        <v>528</v>
      </c>
      <c r="Y40" s="398" t="s">
        <v>1339</v>
      </c>
    </row>
    <row r="41" spans="14:25" x14ac:dyDescent="0.2">
      <c r="N41" s="338" t="s">
        <v>555</v>
      </c>
      <c r="P41" s="338" t="s">
        <v>540</v>
      </c>
      <c r="R41" s="338" t="s">
        <v>541</v>
      </c>
      <c r="S41" s="338" t="s">
        <v>534</v>
      </c>
      <c r="T41" s="338" t="s">
        <v>551</v>
      </c>
      <c r="U41" s="344" t="s">
        <v>1229</v>
      </c>
      <c r="W41" s="338" t="s">
        <v>569</v>
      </c>
      <c r="X41" s="338" t="s">
        <v>545</v>
      </c>
      <c r="Y41" s="398" t="s">
        <v>1340</v>
      </c>
    </row>
    <row r="42" spans="14:25" x14ac:dyDescent="0.2">
      <c r="N42" s="338" t="s">
        <v>564</v>
      </c>
      <c r="P42" s="338" t="s">
        <v>548</v>
      </c>
      <c r="R42" s="338" t="s">
        <v>549</v>
      </c>
      <c r="S42" s="338" t="s">
        <v>542</v>
      </c>
      <c r="T42" s="338" t="s">
        <v>560</v>
      </c>
      <c r="U42" s="344" t="s">
        <v>1230</v>
      </c>
      <c r="W42" s="338" t="s">
        <v>576</v>
      </c>
      <c r="X42" s="338" t="s">
        <v>553</v>
      </c>
      <c r="Y42" s="398" t="s">
        <v>1341</v>
      </c>
    </row>
    <row r="43" spans="14:25" x14ac:dyDescent="0.2">
      <c r="N43" s="338" t="s">
        <v>572</v>
      </c>
      <c r="P43" s="338" t="s">
        <v>557</v>
      </c>
      <c r="R43" s="338" t="s">
        <v>558</v>
      </c>
      <c r="S43" s="254" t="s">
        <v>1373</v>
      </c>
      <c r="T43" s="338" t="s">
        <v>568</v>
      </c>
      <c r="U43" s="344" t="s">
        <v>1231</v>
      </c>
      <c r="W43" s="338" t="s">
        <v>584</v>
      </c>
      <c r="X43" s="338" t="s">
        <v>562</v>
      </c>
      <c r="Y43" s="398" t="s">
        <v>1342</v>
      </c>
    </row>
    <row r="44" spans="14:25" x14ac:dyDescent="0.2">
      <c r="N44" s="338" t="s">
        <v>579</v>
      </c>
      <c r="P44" s="338" t="s">
        <v>565</v>
      </c>
      <c r="R44" s="338" t="s">
        <v>566</v>
      </c>
      <c r="S44" s="254" t="s">
        <v>1374</v>
      </c>
      <c r="T44" s="338" t="s">
        <v>575</v>
      </c>
      <c r="U44" s="344" t="s">
        <v>1232</v>
      </c>
      <c r="W44" s="338" t="s">
        <v>591</v>
      </c>
      <c r="X44" s="338" t="s">
        <v>570</v>
      </c>
      <c r="Y44" s="339" t="s">
        <v>1337</v>
      </c>
    </row>
    <row r="45" spans="14:25" x14ac:dyDescent="0.2">
      <c r="N45" s="338" t="s">
        <v>587</v>
      </c>
      <c r="P45" s="338" t="s">
        <v>580</v>
      </c>
      <c r="R45" s="338" t="s">
        <v>573</v>
      </c>
      <c r="S45" s="338" t="s">
        <v>550</v>
      </c>
      <c r="T45" s="338" t="s">
        <v>583</v>
      </c>
      <c r="U45" s="344" t="s">
        <v>1233</v>
      </c>
      <c r="W45" s="338" t="s">
        <v>597</v>
      </c>
      <c r="X45" s="338" t="s">
        <v>577</v>
      </c>
      <c r="Y45" s="339" t="s">
        <v>1338</v>
      </c>
    </row>
    <row r="46" spans="14:25" x14ac:dyDescent="0.2">
      <c r="N46" s="338" t="s">
        <v>594</v>
      </c>
      <c r="P46" s="338" t="s">
        <v>588</v>
      </c>
      <c r="R46" s="338" t="s">
        <v>581</v>
      </c>
      <c r="S46" s="338" t="s">
        <v>559</v>
      </c>
      <c r="T46" s="338" t="s">
        <v>590</v>
      </c>
      <c r="U46" s="343" t="s">
        <v>1271</v>
      </c>
      <c r="W46" s="338" t="s">
        <v>603</v>
      </c>
      <c r="X46" s="338" t="s">
        <v>585</v>
      </c>
      <c r="Y46" s="339" t="s">
        <v>521</v>
      </c>
    </row>
    <row r="47" spans="14:25" x14ac:dyDescent="0.2">
      <c r="N47" s="338" t="s">
        <v>600</v>
      </c>
      <c r="R47" s="338" t="s">
        <v>589</v>
      </c>
      <c r="S47" s="341" t="s">
        <v>567</v>
      </c>
      <c r="T47" s="338" t="s">
        <v>596</v>
      </c>
      <c r="U47" s="344" t="s">
        <v>1234</v>
      </c>
      <c r="W47" s="338" t="s">
        <v>609</v>
      </c>
      <c r="X47" s="338" t="s">
        <v>592</v>
      </c>
      <c r="Y47" s="339" t="s">
        <v>756</v>
      </c>
    </row>
    <row r="48" spans="14:25" x14ac:dyDescent="0.2">
      <c r="N48" s="338" t="s">
        <v>606</v>
      </c>
      <c r="R48" s="338" t="s">
        <v>595</v>
      </c>
      <c r="S48" s="341" t="s">
        <v>574</v>
      </c>
      <c r="T48" s="338" t="s">
        <v>602</v>
      </c>
      <c r="U48" s="344" t="s">
        <v>1235</v>
      </c>
      <c r="W48" s="338" t="s">
        <v>614</v>
      </c>
      <c r="X48" s="338" t="s">
        <v>598</v>
      </c>
      <c r="Y48" s="339" t="s">
        <v>760</v>
      </c>
    </row>
    <row r="49" spans="14:25" x14ac:dyDescent="0.2">
      <c r="N49" s="338" t="s">
        <v>611</v>
      </c>
      <c r="R49" s="338" t="s">
        <v>601</v>
      </c>
      <c r="S49" s="341" t="s">
        <v>582</v>
      </c>
      <c r="T49" s="338" t="s">
        <v>608</v>
      </c>
      <c r="U49" s="344" t="s">
        <v>1236</v>
      </c>
      <c r="W49" s="338" t="s">
        <v>619</v>
      </c>
      <c r="X49" s="338" t="s">
        <v>604</v>
      </c>
      <c r="Y49" s="339" t="s">
        <v>763</v>
      </c>
    </row>
    <row r="50" spans="14:25" x14ac:dyDescent="0.2">
      <c r="N50" s="338" t="s">
        <v>617</v>
      </c>
      <c r="R50" s="338" t="s">
        <v>607</v>
      </c>
      <c r="S50" s="245"/>
      <c r="T50" s="338" t="s">
        <v>613</v>
      </c>
      <c r="U50" s="344" t="s">
        <v>1237</v>
      </c>
      <c r="W50" s="338" t="s">
        <v>625</v>
      </c>
      <c r="X50" s="338" t="s">
        <v>610</v>
      </c>
      <c r="Y50" s="339" t="s">
        <v>766</v>
      </c>
    </row>
    <row r="51" spans="14:25" x14ac:dyDescent="0.2">
      <c r="N51" s="338" t="s">
        <v>622</v>
      </c>
      <c r="R51" s="338" t="s">
        <v>612</v>
      </c>
      <c r="S51" s="245"/>
      <c r="T51" s="338" t="s">
        <v>624</v>
      </c>
      <c r="U51" s="344" t="s">
        <v>1238</v>
      </c>
      <c r="W51" s="338" t="s">
        <v>630</v>
      </c>
      <c r="X51" s="338" t="s">
        <v>615</v>
      </c>
      <c r="Y51" s="339" t="s">
        <v>769</v>
      </c>
    </row>
    <row r="52" spans="14:25" x14ac:dyDescent="0.2">
      <c r="N52" s="338" t="s">
        <v>628</v>
      </c>
      <c r="R52" s="338" t="s">
        <v>618</v>
      </c>
      <c r="S52" s="245"/>
      <c r="T52" s="338" t="s">
        <v>634</v>
      </c>
      <c r="U52" s="344" t="s">
        <v>1239</v>
      </c>
      <c r="W52" s="338" t="s">
        <v>635</v>
      </c>
      <c r="X52" s="338" t="s">
        <v>620</v>
      </c>
      <c r="Y52" s="339" t="s">
        <v>772</v>
      </c>
    </row>
    <row r="53" spans="14:25" x14ac:dyDescent="0.2">
      <c r="N53" s="338" t="s">
        <v>632</v>
      </c>
      <c r="R53" s="338" t="s">
        <v>623</v>
      </c>
      <c r="S53" s="245"/>
      <c r="T53" s="338" t="s">
        <v>639</v>
      </c>
      <c r="U53" s="339" t="s">
        <v>644</v>
      </c>
      <c r="W53" s="338" t="s">
        <v>640</v>
      </c>
      <c r="X53" s="338" t="s">
        <v>626</v>
      </c>
      <c r="Y53" s="339" t="s">
        <v>732</v>
      </c>
    </row>
    <row r="54" spans="14:25" x14ac:dyDescent="0.2">
      <c r="N54" s="338" t="s">
        <v>637</v>
      </c>
      <c r="R54" s="338" t="s">
        <v>629</v>
      </c>
      <c r="S54" s="245"/>
      <c r="T54" s="338" t="s">
        <v>643</v>
      </c>
      <c r="U54" s="339" t="s">
        <v>650</v>
      </c>
      <c r="W54" s="338" t="s">
        <v>645</v>
      </c>
      <c r="X54" s="338" t="s">
        <v>631</v>
      </c>
      <c r="Y54" s="339" t="s">
        <v>736</v>
      </c>
    </row>
    <row r="55" spans="14:25" x14ac:dyDescent="0.2">
      <c r="R55" s="338" t="s">
        <v>633</v>
      </c>
      <c r="S55" s="245"/>
      <c r="T55" s="338" t="s">
        <v>649</v>
      </c>
      <c r="U55" s="339" t="s">
        <v>656</v>
      </c>
      <c r="W55" s="338" t="s">
        <v>651</v>
      </c>
      <c r="X55" s="338" t="s">
        <v>636</v>
      </c>
      <c r="Y55" s="339" t="s">
        <v>740</v>
      </c>
    </row>
    <row r="56" spans="14:25" x14ac:dyDescent="0.2">
      <c r="R56" s="338" t="s">
        <v>638</v>
      </c>
      <c r="S56" s="245"/>
      <c r="T56" s="338" t="s">
        <v>655</v>
      </c>
      <c r="U56" s="339" t="s">
        <v>660</v>
      </c>
      <c r="X56" s="338" t="s">
        <v>641</v>
      </c>
      <c r="Y56" s="339" t="s">
        <v>744</v>
      </c>
    </row>
    <row r="57" spans="14:25" x14ac:dyDescent="0.2">
      <c r="R57" s="338" t="s">
        <v>648</v>
      </c>
      <c r="S57" s="245"/>
      <c r="T57" s="338" t="s">
        <v>659</v>
      </c>
      <c r="U57" s="344" t="s">
        <v>1240</v>
      </c>
      <c r="X57" s="338" t="s">
        <v>646</v>
      </c>
      <c r="Y57" s="339" t="s">
        <v>748</v>
      </c>
    </row>
    <row r="58" spans="14:25" x14ac:dyDescent="0.2">
      <c r="R58" s="338" t="s">
        <v>654</v>
      </c>
      <c r="S58" s="245"/>
      <c r="T58" s="338" t="s">
        <v>664</v>
      </c>
      <c r="U58" s="344" t="s">
        <v>1241</v>
      </c>
      <c r="X58" s="338" t="s">
        <v>652</v>
      </c>
      <c r="Y58" s="339" t="s">
        <v>752</v>
      </c>
    </row>
    <row r="59" spans="14:25" x14ac:dyDescent="0.2">
      <c r="R59" s="338" t="s">
        <v>663</v>
      </c>
      <c r="S59" s="245"/>
      <c r="T59" s="338" t="s">
        <v>668</v>
      </c>
      <c r="U59" s="344" t="s">
        <v>1242</v>
      </c>
      <c r="X59" s="338" t="s">
        <v>657</v>
      </c>
      <c r="Y59" s="339" t="s">
        <v>529</v>
      </c>
    </row>
    <row r="60" spans="14:25" x14ac:dyDescent="0.2">
      <c r="R60" s="338" t="s">
        <v>667</v>
      </c>
      <c r="S60" s="245"/>
      <c r="T60" s="338" t="s">
        <v>672</v>
      </c>
      <c r="U60" s="344" t="s">
        <v>1243</v>
      </c>
      <c r="X60" s="338" t="s">
        <v>661</v>
      </c>
      <c r="Y60" s="339" t="s">
        <v>537</v>
      </c>
    </row>
    <row r="61" spans="14:25" x14ac:dyDescent="0.2">
      <c r="R61" s="338" t="s">
        <v>671</v>
      </c>
      <c r="S61" s="245"/>
      <c r="T61" s="338" t="s">
        <v>677</v>
      </c>
      <c r="U61" s="344" t="s">
        <v>1244</v>
      </c>
      <c r="X61" s="338" t="s">
        <v>665</v>
      </c>
      <c r="Y61" s="399" t="s">
        <v>1330</v>
      </c>
    </row>
    <row r="62" spans="14:25" x14ac:dyDescent="0.2">
      <c r="R62" s="338" t="s">
        <v>676</v>
      </c>
      <c r="S62" s="245"/>
      <c r="T62" s="338" t="s">
        <v>681</v>
      </c>
      <c r="U62" s="344" t="s">
        <v>1245</v>
      </c>
      <c r="X62" s="338" t="s">
        <v>669</v>
      </c>
      <c r="Y62" s="399" t="s">
        <v>1331</v>
      </c>
    </row>
    <row r="63" spans="14:25" x14ac:dyDescent="0.2">
      <c r="R63" s="338" t="s">
        <v>680</v>
      </c>
      <c r="S63" s="245"/>
      <c r="T63" s="338" t="s">
        <v>685</v>
      </c>
      <c r="U63" s="344" t="s">
        <v>673</v>
      </c>
      <c r="X63" s="338" t="s">
        <v>674</v>
      </c>
      <c r="Y63" s="399" t="s">
        <v>1332</v>
      </c>
    </row>
    <row r="64" spans="14:25" x14ac:dyDescent="0.2">
      <c r="R64" s="338" t="s">
        <v>684</v>
      </c>
      <c r="S64" s="245"/>
      <c r="T64" s="338" t="s">
        <v>688</v>
      </c>
      <c r="U64" s="339" t="s">
        <v>704</v>
      </c>
      <c r="X64" s="338" t="s">
        <v>678</v>
      </c>
      <c r="Y64" s="399" t="s">
        <v>1333</v>
      </c>
    </row>
    <row r="65" spans="18:25" x14ac:dyDescent="0.2">
      <c r="R65" s="338" t="s">
        <v>687</v>
      </c>
      <c r="S65" s="245"/>
      <c r="T65" s="338" t="s">
        <v>691</v>
      </c>
      <c r="X65" s="338" t="s">
        <v>682</v>
      </c>
      <c r="Y65" s="399" t="s">
        <v>1334</v>
      </c>
    </row>
    <row r="66" spans="18:25" x14ac:dyDescent="0.2">
      <c r="R66" s="338" t="s">
        <v>690</v>
      </c>
      <c r="S66" s="245"/>
      <c r="T66" s="338" t="s">
        <v>694</v>
      </c>
      <c r="X66" s="254" t="s">
        <v>1318</v>
      </c>
      <c r="Y66" s="399" t="s">
        <v>1335</v>
      </c>
    </row>
    <row r="67" spans="18:25" x14ac:dyDescent="0.2">
      <c r="R67" s="338" t="s">
        <v>693</v>
      </c>
      <c r="S67" s="245"/>
      <c r="T67" s="338" t="s">
        <v>697</v>
      </c>
      <c r="X67" s="254" t="s">
        <v>1319</v>
      </c>
      <c r="Y67" s="399" t="s">
        <v>1336</v>
      </c>
    </row>
    <row r="68" spans="18:25" x14ac:dyDescent="0.2">
      <c r="R68" s="338" t="s">
        <v>1275</v>
      </c>
      <c r="S68" s="245"/>
      <c r="T68" s="338" t="s">
        <v>699</v>
      </c>
      <c r="X68" s="338" t="s">
        <v>707</v>
      </c>
      <c r="Y68" s="399" t="s">
        <v>1351</v>
      </c>
    </row>
    <row r="69" spans="18:25" x14ac:dyDescent="0.2">
      <c r="R69" s="338" t="s">
        <v>695</v>
      </c>
      <c r="S69" s="245"/>
      <c r="T69" s="338" t="s">
        <v>701</v>
      </c>
      <c r="X69" s="338" t="s">
        <v>711</v>
      </c>
      <c r="Y69" s="339" t="s">
        <v>554</v>
      </c>
    </row>
    <row r="70" spans="18:25" x14ac:dyDescent="0.2">
      <c r="R70" s="338" t="s">
        <v>696</v>
      </c>
      <c r="S70" s="245"/>
      <c r="T70" s="338" t="s">
        <v>703</v>
      </c>
      <c r="X70" s="338" t="s">
        <v>715</v>
      </c>
      <c r="Y70" s="339" t="s">
        <v>563</v>
      </c>
    </row>
    <row r="71" spans="18:25" x14ac:dyDescent="0.2">
      <c r="R71" s="338" t="s">
        <v>698</v>
      </c>
      <c r="S71" s="245"/>
      <c r="T71" s="338" t="s">
        <v>706</v>
      </c>
      <c r="X71" s="338" t="s">
        <v>718</v>
      </c>
      <c r="Y71" s="339" t="s">
        <v>571</v>
      </c>
    </row>
    <row r="72" spans="18:25" x14ac:dyDescent="0.2">
      <c r="R72" s="338" t="s">
        <v>700</v>
      </c>
      <c r="S72" s="245"/>
      <c r="T72" s="338" t="s">
        <v>710</v>
      </c>
      <c r="X72" s="338" t="s">
        <v>722</v>
      </c>
      <c r="Y72" s="339" t="s">
        <v>578</v>
      </c>
    </row>
    <row r="73" spans="18:25" x14ac:dyDescent="0.2">
      <c r="R73" s="338" t="s">
        <v>702</v>
      </c>
      <c r="S73" s="245"/>
      <c r="T73" s="338" t="s">
        <v>714</v>
      </c>
      <c r="X73" s="338" t="s">
        <v>725</v>
      </c>
      <c r="Y73" s="339" t="s">
        <v>586</v>
      </c>
    </row>
    <row r="74" spans="18:25" x14ac:dyDescent="0.2">
      <c r="R74" s="338" t="s">
        <v>705</v>
      </c>
      <c r="S74" s="245"/>
      <c r="T74" s="338" t="s">
        <v>717</v>
      </c>
      <c r="X74" s="254" t="s">
        <v>1317</v>
      </c>
      <c r="Y74" s="339" t="s">
        <v>593</v>
      </c>
    </row>
    <row r="75" spans="18:25" x14ac:dyDescent="0.2">
      <c r="R75" s="338" t="s">
        <v>709</v>
      </c>
      <c r="S75" s="245"/>
      <c r="T75" s="338" t="s">
        <v>721</v>
      </c>
      <c r="X75" s="338" t="s">
        <v>728</v>
      </c>
      <c r="Y75" s="398" t="s">
        <v>1269</v>
      </c>
    </row>
    <row r="76" spans="18:25" x14ac:dyDescent="0.2">
      <c r="R76" s="338" t="s">
        <v>713</v>
      </c>
      <c r="S76" s="245"/>
      <c r="T76" s="338" t="s">
        <v>724</v>
      </c>
      <c r="X76" s="338" t="s">
        <v>731</v>
      </c>
      <c r="Y76" s="398" t="s">
        <v>1265</v>
      </c>
    </row>
    <row r="77" spans="18:25" x14ac:dyDescent="0.2">
      <c r="R77" s="338" t="s">
        <v>720</v>
      </c>
      <c r="S77" s="245"/>
      <c r="T77" s="338" t="s">
        <v>727</v>
      </c>
      <c r="X77" s="338" t="s">
        <v>735</v>
      </c>
      <c r="Y77" s="398" t="s">
        <v>1266</v>
      </c>
    </row>
    <row r="78" spans="18:25" x14ac:dyDescent="0.2">
      <c r="R78" s="338" t="s">
        <v>723</v>
      </c>
      <c r="S78" s="245"/>
      <c r="T78" s="338" t="s">
        <v>730</v>
      </c>
      <c r="X78" s="338" t="s">
        <v>739</v>
      </c>
      <c r="Y78" s="398" t="s">
        <v>1267</v>
      </c>
    </row>
    <row r="79" spans="18:25" x14ac:dyDescent="0.2">
      <c r="R79" s="338" t="s">
        <v>726</v>
      </c>
      <c r="S79" s="245"/>
      <c r="T79" s="338" t="s">
        <v>734</v>
      </c>
      <c r="V79" s="308"/>
      <c r="X79" s="338" t="s">
        <v>743</v>
      </c>
      <c r="Y79" s="398" t="s">
        <v>1268</v>
      </c>
    </row>
    <row r="80" spans="18:25" x14ac:dyDescent="0.2">
      <c r="R80" s="338" t="s">
        <v>729</v>
      </c>
      <c r="S80" s="245"/>
      <c r="T80" s="338" t="s">
        <v>738</v>
      </c>
      <c r="V80" s="308"/>
      <c r="X80" s="338" t="s">
        <v>747</v>
      </c>
      <c r="Y80" s="339" t="s">
        <v>599</v>
      </c>
    </row>
    <row r="81" spans="18:25" x14ac:dyDescent="0.2">
      <c r="R81" s="338" t="s">
        <v>733</v>
      </c>
      <c r="S81" s="245"/>
      <c r="T81" s="338" t="s">
        <v>742</v>
      </c>
      <c r="V81" s="308"/>
      <c r="X81" s="338" t="s">
        <v>751</v>
      </c>
      <c r="Y81" s="339" t="s">
        <v>605</v>
      </c>
    </row>
    <row r="82" spans="18:25" x14ac:dyDescent="0.2">
      <c r="R82" s="338" t="s">
        <v>737</v>
      </c>
      <c r="S82" s="245"/>
      <c r="T82" s="338" t="s">
        <v>746</v>
      </c>
      <c r="V82" s="308"/>
      <c r="X82" s="338" t="s">
        <v>755</v>
      </c>
      <c r="Y82" s="339" t="s">
        <v>616</v>
      </c>
    </row>
    <row r="83" spans="18:25" x14ac:dyDescent="0.2">
      <c r="R83" s="338" t="s">
        <v>741</v>
      </c>
      <c r="S83" s="245"/>
      <c r="T83" s="338" t="s">
        <v>750</v>
      </c>
      <c r="V83" s="308"/>
      <c r="X83" s="338" t="s">
        <v>759</v>
      </c>
      <c r="Y83" s="339" t="s">
        <v>621</v>
      </c>
    </row>
    <row r="84" spans="18:25" x14ac:dyDescent="0.2">
      <c r="R84" s="338" t="s">
        <v>745</v>
      </c>
      <c r="S84" s="245"/>
      <c r="T84" s="338" t="s">
        <v>754</v>
      </c>
      <c r="V84" s="308"/>
      <c r="X84" s="394" t="s">
        <v>1347</v>
      </c>
      <c r="Y84" s="339" t="s">
        <v>627</v>
      </c>
    </row>
    <row r="85" spans="18:25" x14ac:dyDescent="0.2">
      <c r="R85" s="338" t="s">
        <v>749</v>
      </c>
      <c r="S85" s="245"/>
      <c r="T85" s="338" t="s">
        <v>758</v>
      </c>
      <c r="V85" s="308"/>
      <c r="X85" s="394" t="s">
        <v>1348</v>
      </c>
      <c r="Y85" s="339" t="s">
        <v>642</v>
      </c>
    </row>
    <row r="86" spans="18:25" x14ac:dyDescent="0.2">
      <c r="R86" s="338" t="s">
        <v>753</v>
      </c>
      <c r="S86" s="245"/>
      <c r="T86" s="338" t="s">
        <v>762</v>
      </c>
      <c r="V86" s="308"/>
      <c r="Y86" s="339" t="s">
        <v>647</v>
      </c>
    </row>
    <row r="87" spans="18:25" x14ac:dyDescent="0.2">
      <c r="R87" s="338" t="s">
        <v>757</v>
      </c>
      <c r="S87" s="245"/>
      <c r="T87" s="338" t="s">
        <v>765</v>
      </c>
      <c r="V87" s="308"/>
      <c r="Y87" s="339" t="s">
        <v>653</v>
      </c>
    </row>
    <row r="88" spans="18:25" x14ac:dyDescent="0.2">
      <c r="R88" s="338" t="s">
        <v>761</v>
      </c>
      <c r="S88" s="245"/>
      <c r="T88" s="338" t="s">
        <v>768</v>
      </c>
      <c r="V88" s="308"/>
      <c r="Y88" s="339" t="s">
        <v>658</v>
      </c>
    </row>
    <row r="89" spans="18:25" x14ac:dyDescent="0.2">
      <c r="R89" s="338" t="s">
        <v>764</v>
      </c>
      <c r="S89" s="245"/>
      <c r="T89" s="338" t="s">
        <v>771</v>
      </c>
      <c r="V89" s="308"/>
      <c r="Y89" s="339" t="s">
        <v>662</v>
      </c>
    </row>
    <row r="90" spans="18:25" x14ac:dyDescent="0.2">
      <c r="R90" s="338" t="s">
        <v>767</v>
      </c>
      <c r="S90" s="245"/>
      <c r="T90" s="338" t="s">
        <v>774</v>
      </c>
      <c r="V90" s="308"/>
      <c r="Y90" s="339" t="s">
        <v>666</v>
      </c>
    </row>
    <row r="91" spans="18:25" x14ac:dyDescent="0.2">
      <c r="R91" s="338" t="s">
        <v>770</v>
      </c>
      <c r="S91" s="245"/>
      <c r="T91" s="338" t="s">
        <v>776</v>
      </c>
      <c r="V91" s="308"/>
      <c r="Y91" s="339" t="s">
        <v>670</v>
      </c>
    </row>
    <row r="92" spans="18:25" x14ac:dyDescent="0.2">
      <c r="R92" s="338" t="s">
        <v>773</v>
      </c>
      <c r="S92" s="245"/>
      <c r="T92" s="338" t="s">
        <v>778</v>
      </c>
      <c r="V92" s="308"/>
      <c r="Y92" s="339" t="s">
        <v>675</v>
      </c>
    </row>
    <row r="93" spans="18:25" x14ac:dyDescent="0.2">
      <c r="R93" s="338" t="s">
        <v>775</v>
      </c>
      <c r="S93" s="245"/>
      <c r="T93" s="338" t="s">
        <v>779</v>
      </c>
      <c r="V93" s="308"/>
      <c r="Y93" s="339" t="s">
        <v>679</v>
      </c>
    </row>
    <row r="94" spans="18:25" x14ac:dyDescent="0.2">
      <c r="R94" s="338" t="s">
        <v>777</v>
      </c>
      <c r="S94" s="245"/>
      <c r="T94" s="338" t="s">
        <v>781</v>
      </c>
      <c r="V94" s="308"/>
      <c r="Y94" s="339" t="s">
        <v>683</v>
      </c>
    </row>
    <row r="95" spans="18:25" x14ac:dyDescent="0.2">
      <c r="R95" s="338" t="s">
        <v>780</v>
      </c>
      <c r="S95" s="245"/>
      <c r="T95" s="338" t="s">
        <v>783</v>
      </c>
      <c r="V95" s="308"/>
      <c r="Y95" s="339" t="s">
        <v>686</v>
      </c>
    </row>
    <row r="96" spans="18:25" x14ac:dyDescent="0.2">
      <c r="R96" s="338" t="s">
        <v>782</v>
      </c>
      <c r="S96" s="245"/>
      <c r="T96" s="338" t="s">
        <v>785</v>
      </c>
      <c r="V96" s="308"/>
      <c r="Y96" s="339" t="s">
        <v>689</v>
      </c>
    </row>
    <row r="97" spans="15:25" x14ac:dyDescent="0.2">
      <c r="O97" s="246"/>
      <c r="R97" s="338" t="s">
        <v>784</v>
      </c>
      <c r="S97" s="245"/>
      <c r="T97" s="338" t="s">
        <v>787</v>
      </c>
      <c r="V97" s="308"/>
      <c r="Y97" s="339" t="s">
        <v>692</v>
      </c>
    </row>
    <row r="98" spans="15:25" x14ac:dyDescent="0.2">
      <c r="O98" s="246"/>
      <c r="R98" s="338" t="s">
        <v>786</v>
      </c>
      <c r="S98" s="245"/>
      <c r="T98" s="338" t="s">
        <v>789</v>
      </c>
      <c r="V98" s="308"/>
      <c r="Y98" s="339" t="s">
        <v>708</v>
      </c>
    </row>
    <row r="99" spans="15:25" x14ac:dyDescent="0.2">
      <c r="O99" s="246"/>
      <c r="R99" s="338" t="s">
        <v>788</v>
      </c>
      <c r="S99" s="245"/>
      <c r="T99" s="338" t="s">
        <v>791</v>
      </c>
      <c r="V99" s="308"/>
      <c r="Y99" s="339" t="s">
        <v>712</v>
      </c>
    </row>
    <row r="100" spans="15:25" x14ac:dyDescent="0.2">
      <c r="O100" s="246"/>
      <c r="R100" s="338" t="s">
        <v>790</v>
      </c>
      <c r="S100" s="245"/>
      <c r="T100" s="338" t="s">
        <v>793</v>
      </c>
      <c r="V100" s="308"/>
      <c r="Y100" s="339" t="s">
        <v>716</v>
      </c>
    </row>
    <row r="101" spans="15:25" x14ac:dyDescent="0.2">
      <c r="O101" s="246"/>
      <c r="R101" s="338" t="s">
        <v>792</v>
      </c>
      <c r="S101" s="245"/>
      <c r="T101" s="338" t="s">
        <v>795</v>
      </c>
      <c r="V101" s="308"/>
      <c r="Y101" s="339" t="s">
        <v>719</v>
      </c>
    </row>
    <row r="102" spans="15:25" x14ac:dyDescent="0.2">
      <c r="O102" s="246"/>
      <c r="R102" s="338" t="s">
        <v>794</v>
      </c>
      <c r="S102" s="245"/>
      <c r="V102" s="308"/>
    </row>
    <row r="103" spans="15:25" x14ac:dyDescent="0.2">
      <c r="O103" s="246"/>
      <c r="R103" s="338" t="s">
        <v>796</v>
      </c>
      <c r="S103" s="245"/>
      <c r="V103" s="308"/>
    </row>
    <row r="104" spans="15:25" x14ac:dyDescent="0.2">
      <c r="O104" s="246"/>
      <c r="R104" s="338" t="s">
        <v>797</v>
      </c>
      <c r="S104" s="245"/>
      <c r="V104" s="308"/>
    </row>
    <row r="105" spans="15:25" x14ac:dyDescent="0.2">
      <c r="O105" s="246"/>
      <c r="R105" s="338" t="s">
        <v>798</v>
      </c>
      <c r="S105" s="245"/>
      <c r="V105" s="308"/>
    </row>
    <row r="106" spans="15:25" x14ac:dyDescent="0.2">
      <c r="O106" s="246"/>
      <c r="R106" s="338" t="s">
        <v>799</v>
      </c>
      <c r="S106" s="245"/>
      <c r="V106" s="308"/>
    </row>
    <row r="107" spans="15:25" x14ac:dyDescent="0.2">
      <c r="O107" s="246"/>
      <c r="R107" s="338" t="s">
        <v>800</v>
      </c>
      <c r="S107" s="245"/>
      <c r="V107" s="308"/>
    </row>
    <row r="108" spans="15:25" x14ac:dyDescent="0.2">
      <c r="O108" s="246"/>
      <c r="R108" s="338" t="s">
        <v>801</v>
      </c>
      <c r="S108" s="245"/>
      <c r="V108" s="308"/>
    </row>
    <row r="109" spans="15:25" x14ac:dyDescent="0.2">
      <c r="O109" s="246"/>
      <c r="R109" s="338" t="s">
        <v>802</v>
      </c>
      <c r="S109" s="245"/>
      <c r="V109" s="308"/>
    </row>
    <row r="110" spans="15:25" x14ac:dyDescent="0.2">
      <c r="O110" s="246"/>
      <c r="R110" s="338" t="s">
        <v>803</v>
      </c>
      <c r="S110" s="245"/>
      <c r="V110" s="308"/>
    </row>
    <row r="111" spans="15:25" x14ac:dyDescent="0.2">
      <c r="O111" s="246"/>
      <c r="R111" s="338" t="s">
        <v>804</v>
      </c>
      <c r="S111" s="245"/>
      <c r="V111" s="308"/>
    </row>
    <row r="112" spans="15:25" x14ac:dyDescent="0.2">
      <c r="O112" s="246"/>
      <c r="R112" s="338" t="s">
        <v>805</v>
      </c>
      <c r="S112" s="245"/>
      <c r="V112" s="308"/>
    </row>
    <row r="113" spans="15:22" x14ac:dyDescent="0.2">
      <c r="O113" s="246"/>
      <c r="R113" s="338" t="s">
        <v>806</v>
      </c>
      <c r="S113" s="245"/>
      <c r="V113" s="308"/>
    </row>
    <row r="114" spans="15:22" x14ac:dyDescent="0.2">
      <c r="O114" s="246"/>
      <c r="R114" s="338" t="s">
        <v>807</v>
      </c>
      <c r="S114" s="245"/>
      <c r="V114" s="308"/>
    </row>
    <row r="115" spans="15:22" x14ac:dyDescent="0.2">
      <c r="O115" s="246"/>
      <c r="R115" s="338" t="s">
        <v>808</v>
      </c>
      <c r="S115" s="245"/>
      <c r="V115" s="308"/>
    </row>
    <row r="116" spans="15:22" x14ac:dyDescent="0.2">
      <c r="O116" s="246"/>
      <c r="R116" s="338" t="s">
        <v>809</v>
      </c>
      <c r="S116" s="245"/>
      <c r="V116" s="308"/>
    </row>
    <row r="117" spans="15:22" x14ac:dyDescent="0.2">
      <c r="O117" s="246"/>
      <c r="R117" s="338" t="s">
        <v>810</v>
      </c>
      <c r="S117" s="245"/>
      <c r="V117" s="308"/>
    </row>
    <row r="118" spans="15:22" x14ac:dyDescent="0.2">
      <c r="O118" s="246"/>
      <c r="R118" s="338" t="s">
        <v>811</v>
      </c>
      <c r="S118" s="245"/>
    </row>
    <row r="119" spans="15:22" x14ac:dyDescent="0.2">
      <c r="O119" s="246"/>
      <c r="R119" s="338" t="s">
        <v>812</v>
      </c>
      <c r="S119" s="245"/>
    </row>
    <row r="120" spans="15:22" x14ac:dyDescent="0.2">
      <c r="O120" s="246"/>
      <c r="R120" s="338" t="s">
        <v>813</v>
      </c>
      <c r="S120" s="245"/>
    </row>
    <row r="121" spans="15:22" x14ac:dyDescent="0.2">
      <c r="O121" s="246"/>
      <c r="R121" s="338" t="s">
        <v>814</v>
      </c>
      <c r="S121" s="245"/>
    </row>
    <row r="122" spans="15:22" x14ac:dyDescent="0.2">
      <c r="O122" s="246"/>
      <c r="R122" s="338" t="s">
        <v>815</v>
      </c>
      <c r="S122" s="245"/>
    </row>
    <row r="123" spans="15:22" x14ac:dyDescent="0.2">
      <c r="O123" s="246"/>
      <c r="R123" s="338" t="s">
        <v>816</v>
      </c>
      <c r="S123" s="245"/>
    </row>
    <row r="124" spans="15:22" x14ac:dyDescent="0.2">
      <c r="O124" s="246"/>
      <c r="R124" s="338" t="s">
        <v>817</v>
      </c>
      <c r="S124" s="245"/>
    </row>
    <row r="125" spans="15:22" x14ac:dyDescent="0.2">
      <c r="O125" s="246"/>
      <c r="R125" s="338" t="s">
        <v>818</v>
      </c>
      <c r="S125" s="245"/>
    </row>
    <row r="126" spans="15:22" x14ac:dyDescent="0.2">
      <c r="O126" s="246"/>
      <c r="R126" s="338" t="s">
        <v>819</v>
      </c>
      <c r="S126" s="245"/>
    </row>
    <row r="127" spans="15:22" x14ac:dyDescent="0.2">
      <c r="O127" s="246"/>
      <c r="R127" s="338" t="s">
        <v>820</v>
      </c>
      <c r="S127" s="245"/>
    </row>
    <row r="128" spans="15:22" x14ac:dyDescent="0.2">
      <c r="O128" s="246"/>
      <c r="R128" s="338" t="s">
        <v>821</v>
      </c>
      <c r="S128" s="245"/>
    </row>
    <row r="129" spans="15:19" x14ac:dyDescent="0.2">
      <c r="O129" s="246"/>
      <c r="R129" s="338" t="s">
        <v>822</v>
      </c>
      <c r="S129" s="245"/>
    </row>
    <row r="130" spans="15:19" x14ac:dyDescent="0.2">
      <c r="O130" s="246"/>
      <c r="R130" s="338" t="s">
        <v>823</v>
      </c>
      <c r="S130" s="245"/>
    </row>
    <row r="131" spans="15:19" x14ac:dyDescent="0.2">
      <c r="O131" s="246"/>
      <c r="R131" s="338" t="s">
        <v>824</v>
      </c>
      <c r="S131" s="245"/>
    </row>
    <row r="132" spans="15:19" x14ac:dyDescent="0.2">
      <c r="O132" s="246"/>
      <c r="R132" s="338" t="s">
        <v>825</v>
      </c>
      <c r="S132" s="245"/>
    </row>
    <row r="133" spans="15:19" x14ac:dyDescent="0.2">
      <c r="O133" s="246"/>
      <c r="R133" s="338" t="s">
        <v>826</v>
      </c>
      <c r="S133" s="245"/>
    </row>
    <row r="134" spans="15:19" x14ac:dyDescent="0.2">
      <c r="O134" s="246"/>
      <c r="R134" s="338" t="s">
        <v>827</v>
      </c>
      <c r="S134" s="245"/>
    </row>
    <row r="135" spans="15:19" x14ac:dyDescent="0.2">
      <c r="O135" s="246"/>
      <c r="R135" s="338" t="s">
        <v>828</v>
      </c>
      <c r="S135" s="245"/>
    </row>
    <row r="136" spans="15:19" x14ac:dyDescent="0.2">
      <c r="O136" s="246"/>
      <c r="R136" s="338" t="s">
        <v>829</v>
      </c>
      <c r="S136" s="245"/>
    </row>
    <row r="137" spans="15:19" x14ac:dyDescent="0.2">
      <c r="O137" s="246"/>
      <c r="R137" s="338" t="s">
        <v>830</v>
      </c>
      <c r="S137" s="245"/>
    </row>
    <row r="138" spans="15:19" x14ac:dyDescent="0.2">
      <c r="O138" s="246"/>
      <c r="R138" s="338" t="s">
        <v>831</v>
      </c>
      <c r="S138" s="245"/>
    </row>
    <row r="139" spans="15:19" x14ac:dyDescent="0.2">
      <c r="O139" s="246"/>
      <c r="R139" s="338" t="s">
        <v>832</v>
      </c>
      <c r="S139" s="245"/>
    </row>
    <row r="140" spans="15:19" x14ac:dyDescent="0.2">
      <c r="O140" s="246"/>
      <c r="R140" s="338" t="s">
        <v>833</v>
      </c>
      <c r="S140" s="245"/>
    </row>
    <row r="141" spans="15:19" x14ac:dyDescent="0.2">
      <c r="O141" s="246"/>
      <c r="R141" s="338" t="s">
        <v>834</v>
      </c>
      <c r="S141" s="245"/>
    </row>
    <row r="142" spans="15:19" x14ac:dyDescent="0.2">
      <c r="O142" s="246"/>
      <c r="R142" s="338" t="s">
        <v>835</v>
      </c>
      <c r="S142" s="245"/>
    </row>
    <row r="143" spans="15:19" x14ac:dyDescent="0.2">
      <c r="R143" s="338" t="s">
        <v>836</v>
      </c>
      <c r="S143" s="245"/>
    </row>
    <row r="144" spans="15:19" x14ac:dyDescent="0.2">
      <c r="R144" s="338" t="s">
        <v>837</v>
      </c>
      <c r="S144" s="245"/>
    </row>
    <row r="145" spans="18:19" x14ac:dyDescent="0.2">
      <c r="R145" s="338" t="s">
        <v>838</v>
      </c>
      <c r="S145" s="245"/>
    </row>
    <row r="146" spans="18:19" x14ac:dyDescent="0.2">
      <c r="R146" s="338" t="s">
        <v>839</v>
      </c>
      <c r="S146" s="245"/>
    </row>
    <row r="147" spans="18:19" x14ac:dyDescent="0.2">
      <c r="R147" s="338" t="s">
        <v>840</v>
      </c>
      <c r="S147" s="245"/>
    </row>
    <row r="148" spans="18:19" x14ac:dyDescent="0.2">
      <c r="R148" s="338" t="s">
        <v>841</v>
      </c>
      <c r="S148" s="245"/>
    </row>
    <row r="149" spans="18:19" x14ac:dyDescent="0.2">
      <c r="R149" s="338" t="s">
        <v>842</v>
      </c>
      <c r="S149" s="245"/>
    </row>
    <row r="150" spans="18:19" x14ac:dyDescent="0.2">
      <c r="S150" s="245"/>
    </row>
    <row r="151" spans="18:19" x14ac:dyDescent="0.2">
      <c r="S151" s="245"/>
    </row>
    <row r="152" spans="18:19" x14ac:dyDescent="0.2">
      <c r="S152" s="245"/>
    </row>
    <row r="153" spans="18:19" x14ac:dyDescent="0.2">
      <c r="S153" s="245"/>
    </row>
    <row r="154" spans="18:19" x14ac:dyDescent="0.2">
      <c r="S154" s="245"/>
    </row>
    <row r="155" spans="18:19" x14ac:dyDescent="0.2">
      <c r="S155" s="245"/>
    </row>
    <row r="156" spans="18:19" x14ac:dyDescent="0.2">
      <c r="S156" s="245"/>
    </row>
    <row r="157" spans="18:19" x14ac:dyDescent="0.2">
      <c r="S157" s="245"/>
    </row>
    <row r="158" spans="18:19" x14ac:dyDescent="0.2">
      <c r="S158" s="245"/>
    </row>
    <row r="159" spans="18:19" x14ac:dyDescent="0.2">
      <c r="S159" s="245"/>
    </row>
    <row r="160" spans="18:19" x14ac:dyDescent="0.2">
      <c r="S160" s="245"/>
    </row>
    <row r="161" spans="19:19" x14ac:dyDescent="0.2">
      <c r="S161" s="245"/>
    </row>
    <row r="162" spans="19:19" x14ac:dyDescent="0.2">
      <c r="S162" s="245"/>
    </row>
    <row r="163" spans="19:19" x14ac:dyDescent="0.2">
      <c r="S163" s="245"/>
    </row>
    <row r="164" spans="19:19" x14ac:dyDescent="0.2">
      <c r="S164" s="245"/>
    </row>
    <row r="165" spans="19:19" x14ac:dyDescent="0.2">
      <c r="S165" s="245"/>
    </row>
    <row r="166" spans="19:19" x14ac:dyDescent="0.2">
      <c r="S166" s="245"/>
    </row>
    <row r="167" spans="19:19" x14ac:dyDescent="0.2">
      <c r="S167" s="245"/>
    </row>
    <row r="168" spans="19:19" x14ac:dyDescent="0.2">
      <c r="S168" s="245"/>
    </row>
    <row r="169" spans="19:19" x14ac:dyDescent="0.2">
      <c r="S169" s="245"/>
    </row>
    <row r="170" spans="19:19" x14ac:dyDescent="0.2">
      <c r="S170" s="245"/>
    </row>
    <row r="171" spans="19:19" x14ac:dyDescent="0.2">
      <c r="S171" s="245"/>
    </row>
    <row r="172" spans="19:19" x14ac:dyDescent="0.2">
      <c r="S172" s="245"/>
    </row>
    <row r="173" spans="19:19" x14ac:dyDescent="0.2">
      <c r="S173" s="245"/>
    </row>
    <row r="174" spans="19:19" x14ac:dyDescent="0.2">
      <c r="S174" s="245"/>
    </row>
    <row r="175" spans="19:19" x14ac:dyDescent="0.2">
      <c r="S175" s="245"/>
    </row>
    <row r="176" spans="19:19" x14ac:dyDescent="0.2">
      <c r="S176" s="245"/>
    </row>
    <row r="177" spans="19:19" x14ac:dyDescent="0.2">
      <c r="S177" s="245"/>
    </row>
    <row r="178" spans="19:19" x14ac:dyDescent="0.2">
      <c r="S178" s="245"/>
    </row>
    <row r="179" spans="19:19" x14ac:dyDescent="0.2">
      <c r="S179" s="245"/>
    </row>
    <row r="180" spans="19:19" x14ac:dyDescent="0.2">
      <c r="S180" s="245"/>
    </row>
    <row r="181" spans="19:19" x14ac:dyDescent="0.2">
      <c r="S181" s="245"/>
    </row>
    <row r="182" spans="19:19" x14ac:dyDescent="0.2">
      <c r="S182" s="245"/>
    </row>
    <row r="183" spans="19:19" x14ac:dyDescent="0.2">
      <c r="S183" s="245"/>
    </row>
    <row r="184" spans="19:19" x14ac:dyDescent="0.2">
      <c r="S184" s="245"/>
    </row>
    <row r="185" spans="19:19" x14ac:dyDescent="0.2">
      <c r="S185" s="245"/>
    </row>
    <row r="186" spans="19:19" x14ac:dyDescent="0.2">
      <c r="S186" s="245"/>
    </row>
    <row r="187" spans="19:19" x14ac:dyDescent="0.2">
      <c r="S187" s="245"/>
    </row>
    <row r="188" spans="19:19" x14ac:dyDescent="0.2">
      <c r="S188" s="245"/>
    </row>
    <row r="189" spans="19:19" x14ac:dyDescent="0.2">
      <c r="S189" s="245"/>
    </row>
    <row r="190" spans="19:19" x14ac:dyDescent="0.2">
      <c r="S190" s="245"/>
    </row>
    <row r="191" spans="19:19" x14ac:dyDescent="0.2">
      <c r="S191" s="245"/>
    </row>
    <row r="192" spans="19:19" x14ac:dyDescent="0.2">
      <c r="S192" s="245"/>
    </row>
    <row r="193" spans="19:19" x14ac:dyDescent="0.2">
      <c r="S193" s="245"/>
    </row>
    <row r="194" spans="19:19" x14ac:dyDescent="0.2">
      <c r="S194" s="245"/>
    </row>
    <row r="195" spans="19:19" x14ac:dyDescent="0.2">
      <c r="S195" s="245"/>
    </row>
    <row r="196" spans="19:19" x14ac:dyDescent="0.2">
      <c r="S196" s="245"/>
    </row>
    <row r="197" spans="19:19" x14ac:dyDescent="0.2">
      <c r="S197" s="245"/>
    </row>
    <row r="198" spans="19:19" x14ac:dyDescent="0.2">
      <c r="S198" s="245"/>
    </row>
    <row r="199" spans="19:19" x14ac:dyDescent="0.2">
      <c r="S199" s="245"/>
    </row>
    <row r="200" spans="19:19" x14ac:dyDescent="0.2">
      <c r="S200" s="245"/>
    </row>
    <row r="201" spans="19:19" x14ac:dyDescent="0.2">
      <c r="S201" s="245"/>
    </row>
    <row r="202" spans="19:19" x14ac:dyDescent="0.2">
      <c r="S202" s="245"/>
    </row>
    <row r="203" spans="19:19" x14ac:dyDescent="0.2">
      <c r="S203" s="245"/>
    </row>
    <row r="204" spans="19:19" x14ac:dyDescent="0.2">
      <c r="S204" s="245"/>
    </row>
    <row r="205" spans="19:19" x14ac:dyDescent="0.2">
      <c r="S205" s="245"/>
    </row>
    <row r="206" spans="19:19" x14ac:dyDescent="0.2">
      <c r="S206" s="245"/>
    </row>
    <row r="207" spans="19:19" x14ac:dyDescent="0.2">
      <c r="S207" s="245"/>
    </row>
    <row r="208" spans="19:19" x14ac:dyDescent="0.2">
      <c r="S208" s="245"/>
    </row>
    <row r="209" spans="19:19" x14ac:dyDescent="0.2">
      <c r="S209" s="245"/>
    </row>
    <row r="210" spans="19:19" x14ac:dyDescent="0.2">
      <c r="S210" s="245"/>
    </row>
    <row r="211" spans="19:19" x14ac:dyDescent="0.2">
      <c r="S211" s="245"/>
    </row>
    <row r="212" spans="19:19" x14ac:dyDescent="0.2">
      <c r="S212" s="245"/>
    </row>
    <row r="213" spans="19:19" x14ac:dyDescent="0.2">
      <c r="S213" s="245"/>
    </row>
    <row r="214" spans="19:19" x14ac:dyDescent="0.2">
      <c r="S214" s="245"/>
    </row>
    <row r="215" spans="19:19" x14ac:dyDescent="0.2">
      <c r="S215" s="245"/>
    </row>
    <row r="216" spans="19:19" x14ac:dyDescent="0.2">
      <c r="S216" s="245"/>
    </row>
    <row r="217" spans="19:19" x14ac:dyDescent="0.2">
      <c r="S217" s="245"/>
    </row>
    <row r="218" spans="19:19" x14ac:dyDescent="0.2">
      <c r="S218" s="245"/>
    </row>
    <row r="219" spans="19:19" x14ac:dyDescent="0.2">
      <c r="S219" s="245"/>
    </row>
    <row r="220" spans="19:19" x14ac:dyDescent="0.2">
      <c r="S220" s="245"/>
    </row>
    <row r="221" spans="19:19" x14ac:dyDescent="0.2">
      <c r="S221" s="245"/>
    </row>
    <row r="222" spans="19:19" x14ac:dyDescent="0.2">
      <c r="S222" s="245"/>
    </row>
    <row r="223" spans="19:19" x14ac:dyDescent="0.2">
      <c r="S223" s="245"/>
    </row>
    <row r="224" spans="19:19" x14ac:dyDescent="0.2">
      <c r="S224" s="245"/>
    </row>
    <row r="225" spans="19:19" x14ac:dyDescent="0.2">
      <c r="S225" s="245"/>
    </row>
    <row r="226" spans="19:19" x14ac:dyDescent="0.2">
      <c r="S226" s="245"/>
    </row>
    <row r="227" spans="19:19" x14ac:dyDescent="0.2">
      <c r="S227" s="245"/>
    </row>
    <row r="228" spans="19:19" x14ac:dyDescent="0.2">
      <c r="S228" s="245"/>
    </row>
    <row r="229" spans="19:19" x14ac:dyDescent="0.2">
      <c r="S229" s="245"/>
    </row>
    <row r="230" spans="19:19" x14ac:dyDescent="0.2">
      <c r="S230" s="245"/>
    </row>
    <row r="231" spans="19:19" x14ac:dyDescent="0.2">
      <c r="S231" s="245"/>
    </row>
    <row r="232" spans="19:19" x14ac:dyDescent="0.2">
      <c r="S232" s="245"/>
    </row>
    <row r="233" spans="19:19" x14ac:dyDescent="0.2">
      <c r="S233" s="245"/>
    </row>
    <row r="234" spans="19:19" x14ac:dyDescent="0.2">
      <c r="S234" s="245"/>
    </row>
    <row r="235" spans="19:19" x14ac:dyDescent="0.2">
      <c r="S235" s="245"/>
    </row>
    <row r="236" spans="19:19" x14ac:dyDescent="0.2">
      <c r="S236" s="245"/>
    </row>
    <row r="237" spans="19:19" x14ac:dyDescent="0.2">
      <c r="S237" s="245"/>
    </row>
    <row r="238" spans="19:19" x14ac:dyDescent="0.2">
      <c r="S238" s="245"/>
    </row>
    <row r="239" spans="19:19" x14ac:dyDescent="0.2">
      <c r="S239" s="245"/>
    </row>
    <row r="240" spans="19:19" x14ac:dyDescent="0.2">
      <c r="S240" s="245"/>
    </row>
    <row r="241" spans="19:19" x14ac:dyDescent="0.2">
      <c r="S241" s="245"/>
    </row>
    <row r="242" spans="19:19" x14ac:dyDescent="0.2">
      <c r="S242" s="245"/>
    </row>
    <row r="243" spans="19:19" x14ac:dyDescent="0.2">
      <c r="S243" s="245"/>
    </row>
    <row r="244" spans="19:19" x14ac:dyDescent="0.2">
      <c r="S244" s="245"/>
    </row>
    <row r="245" spans="19:19" x14ac:dyDescent="0.2">
      <c r="S245" s="245"/>
    </row>
    <row r="246" spans="19:19" x14ac:dyDescent="0.2">
      <c r="S246" s="245"/>
    </row>
    <row r="247" spans="19:19" x14ac:dyDescent="0.2">
      <c r="S247" s="245"/>
    </row>
    <row r="248" spans="19:19" x14ac:dyDescent="0.2">
      <c r="S248" s="245"/>
    </row>
    <row r="249" spans="19:19" x14ac:dyDescent="0.2">
      <c r="S249" s="245"/>
    </row>
    <row r="250" spans="19:19" x14ac:dyDescent="0.2">
      <c r="S250" s="245"/>
    </row>
    <row r="251" spans="19:19" x14ac:dyDescent="0.2">
      <c r="S251" s="245"/>
    </row>
    <row r="252" spans="19:19" x14ac:dyDescent="0.2">
      <c r="S252" s="245"/>
    </row>
    <row r="253" spans="19:19" x14ac:dyDescent="0.2">
      <c r="S253" s="245"/>
    </row>
    <row r="254" spans="19:19" x14ac:dyDescent="0.2">
      <c r="S254" s="245"/>
    </row>
    <row r="255" spans="19:19" x14ac:dyDescent="0.2">
      <c r="S255" s="245"/>
    </row>
    <row r="256" spans="19:19" x14ac:dyDescent="0.2">
      <c r="S256" s="245"/>
    </row>
    <row r="257" spans="19:19" x14ac:dyDescent="0.2">
      <c r="S257" s="245"/>
    </row>
    <row r="258" spans="19:19" x14ac:dyDescent="0.2">
      <c r="S258" s="245"/>
    </row>
    <row r="259" spans="19:19" x14ac:dyDescent="0.2">
      <c r="S259" s="245"/>
    </row>
    <row r="260" spans="19:19" x14ac:dyDescent="0.2">
      <c r="S260" s="245"/>
    </row>
    <row r="261" spans="19:19" x14ac:dyDescent="0.2">
      <c r="S261" s="245"/>
    </row>
    <row r="262" spans="19:19" x14ac:dyDescent="0.2">
      <c r="S262" s="245"/>
    </row>
    <row r="263" spans="19:19" x14ac:dyDescent="0.2">
      <c r="S263" s="245"/>
    </row>
    <row r="264" spans="19:19" x14ac:dyDescent="0.2">
      <c r="S264" s="245"/>
    </row>
    <row r="265" spans="19:19" x14ac:dyDescent="0.2">
      <c r="S265" s="245"/>
    </row>
    <row r="266" spans="19:19" x14ac:dyDescent="0.2">
      <c r="S266" s="245"/>
    </row>
    <row r="267" spans="19:19" x14ac:dyDescent="0.2">
      <c r="S267" s="245"/>
    </row>
    <row r="268" spans="19:19" x14ac:dyDescent="0.2">
      <c r="S268" s="245"/>
    </row>
    <row r="269" spans="19:19" x14ac:dyDescent="0.2">
      <c r="S269" s="245"/>
    </row>
    <row r="270" spans="19:19" x14ac:dyDescent="0.2">
      <c r="S270" s="245"/>
    </row>
    <row r="271" spans="19:19" x14ac:dyDescent="0.2">
      <c r="S271" s="245"/>
    </row>
    <row r="272" spans="19:19" x14ac:dyDescent="0.2">
      <c r="S272" s="245"/>
    </row>
    <row r="273" spans="19:19" x14ac:dyDescent="0.2">
      <c r="S273" s="245"/>
    </row>
    <row r="274" spans="19:19" x14ac:dyDescent="0.2">
      <c r="S274" s="245"/>
    </row>
    <row r="275" spans="19:19" x14ac:dyDescent="0.2">
      <c r="S275" s="245"/>
    </row>
    <row r="276" spans="19:19" x14ac:dyDescent="0.2">
      <c r="S276" s="245"/>
    </row>
    <row r="277" spans="19:19" x14ac:dyDescent="0.2">
      <c r="S277" s="245"/>
    </row>
    <row r="278" spans="19:19" x14ac:dyDescent="0.2">
      <c r="S278" s="245"/>
    </row>
    <row r="279" spans="19:19" x14ac:dyDescent="0.2">
      <c r="S279" s="245"/>
    </row>
    <row r="280" spans="19:19" x14ac:dyDescent="0.2">
      <c r="S280" s="245"/>
    </row>
    <row r="281" spans="19:19" x14ac:dyDescent="0.2">
      <c r="S281" s="245"/>
    </row>
    <row r="282" spans="19:19" x14ac:dyDescent="0.2">
      <c r="S282" s="245"/>
    </row>
    <row r="283" spans="19:19" x14ac:dyDescent="0.2">
      <c r="S283" s="245"/>
    </row>
    <row r="284" spans="19:19" x14ac:dyDescent="0.2">
      <c r="S284" s="245"/>
    </row>
    <row r="285" spans="19:19" x14ac:dyDescent="0.2">
      <c r="S285" s="245"/>
    </row>
    <row r="286" spans="19:19" x14ac:dyDescent="0.2">
      <c r="S286" s="245"/>
    </row>
    <row r="287" spans="19:19" x14ac:dyDescent="0.2">
      <c r="S287" s="245"/>
    </row>
    <row r="288" spans="19:19" x14ac:dyDescent="0.2">
      <c r="S288" s="245"/>
    </row>
    <row r="289" spans="19:19" x14ac:dyDescent="0.2">
      <c r="S289" s="245"/>
    </row>
    <row r="290" spans="19:19" x14ac:dyDescent="0.2">
      <c r="S290" s="245"/>
    </row>
    <row r="291" spans="19:19" x14ac:dyDescent="0.2">
      <c r="S291" s="245"/>
    </row>
    <row r="292" spans="19:19" x14ac:dyDescent="0.2">
      <c r="S292" s="245"/>
    </row>
    <row r="293" spans="19:19" x14ac:dyDescent="0.2">
      <c r="S293" s="245"/>
    </row>
    <row r="294" spans="19:19" x14ac:dyDescent="0.2">
      <c r="S294" s="245"/>
    </row>
    <row r="295" spans="19:19" x14ac:dyDescent="0.2">
      <c r="S295" s="245"/>
    </row>
    <row r="296" spans="19:19" x14ac:dyDescent="0.2">
      <c r="S296" s="245"/>
    </row>
    <row r="297" spans="19:19" x14ac:dyDescent="0.2">
      <c r="S297" s="245"/>
    </row>
    <row r="298" spans="19:19" x14ac:dyDescent="0.2">
      <c r="S298" s="245"/>
    </row>
    <row r="299" spans="19:19" x14ac:dyDescent="0.2">
      <c r="S299" s="245"/>
    </row>
    <row r="300" spans="19:19" x14ac:dyDescent="0.2">
      <c r="S300" s="245"/>
    </row>
    <row r="301" spans="19:19" x14ac:dyDescent="0.2">
      <c r="S301" s="245"/>
    </row>
    <row r="302" spans="19:19" x14ac:dyDescent="0.2">
      <c r="S302" s="245"/>
    </row>
    <row r="303" spans="19:19" x14ac:dyDescent="0.2">
      <c r="S303" s="245"/>
    </row>
    <row r="304" spans="19:19" x14ac:dyDescent="0.2">
      <c r="S304" s="245"/>
    </row>
    <row r="305" spans="19:19" x14ac:dyDescent="0.2">
      <c r="S305" s="245"/>
    </row>
    <row r="306" spans="19:19" x14ac:dyDescent="0.2">
      <c r="S306" s="245"/>
    </row>
    <row r="307" spans="19:19" x14ac:dyDescent="0.2">
      <c r="S307" s="245"/>
    </row>
    <row r="308" spans="19:19" x14ac:dyDescent="0.2">
      <c r="S308" s="245"/>
    </row>
    <row r="309" spans="19:19" x14ac:dyDescent="0.2">
      <c r="S309" s="245"/>
    </row>
    <row r="310" spans="19:19" x14ac:dyDescent="0.2">
      <c r="S310" s="245"/>
    </row>
    <row r="311" spans="19:19" x14ac:dyDescent="0.2">
      <c r="S311" s="245"/>
    </row>
    <row r="312" spans="19:19" x14ac:dyDescent="0.2">
      <c r="S312" s="245"/>
    </row>
    <row r="313" spans="19:19" x14ac:dyDescent="0.2">
      <c r="S313" s="245"/>
    </row>
    <row r="314" spans="19:19" x14ac:dyDescent="0.2">
      <c r="S314" s="245"/>
    </row>
    <row r="315" spans="19:19" x14ac:dyDescent="0.2">
      <c r="S315" s="245"/>
    </row>
    <row r="316" spans="19:19" x14ac:dyDescent="0.2">
      <c r="S316" s="245"/>
    </row>
    <row r="317" spans="19:19" x14ac:dyDescent="0.2">
      <c r="S317" s="245"/>
    </row>
    <row r="318" spans="19:19" x14ac:dyDescent="0.2">
      <c r="S318" s="245"/>
    </row>
    <row r="319" spans="19:19" x14ac:dyDescent="0.2">
      <c r="S319" s="245"/>
    </row>
    <row r="320" spans="19:19" x14ac:dyDescent="0.2">
      <c r="S320" s="245"/>
    </row>
    <row r="321" spans="19:19" x14ac:dyDescent="0.2">
      <c r="S321" s="245"/>
    </row>
    <row r="322" spans="19:19" x14ac:dyDescent="0.2">
      <c r="S322" s="245"/>
    </row>
    <row r="323" spans="19:19" x14ac:dyDescent="0.2">
      <c r="S323" s="245"/>
    </row>
    <row r="324" spans="19:19" x14ac:dyDescent="0.2">
      <c r="S324" s="245"/>
    </row>
    <row r="325" spans="19:19" x14ac:dyDescent="0.2">
      <c r="S325" s="245"/>
    </row>
    <row r="326" spans="19:19" x14ac:dyDescent="0.2">
      <c r="S326" s="245"/>
    </row>
    <row r="327" spans="19:19" x14ac:dyDescent="0.2">
      <c r="S327" s="245"/>
    </row>
    <row r="328" spans="19:19" x14ac:dyDescent="0.2">
      <c r="S328" s="245"/>
    </row>
    <row r="329" spans="19:19" x14ac:dyDescent="0.2">
      <c r="S329" s="245"/>
    </row>
    <row r="330" spans="19:19" x14ac:dyDescent="0.2">
      <c r="S330" s="245"/>
    </row>
    <row r="331" spans="19:19" x14ac:dyDescent="0.2">
      <c r="S331" s="245"/>
    </row>
    <row r="332" spans="19:19" x14ac:dyDescent="0.2">
      <c r="S332" s="245"/>
    </row>
    <row r="333" spans="19:19" x14ac:dyDescent="0.2">
      <c r="S333" s="245"/>
    </row>
    <row r="334" spans="19:19" x14ac:dyDescent="0.2">
      <c r="S334" s="245"/>
    </row>
    <row r="335" spans="19:19" x14ac:dyDescent="0.2">
      <c r="S335" s="245"/>
    </row>
    <row r="336" spans="19:19" x14ac:dyDescent="0.2">
      <c r="S336" s="245"/>
    </row>
    <row r="337" spans="19:19" x14ac:dyDescent="0.2">
      <c r="S337" s="245"/>
    </row>
    <row r="338" spans="19:19" x14ac:dyDescent="0.2">
      <c r="S338" s="245"/>
    </row>
    <row r="339" spans="19:19" x14ac:dyDescent="0.2">
      <c r="S339" s="245"/>
    </row>
    <row r="340" spans="19:19" x14ac:dyDescent="0.2">
      <c r="S340" s="245"/>
    </row>
    <row r="341" spans="19:19" x14ac:dyDescent="0.2">
      <c r="S341" s="245"/>
    </row>
    <row r="342" spans="19:19" x14ac:dyDescent="0.2">
      <c r="S342" s="245"/>
    </row>
    <row r="343" spans="19:19" x14ac:dyDescent="0.2">
      <c r="S343" s="245"/>
    </row>
    <row r="344" spans="19:19" x14ac:dyDescent="0.2">
      <c r="S344" s="245"/>
    </row>
    <row r="345" spans="19:19" x14ac:dyDescent="0.2">
      <c r="S345" s="245"/>
    </row>
    <row r="346" spans="19:19" x14ac:dyDescent="0.2">
      <c r="S346" s="245"/>
    </row>
    <row r="347" spans="19:19" x14ac:dyDescent="0.2">
      <c r="S347" s="245"/>
    </row>
    <row r="348" spans="19:19" x14ac:dyDescent="0.2">
      <c r="S348" s="245"/>
    </row>
    <row r="349" spans="19:19" x14ac:dyDescent="0.2">
      <c r="S349" s="245"/>
    </row>
    <row r="350" spans="19:19" x14ac:dyDescent="0.2">
      <c r="S350" s="245"/>
    </row>
    <row r="351" spans="19:19" x14ac:dyDescent="0.2">
      <c r="S351" s="245"/>
    </row>
    <row r="352" spans="19:19" x14ac:dyDescent="0.2">
      <c r="S352" s="245"/>
    </row>
    <row r="353" spans="19:19" x14ac:dyDescent="0.2">
      <c r="S353" s="245"/>
    </row>
    <row r="354" spans="19:19" x14ac:dyDescent="0.2">
      <c r="S354" s="245"/>
    </row>
    <row r="355" spans="19:19" x14ac:dyDescent="0.2">
      <c r="S355" s="245"/>
    </row>
    <row r="356" spans="19:19" x14ac:dyDescent="0.2">
      <c r="S356" s="245"/>
    </row>
    <row r="357" spans="19:19" x14ac:dyDescent="0.2">
      <c r="S357" s="245"/>
    </row>
    <row r="358" spans="19:19" x14ac:dyDescent="0.2">
      <c r="S358" s="245"/>
    </row>
    <row r="359" spans="19:19" x14ac:dyDescent="0.2">
      <c r="S359" s="245"/>
    </row>
    <row r="360" spans="19:19" x14ac:dyDescent="0.2">
      <c r="S360" s="245"/>
    </row>
    <row r="361" spans="19:19" x14ac:dyDescent="0.2">
      <c r="S361" s="245"/>
    </row>
    <row r="362" spans="19:19" x14ac:dyDescent="0.2">
      <c r="S362" s="245"/>
    </row>
    <row r="363" spans="19:19" x14ac:dyDescent="0.2">
      <c r="S363" s="245"/>
    </row>
    <row r="364" spans="19:19" x14ac:dyDescent="0.2">
      <c r="S364" s="245"/>
    </row>
    <row r="365" spans="19:19" x14ac:dyDescent="0.2">
      <c r="S365" s="245"/>
    </row>
    <row r="366" spans="19:19" x14ac:dyDescent="0.2">
      <c r="S366" s="245"/>
    </row>
    <row r="367" spans="19:19" x14ac:dyDescent="0.2">
      <c r="S367" s="245"/>
    </row>
    <row r="368" spans="19:19" x14ac:dyDescent="0.2">
      <c r="S368" s="245"/>
    </row>
    <row r="369" spans="19:19" x14ac:dyDescent="0.2">
      <c r="S369" s="245"/>
    </row>
    <row r="370" spans="19:19" x14ac:dyDescent="0.2">
      <c r="S370" s="245"/>
    </row>
    <row r="371" spans="19:19" x14ac:dyDescent="0.2">
      <c r="S371" s="245"/>
    </row>
    <row r="372" spans="19:19" x14ac:dyDescent="0.2">
      <c r="S372" s="245"/>
    </row>
    <row r="373" spans="19:19" x14ac:dyDescent="0.2">
      <c r="S373" s="245"/>
    </row>
    <row r="374" spans="19:19" x14ac:dyDescent="0.2">
      <c r="S374" s="245"/>
    </row>
    <row r="375" spans="19:19" x14ac:dyDescent="0.2">
      <c r="S375" s="245"/>
    </row>
    <row r="376" spans="19:19" x14ac:dyDescent="0.2">
      <c r="S376" s="245"/>
    </row>
    <row r="377" spans="19:19" x14ac:dyDescent="0.2">
      <c r="S377" s="245"/>
    </row>
    <row r="378" spans="19:19" x14ac:dyDescent="0.2">
      <c r="S378" s="245"/>
    </row>
    <row r="379" spans="19:19" x14ac:dyDescent="0.2">
      <c r="S379" s="245"/>
    </row>
    <row r="380" spans="19:19" x14ac:dyDescent="0.2">
      <c r="S380" s="245"/>
    </row>
    <row r="381" spans="19:19" x14ac:dyDescent="0.2">
      <c r="S381" s="245"/>
    </row>
    <row r="382" spans="19:19" x14ac:dyDescent="0.2">
      <c r="S382" s="245"/>
    </row>
    <row r="383" spans="19:19" x14ac:dyDescent="0.2">
      <c r="S383" s="245"/>
    </row>
    <row r="384" spans="19:19" x14ac:dyDescent="0.2">
      <c r="S384" s="245"/>
    </row>
    <row r="385" spans="19:19" x14ac:dyDescent="0.2">
      <c r="S385" s="245"/>
    </row>
    <row r="386" spans="19:19" x14ac:dyDescent="0.2">
      <c r="S386" s="245"/>
    </row>
    <row r="387" spans="19:19" x14ac:dyDescent="0.2">
      <c r="S387" s="245"/>
    </row>
    <row r="388" spans="19:19" x14ac:dyDescent="0.2">
      <c r="S388" s="245"/>
    </row>
    <row r="389" spans="19:19" x14ac:dyDescent="0.2">
      <c r="S389" s="245"/>
    </row>
    <row r="390" spans="19:19" x14ac:dyDescent="0.2">
      <c r="S390" s="245"/>
    </row>
    <row r="391" spans="19:19" x14ac:dyDescent="0.2">
      <c r="S391" s="245"/>
    </row>
    <row r="392" spans="19:19" x14ac:dyDescent="0.2">
      <c r="S392" s="245"/>
    </row>
    <row r="393" spans="19:19" x14ac:dyDescent="0.2">
      <c r="S393" s="245"/>
    </row>
    <row r="394" spans="19:19" x14ac:dyDescent="0.2">
      <c r="S394" s="245"/>
    </row>
    <row r="395" spans="19:19" x14ac:dyDescent="0.2">
      <c r="S395" s="245"/>
    </row>
    <row r="396" spans="19:19" x14ac:dyDescent="0.2">
      <c r="S396" s="245"/>
    </row>
    <row r="397" spans="19:19" x14ac:dyDescent="0.2">
      <c r="S397" s="245"/>
    </row>
    <row r="398" spans="19:19" x14ac:dyDescent="0.2">
      <c r="S398" s="245"/>
    </row>
    <row r="399" spans="19:19" x14ac:dyDescent="0.2">
      <c r="S399" s="245"/>
    </row>
    <row r="400" spans="19:19" x14ac:dyDescent="0.2">
      <c r="S400" s="245"/>
    </row>
    <row r="401" spans="19:19" x14ac:dyDescent="0.2">
      <c r="S401" s="245"/>
    </row>
    <row r="402" spans="19:19" x14ac:dyDescent="0.2">
      <c r="S402" s="245"/>
    </row>
    <row r="403" spans="19:19" x14ac:dyDescent="0.2">
      <c r="S403" s="245"/>
    </row>
    <row r="404" spans="19:19" x14ac:dyDescent="0.2">
      <c r="S404" s="245"/>
    </row>
    <row r="405" spans="19:19" x14ac:dyDescent="0.2">
      <c r="S405" s="245"/>
    </row>
    <row r="406" spans="19:19" x14ac:dyDescent="0.2">
      <c r="S406" s="245"/>
    </row>
    <row r="407" spans="19:19" x14ac:dyDescent="0.2">
      <c r="S407" s="245"/>
    </row>
    <row r="408" spans="19:19" x14ac:dyDescent="0.2">
      <c r="S408" s="245"/>
    </row>
    <row r="409" spans="19:19" x14ac:dyDescent="0.2">
      <c r="S409" s="245"/>
    </row>
    <row r="410" spans="19:19" x14ac:dyDescent="0.2">
      <c r="S410" s="245"/>
    </row>
    <row r="411" spans="19:19" x14ac:dyDescent="0.2">
      <c r="S411" s="245"/>
    </row>
    <row r="412" spans="19:19" x14ac:dyDescent="0.2">
      <c r="S412" s="245"/>
    </row>
    <row r="413" spans="19:19" x14ac:dyDescent="0.2">
      <c r="S413" s="245"/>
    </row>
    <row r="414" spans="19:19" x14ac:dyDescent="0.2">
      <c r="S414" s="245"/>
    </row>
    <row r="415" spans="19:19" x14ac:dyDescent="0.2">
      <c r="S415" s="245"/>
    </row>
    <row r="416" spans="19:19" x14ac:dyDescent="0.2">
      <c r="S416" s="245"/>
    </row>
    <row r="417" spans="19:19" x14ac:dyDescent="0.2">
      <c r="S417" s="245"/>
    </row>
    <row r="418" spans="19:19" x14ac:dyDescent="0.2">
      <c r="S418" s="245"/>
    </row>
    <row r="419" spans="19:19" x14ac:dyDescent="0.2">
      <c r="S419" s="245"/>
    </row>
    <row r="420" spans="19:19" x14ac:dyDescent="0.2">
      <c r="S420" s="245"/>
    </row>
    <row r="421" spans="19:19" x14ac:dyDescent="0.2">
      <c r="S421" s="245"/>
    </row>
    <row r="422" spans="19:19" x14ac:dyDescent="0.2">
      <c r="S422" s="245"/>
    </row>
    <row r="423" spans="19:19" x14ac:dyDescent="0.2">
      <c r="S423" s="245"/>
    </row>
    <row r="424" spans="19:19" x14ac:dyDescent="0.2">
      <c r="S424" s="245"/>
    </row>
    <row r="425" spans="19:19" x14ac:dyDescent="0.2">
      <c r="S425" s="245"/>
    </row>
    <row r="426" spans="19:19" x14ac:dyDescent="0.2">
      <c r="S426" s="245"/>
    </row>
    <row r="427" spans="19:19" x14ac:dyDescent="0.2">
      <c r="S427" s="245"/>
    </row>
    <row r="428" spans="19:19" x14ac:dyDescent="0.2">
      <c r="S428" s="245"/>
    </row>
    <row r="429" spans="19:19" x14ac:dyDescent="0.2">
      <c r="S429" s="245"/>
    </row>
    <row r="430" spans="19:19" x14ac:dyDescent="0.2">
      <c r="S430" s="245"/>
    </row>
    <row r="431" spans="19:19" x14ac:dyDescent="0.2">
      <c r="S431" s="245"/>
    </row>
    <row r="432" spans="19:19" x14ac:dyDescent="0.2">
      <c r="S432" s="245"/>
    </row>
    <row r="433" spans="19:19" x14ac:dyDescent="0.2">
      <c r="S433" s="245"/>
    </row>
    <row r="434" spans="19:19" x14ac:dyDescent="0.2">
      <c r="S434" s="245"/>
    </row>
    <row r="435" spans="19:19" x14ac:dyDescent="0.2">
      <c r="S435" s="245"/>
    </row>
    <row r="436" spans="19:19" x14ac:dyDescent="0.2">
      <c r="S436" s="245"/>
    </row>
    <row r="437" spans="19:19" x14ac:dyDescent="0.2">
      <c r="S437" s="245"/>
    </row>
    <row r="438" spans="19:19" x14ac:dyDescent="0.2">
      <c r="S438" s="245"/>
    </row>
    <row r="439" spans="19:19" x14ac:dyDescent="0.2">
      <c r="S439" s="245"/>
    </row>
    <row r="440" spans="19:19" x14ac:dyDescent="0.2">
      <c r="S440" s="245"/>
    </row>
    <row r="441" spans="19:19" x14ac:dyDescent="0.2">
      <c r="S441" s="245"/>
    </row>
    <row r="442" spans="19:19" x14ac:dyDescent="0.2">
      <c r="S442" s="245"/>
    </row>
    <row r="443" spans="19:19" x14ac:dyDescent="0.2">
      <c r="S443" s="245"/>
    </row>
    <row r="444" spans="19:19" x14ac:dyDescent="0.2">
      <c r="S444" s="245"/>
    </row>
    <row r="445" spans="19:19" x14ac:dyDescent="0.2">
      <c r="S445" s="245"/>
    </row>
    <row r="446" spans="19:19" x14ac:dyDescent="0.2">
      <c r="S446" s="245"/>
    </row>
    <row r="447" spans="19:19" x14ac:dyDescent="0.2">
      <c r="S447" s="245"/>
    </row>
    <row r="448" spans="19:19" x14ac:dyDescent="0.2">
      <c r="S448" s="245"/>
    </row>
    <row r="449" spans="19:19" x14ac:dyDescent="0.2">
      <c r="S449" s="245"/>
    </row>
    <row r="450" spans="19:19" x14ac:dyDescent="0.2">
      <c r="S450" s="245"/>
    </row>
    <row r="451" spans="19:19" x14ac:dyDescent="0.2">
      <c r="S451" s="245"/>
    </row>
    <row r="452" spans="19:19" x14ac:dyDescent="0.2">
      <c r="S452" s="245"/>
    </row>
    <row r="453" spans="19:19" x14ac:dyDescent="0.2">
      <c r="S453" s="245"/>
    </row>
    <row r="454" spans="19:19" x14ac:dyDescent="0.2">
      <c r="S454" s="245"/>
    </row>
    <row r="455" spans="19:19" x14ac:dyDescent="0.2">
      <c r="S455" s="245"/>
    </row>
    <row r="456" spans="19:19" x14ac:dyDescent="0.2">
      <c r="S456" s="245"/>
    </row>
    <row r="457" spans="19:19" x14ac:dyDescent="0.2">
      <c r="S457" s="245"/>
    </row>
    <row r="458" spans="19:19" x14ac:dyDescent="0.2">
      <c r="S458" s="245"/>
    </row>
    <row r="459" spans="19:19" x14ac:dyDescent="0.2">
      <c r="S459" s="245"/>
    </row>
    <row r="460" spans="19:19" x14ac:dyDescent="0.2">
      <c r="S460" s="245"/>
    </row>
    <row r="461" spans="19:19" x14ac:dyDescent="0.2">
      <c r="S461" s="245"/>
    </row>
    <row r="462" spans="19:19" x14ac:dyDescent="0.2">
      <c r="S462" s="245"/>
    </row>
    <row r="463" spans="19:19" x14ac:dyDescent="0.2">
      <c r="S463" s="245"/>
    </row>
    <row r="464" spans="19:19" x14ac:dyDescent="0.2">
      <c r="S464" s="245"/>
    </row>
    <row r="465" spans="19:19" x14ac:dyDescent="0.2">
      <c r="S465" s="245"/>
    </row>
    <row r="466" spans="19:19" x14ac:dyDescent="0.2">
      <c r="S466" s="245"/>
    </row>
    <row r="467" spans="19:19" x14ac:dyDescent="0.2">
      <c r="S467" s="245"/>
    </row>
    <row r="468" spans="19:19" x14ac:dyDescent="0.2">
      <c r="S468" s="245"/>
    </row>
    <row r="469" spans="19:19" x14ac:dyDescent="0.2">
      <c r="S469" s="245"/>
    </row>
    <row r="470" spans="19:19" x14ac:dyDescent="0.2">
      <c r="S470" s="245"/>
    </row>
    <row r="471" spans="19:19" x14ac:dyDescent="0.2">
      <c r="S471" s="245"/>
    </row>
    <row r="472" spans="19:19" x14ac:dyDescent="0.2">
      <c r="S472" s="245"/>
    </row>
    <row r="473" spans="19:19" x14ac:dyDescent="0.2">
      <c r="S473" s="245"/>
    </row>
    <row r="474" spans="19:19" x14ac:dyDescent="0.2">
      <c r="S474" s="245"/>
    </row>
    <row r="475" spans="19:19" x14ac:dyDescent="0.2">
      <c r="S475" s="245"/>
    </row>
    <row r="476" spans="19:19" x14ac:dyDescent="0.2">
      <c r="S476" s="245"/>
    </row>
    <row r="477" spans="19:19" x14ac:dyDescent="0.2">
      <c r="S477" s="245"/>
    </row>
    <row r="478" spans="19:19" x14ac:dyDescent="0.2">
      <c r="S478" s="245"/>
    </row>
    <row r="479" spans="19:19" x14ac:dyDescent="0.2">
      <c r="S479" s="245"/>
    </row>
    <row r="480" spans="19:19" x14ac:dyDescent="0.2">
      <c r="S480" s="245"/>
    </row>
    <row r="481" spans="19:19" x14ac:dyDescent="0.2">
      <c r="S481" s="245"/>
    </row>
    <row r="482" spans="19:19" x14ac:dyDescent="0.2">
      <c r="S482" s="245"/>
    </row>
    <row r="483" spans="19:19" x14ac:dyDescent="0.2">
      <c r="S483" s="245"/>
    </row>
    <row r="484" spans="19:19" x14ac:dyDescent="0.2">
      <c r="S484" s="245"/>
    </row>
    <row r="485" spans="19:19" x14ac:dyDescent="0.2">
      <c r="S485" s="245"/>
    </row>
    <row r="486" spans="19:19" x14ac:dyDescent="0.2">
      <c r="S486" s="245"/>
    </row>
    <row r="487" spans="19:19" x14ac:dyDescent="0.2">
      <c r="S487" s="245"/>
    </row>
    <row r="488" spans="19:19" x14ac:dyDescent="0.2">
      <c r="S488" s="245"/>
    </row>
    <row r="489" spans="19:19" x14ac:dyDescent="0.2">
      <c r="S489" s="245"/>
    </row>
  </sheetData>
  <sheetProtection selectLockedCells="1" selectUnlockedCells="1"/>
  <sortState xmlns:xlrd2="http://schemas.microsoft.com/office/spreadsheetml/2017/richdata2" ref="Y2:Y491">
    <sortCondition ref="Y1"/>
  </sortState>
  <phoneticPr fontId="75" type="noConversion"/>
  <conditionalFormatting sqref="F2:F12">
    <cfRule type="duplicateValues" dxfId="6399" priority="4371"/>
  </conditionalFormatting>
  <conditionalFormatting sqref="H3:H10">
    <cfRule type="duplicateValues" dxfId="6398" priority="4702"/>
  </conditionalFormatting>
  <conditionalFormatting sqref="O2">
    <cfRule type="duplicateValues" dxfId="6397" priority="78"/>
  </conditionalFormatting>
  <conditionalFormatting sqref="Q32">
    <cfRule type="duplicateValues" dxfId="6396" priority="76"/>
  </conditionalFormatting>
  <conditionalFormatting sqref="T38">
    <cfRule type="duplicateValues" dxfId="6395" priority="72"/>
  </conditionalFormatting>
  <conditionalFormatting sqref="O3">
    <cfRule type="duplicateValues" dxfId="6394" priority="70"/>
  </conditionalFormatting>
  <conditionalFormatting sqref="O4">
    <cfRule type="duplicateValues" dxfId="6393" priority="69"/>
  </conditionalFormatting>
  <conditionalFormatting sqref="O5">
    <cfRule type="duplicateValues" dxfId="6392" priority="68"/>
  </conditionalFormatting>
  <conditionalFormatting sqref="O6">
    <cfRule type="duplicateValues" dxfId="6391" priority="67"/>
  </conditionalFormatting>
  <conditionalFormatting sqref="O7">
    <cfRule type="duplicateValues" dxfId="6390" priority="66"/>
  </conditionalFormatting>
  <conditionalFormatting sqref="O8">
    <cfRule type="duplicateValues" dxfId="6389" priority="65"/>
  </conditionalFormatting>
  <conditionalFormatting sqref="O9">
    <cfRule type="duplicateValues" dxfId="6388" priority="64"/>
  </conditionalFormatting>
  <conditionalFormatting sqref="O10">
    <cfRule type="duplicateValues" dxfId="6387" priority="63"/>
  </conditionalFormatting>
  <conditionalFormatting sqref="O11">
    <cfRule type="duplicateValues" dxfId="6386" priority="62"/>
  </conditionalFormatting>
  <conditionalFormatting sqref="O12">
    <cfRule type="duplicateValues" dxfId="6385" priority="60"/>
  </conditionalFormatting>
  <conditionalFormatting sqref="O13">
    <cfRule type="duplicateValues" dxfId="6384" priority="59"/>
  </conditionalFormatting>
  <conditionalFormatting sqref="O14">
    <cfRule type="duplicateValues" dxfId="6383" priority="58"/>
  </conditionalFormatting>
  <conditionalFormatting sqref="O15">
    <cfRule type="duplicateValues" dxfId="6382" priority="56"/>
  </conditionalFormatting>
  <conditionalFormatting sqref="O16">
    <cfRule type="duplicateValues" dxfId="6381" priority="55"/>
  </conditionalFormatting>
  <conditionalFormatting sqref="O19">
    <cfRule type="duplicateValues" dxfId="6380" priority="52"/>
  </conditionalFormatting>
  <conditionalFormatting sqref="O22">
    <cfRule type="duplicateValues" dxfId="6379" priority="47"/>
  </conditionalFormatting>
  <conditionalFormatting sqref="O23">
    <cfRule type="duplicateValues" dxfId="6378" priority="46"/>
  </conditionalFormatting>
  <conditionalFormatting sqref="O24">
    <cfRule type="duplicateValues" dxfId="6377" priority="45"/>
  </conditionalFormatting>
  <conditionalFormatting sqref="O25">
    <cfRule type="duplicateValues" dxfId="6376" priority="44"/>
  </conditionalFormatting>
  <conditionalFormatting sqref="O26">
    <cfRule type="duplicateValues" dxfId="6375" priority="43"/>
  </conditionalFormatting>
  <conditionalFormatting sqref="O27">
    <cfRule type="duplicateValues" dxfId="6374" priority="41"/>
  </conditionalFormatting>
  <conditionalFormatting sqref="O28">
    <cfRule type="duplicateValues" dxfId="6373" priority="39"/>
  </conditionalFormatting>
  <conditionalFormatting sqref="O29">
    <cfRule type="duplicateValues" dxfId="6372" priority="38"/>
  </conditionalFormatting>
  <conditionalFormatting sqref="O30">
    <cfRule type="duplicateValues" dxfId="6371" priority="37"/>
  </conditionalFormatting>
  <conditionalFormatting sqref="O31">
    <cfRule type="duplicateValues" dxfId="6370" priority="36"/>
  </conditionalFormatting>
  <conditionalFormatting sqref="O32">
    <cfRule type="duplicateValues" dxfId="6369" priority="35"/>
  </conditionalFormatting>
  <conditionalFormatting sqref="O33">
    <cfRule type="duplicateValues" dxfId="6368" priority="34"/>
  </conditionalFormatting>
  <conditionalFormatting sqref="X2">
    <cfRule type="duplicateValues" dxfId="6367" priority="29"/>
  </conditionalFormatting>
  <conditionalFormatting sqref="W2">
    <cfRule type="duplicateValues" dxfId="6366" priority="25"/>
  </conditionalFormatting>
  <conditionalFormatting sqref="O34:O36">
    <cfRule type="duplicateValues" dxfId="6365" priority="21"/>
  </conditionalFormatting>
  <conditionalFormatting sqref="Q33">
    <cfRule type="duplicateValues" dxfId="6364" priority="19"/>
  </conditionalFormatting>
  <conditionalFormatting sqref="Y28:Y40">
    <cfRule type="duplicateValues" dxfId="6363" priority="4835"/>
  </conditionalFormatting>
  <conditionalFormatting sqref="U10">
    <cfRule type="duplicateValues" dxfId="6362" priority="13"/>
  </conditionalFormatting>
  <conditionalFormatting sqref="U35:U38 U27:U30">
    <cfRule type="duplicateValues" dxfId="6361" priority="4856"/>
  </conditionalFormatting>
  <conditionalFormatting sqref="U39:U40">
    <cfRule type="duplicateValues" dxfId="6360" priority="4857"/>
  </conditionalFormatting>
  <conditionalFormatting sqref="U39">
    <cfRule type="duplicateValues" dxfId="6359" priority="4859"/>
  </conditionalFormatting>
  <conditionalFormatting sqref="U30">
    <cfRule type="duplicateValues" dxfId="6358" priority="4924"/>
  </conditionalFormatting>
  <conditionalFormatting sqref="U31:U34">
    <cfRule type="duplicateValues" dxfId="6357" priority="4925"/>
  </conditionalFormatting>
  <conditionalFormatting sqref="O17">
    <cfRule type="duplicateValues" dxfId="6356" priority="4928"/>
  </conditionalFormatting>
  <conditionalFormatting sqref="O18">
    <cfRule type="duplicateValues" dxfId="6355" priority="4929"/>
  </conditionalFormatting>
  <conditionalFormatting sqref="P43:P46">
    <cfRule type="duplicateValues" dxfId="6354" priority="4930"/>
  </conditionalFormatting>
  <conditionalFormatting sqref="V33">
    <cfRule type="duplicateValues" dxfId="6353" priority="12"/>
  </conditionalFormatting>
  <conditionalFormatting sqref="X63:X65">
    <cfRule type="duplicateValues" dxfId="6352" priority="5026"/>
  </conditionalFormatting>
  <conditionalFormatting sqref="X36:X40 U27:U29 P2:P3 N2 X5 T2:T3 T34:T37 T39:T53 Z4:Z95 Y2:Z3">
    <cfRule type="duplicateValues" dxfId="6351" priority="5053"/>
  </conditionalFormatting>
  <conditionalFormatting sqref="Y5">
    <cfRule type="duplicateValues" dxfId="6350" priority="11"/>
  </conditionalFormatting>
  <conditionalFormatting sqref="Y10">
    <cfRule type="duplicateValues" dxfId="6349" priority="9"/>
  </conditionalFormatting>
  <conditionalFormatting sqref="Y25">
    <cfRule type="duplicateValues" dxfId="6348" priority="8"/>
  </conditionalFormatting>
  <conditionalFormatting sqref="F7:F12 B2 A2:A8 E3:E19 D2:D7 C2:C10 I2:J6 J7 J9 I7:I11 K2:L11 G2 F3:G6 G7:G16 E21:E25">
    <cfRule type="duplicateValues" dxfId="6347" priority="5066"/>
  </conditionalFormatting>
  <conditionalFormatting sqref="Y11:Y24 V31:V32 U2:U9 P4:P34 Q3:Q31 T4:T33 X6:X35 W3:W32 Y4 U11:U26 Y6:Y9">
    <cfRule type="duplicateValues" dxfId="6346" priority="5088"/>
  </conditionalFormatting>
  <conditionalFormatting sqref="S24:S34">
    <cfRule type="duplicateValues" dxfId="6345" priority="3"/>
  </conditionalFormatting>
  <conditionalFormatting sqref="S20:S23">
    <cfRule type="duplicateValues" dxfId="6344" priority="2"/>
  </conditionalFormatting>
  <conditionalFormatting sqref="S48:S49">
    <cfRule type="duplicateValues" dxfId="6343" priority="1"/>
  </conditionalFormatting>
  <conditionalFormatting sqref="S37:S40 S2:S3">
    <cfRule type="duplicateValues" dxfId="6342" priority="4"/>
  </conditionalFormatting>
  <conditionalFormatting sqref="S2:S3">
    <cfRule type="duplicateValues" dxfId="6341" priority="5"/>
  </conditionalFormatting>
  <conditionalFormatting sqref="S35:S36 S4:S7 S15:S19">
    <cfRule type="duplicateValues" dxfId="6340" priority="6"/>
  </conditionalFormatting>
  <conditionalFormatting sqref="S42:S47">
    <cfRule type="duplicateValues" dxfId="6339" priority="7"/>
  </conditionalFormatting>
  <hyperlinks>
    <hyperlink ref="Y38" r:id="rId1" display="https://workload-measurement.hmpps.service.justice.gov.uk/probation/team/4204" xr:uid="{FF3C7A8F-6407-45F8-83F2-36DE1CD65E10}"/>
    <hyperlink ref="Y68"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U153"/>
  <sheetViews>
    <sheetView zoomScale="70" zoomScaleNormal="70" workbookViewId="0">
      <pane ySplit="1" topLeftCell="A2" activePane="bottomLeft" state="frozen"/>
      <selection activeCell="B20" sqref="B20"/>
      <selection pane="bottomLeft" activeCell="B38" sqref="B38"/>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26" bestFit="1" customWidth="1"/>
    <col min="7" max="7" width="13.5" bestFit="1" customWidth="1"/>
    <col min="8" max="8" width="18.5" bestFit="1" customWidth="1"/>
    <col min="9" max="9" width="15.5" bestFit="1" customWidth="1"/>
    <col min="10" max="10" width="18.5" bestFit="1" customWidth="1"/>
    <col min="11" max="12" width="11" customWidth="1"/>
    <col min="13" max="13" width="14.5" style="225"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s>
  <sheetData>
    <row r="1" spans="1:21" ht="45" customHeight="1" x14ac:dyDescent="0.2">
      <c r="A1" s="216" t="s">
        <v>843</v>
      </c>
      <c r="B1" s="216" t="s">
        <v>844</v>
      </c>
      <c r="C1" s="216" t="s">
        <v>845</v>
      </c>
      <c r="D1" s="216" t="s">
        <v>846</v>
      </c>
      <c r="E1" s="216" t="s">
        <v>847</v>
      </c>
      <c r="F1" s="216" t="s">
        <v>848</v>
      </c>
      <c r="G1" s="216" t="s">
        <v>849</v>
      </c>
      <c r="H1" s="216" t="s">
        <v>850</v>
      </c>
      <c r="I1" s="216" t="s">
        <v>851</v>
      </c>
      <c r="J1" s="216" t="s">
        <v>852</v>
      </c>
      <c r="K1" s="216" t="s">
        <v>853</v>
      </c>
      <c r="L1" s="216" t="s">
        <v>854</v>
      </c>
      <c r="M1" s="216" t="s">
        <v>855</v>
      </c>
      <c r="O1" s="23" t="s">
        <v>856</v>
      </c>
      <c r="P1" s="43" t="s">
        <v>857</v>
      </c>
      <c r="Q1" s="44" t="s">
        <v>858</v>
      </c>
      <c r="R1" s="44" t="s">
        <v>859</v>
      </c>
      <c r="S1" s="45" t="s">
        <v>860</v>
      </c>
      <c r="T1" s="45" t="s">
        <v>861</v>
      </c>
      <c r="U1" s="190" t="s">
        <v>862</v>
      </c>
    </row>
    <row r="2" spans="1:21" ht="16" x14ac:dyDescent="0.2">
      <c r="O2" s="23" t="s">
        <v>17</v>
      </c>
      <c r="P2" s="23" t="s">
        <v>29</v>
      </c>
      <c r="Q2" s="222" t="str">
        <f>IFERROR(SUM((SUMIFS('capacity data'!$G:$G,'capacity data'!$E:$E,"PO",'capacity data'!$B:$B,P2))-SUMIFS('capacity data'!$H:$H,'capacity data'!$E:$E,"PO",'capacity data'!$B:$B,P2))/SUMIFS('capacity data'!$G:$G,'capacity data'!$E:$E,"PO",'capacity data'!$B:$B,P2),"")</f>
        <v/>
      </c>
      <c r="R2" s="222" t="str">
        <f>IFERROR(SUM((SUMIFS('capacity data'!$G:$G,'capacity data'!$E:$E,"PSO",'capacity data'!$B:$B,P2))-SUMIFS('capacity data'!$H:$H,'capacity data'!$E:$E,"PSO",'capacity data'!$B:$B,P2))/SUMIFS('capacity data'!$G:$G,'capacity data'!$E:$E,"PSO",'capacity data'!$B:$B,P2),"")</f>
        <v/>
      </c>
      <c r="S2" s="22" t="str">
        <f>IFERROR((Q2-R2),"")</f>
        <v/>
      </c>
      <c r="T2" s="223" t="str">
        <f>IFERROR(SUMIFS('capacity data'!$L:$L,'capacity data'!$B:$B,P2,'capacity data'!$E:$E,"PSO")/SUMIFS('capacity data'!$G:$G,'capacity data'!$E:$E,"PSO",'capacity data'!$B:$B,P2),"")</f>
        <v/>
      </c>
      <c r="U2" s="223" t="str">
        <f>IFERROR(SUMIFS('capacity data'!$L:$L,'capacity data'!$B:$B,P2,'capacity data'!$E:$E,"TPO")/SUMIFS('capacity data'!$G:$G,'capacity data'!$E:$E,"TPO",'capacity data'!$B:$B,P2),"")</f>
        <v/>
      </c>
    </row>
    <row r="3" spans="1:21" ht="16" x14ac:dyDescent="0.2">
      <c r="O3" s="23" t="s">
        <v>17</v>
      </c>
      <c r="P3" t="s">
        <v>51</v>
      </c>
      <c r="Q3" s="222" t="str">
        <f>IFERROR(SUM((SUMIFS('capacity data'!$G:$G,'capacity data'!$E:$E,"PO",'capacity data'!$B:$B,P3))-SUMIFS('capacity data'!$H:$H,'capacity data'!$E:$E,"PO",'capacity data'!$B:$B,P3))/SUMIFS('capacity data'!$G:$G,'capacity data'!$E:$E,"PO",'capacity data'!$B:$B,P3),"")</f>
        <v/>
      </c>
      <c r="R3" s="222" t="str">
        <f>IFERROR(SUM((SUMIFS('capacity data'!$G:$G,'capacity data'!$E:$E,"PSO",'capacity data'!$B:$B,P3))-SUMIFS('capacity data'!$H:$H,'capacity data'!$E:$E,"PSO",'capacity data'!$B:$B,P3))/SUMIFS('capacity data'!$G:$G,'capacity data'!$E:$E,"PSO",'capacity data'!$B:$B,P3),"")</f>
        <v/>
      </c>
      <c r="S3" s="22" t="str">
        <f t="shared" ref="S3:S66" si="0">IFERROR((Q3-R3),"")</f>
        <v/>
      </c>
      <c r="T3" s="223" t="str">
        <f>IFERROR(SUMIFS('capacity data'!$L:$L,'capacity data'!$B:$B,P3,'capacity data'!$E:$E,"PSO")/SUMIFS('capacity data'!$G:$G,'capacity data'!$E:$E,"PSO",'capacity data'!$B:$B,P3),"")</f>
        <v/>
      </c>
      <c r="U3" s="223" t="str">
        <f>IFERROR(SUMIFS('capacity data'!$L:$L,'capacity data'!$B:$B,P3,'capacity data'!$E:$E,"TPO")/SUMIFS('capacity data'!$G:$G,'capacity data'!$E:$E,"TPO",'capacity data'!$B:$B,P3),"")</f>
        <v/>
      </c>
    </row>
    <row r="4" spans="1:21" ht="16" x14ac:dyDescent="0.2">
      <c r="O4" s="23" t="s">
        <v>17</v>
      </c>
      <c r="P4" t="s">
        <v>72</v>
      </c>
      <c r="Q4" s="222" t="str">
        <f>IFERROR(SUM((SUMIFS('capacity data'!$G:$G,'capacity data'!$E:$E,"PO",'capacity data'!$B:$B,P4))-SUMIFS('capacity data'!$H:$H,'capacity data'!$E:$E,"PO",'capacity data'!$B:$B,P4))/SUMIFS('capacity data'!$G:$G,'capacity data'!$E:$E,"PO",'capacity data'!$B:$B,P4),"")</f>
        <v/>
      </c>
      <c r="R4" s="222" t="str">
        <f>IFERROR(SUM((SUMIFS('capacity data'!$G:$G,'capacity data'!$E:$E,"PSO",'capacity data'!$B:$B,P4))-SUMIFS('capacity data'!$H:$H,'capacity data'!$E:$E,"PSO",'capacity data'!$B:$B,P4))/SUMIFS('capacity data'!$G:$G,'capacity data'!$E:$E,"PSO",'capacity data'!$B:$B,P4),"")</f>
        <v/>
      </c>
      <c r="S4" s="22" t="str">
        <f t="shared" si="0"/>
        <v/>
      </c>
      <c r="T4" s="223" t="str">
        <f>IFERROR(SUMIFS('capacity data'!$L:$L,'capacity data'!$B:$B,P4,'capacity data'!$E:$E,"PSO")/SUMIFS('capacity data'!$G:$G,'capacity data'!$E:$E,"PSO",'capacity data'!$B:$B,P4),"")</f>
        <v/>
      </c>
      <c r="U4" s="223" t="str">
        <f>IFERROR(SUMIFS('capacity data'!$L:$L,'capacity data'!$B:$B,P4,'capacity data'!$E:$E,"TPO")/SUMIFS('capacity data'!$G:$G,'capacity data'!$E:$E,"TPO",'capacity data'!$B:$B,P4),"")</f>
        <v/>
      </c>
    </row>
    <row r="5" spans="1:21" ht="16" x14ac:dyDescent="0.2">
      <c r="O5" s="23" t="s">
        <v>17</v>
      </c>
      <c r="P5" t="s">
        <v>94</v>
      </c>
      <c r="Q5" s="222" t="str">
        <f>IFERROR(SUM((SUMIFS('capacity data'!$G:$G,'capacity data'!$E:$E,"PO",'capacity data'!$B:$B,P5))-SUMIFS('capacity data'!$H:$H,'capacity data'!$E:$E,"PO",'capacity data'!$B:$B,P5))/SUMIFS('capacity data'!$G:$G,'capacity data'!$E:$E,"PO",'capacity data'!$B:$B,P5),"")</f>
        <v/>
      </c>
      <c r="R5" s="222" t="str">
        <f>IFERROR(SUM((SUMIFS('capacity data'!$G:$G,'capacity data'!$E:$E,"PSO",'capacity data'!$B:$B,P5))-SUMIFS('capacity data'!$H:$H,'capacity data'!$E:$E,"PSO",'capacity data'!$B:$B,P5))/SUMIFS('capacity data'!$G:$G,'capacity data'!$E:$E,"PSO",'capacity data'!$B:$B,P5),"")</f>
        <v/>
      </c>
      <c r="S5" s="22" t="str">
        <f t="shared" si="0"/>
        <v/>
      </c>
      <c r="T5" s="223" t="str">
        <f>IFERROR(SUMIFS('capacity data'!$L:$L,'capacity data'!$B:$B,P5,'capacity data'!$E:$E,"PSO")/SUMIFS('capacity data'!$G:$G,'capacity data'!$E:$E,"PSO",'capacity data'!$B:$B,P5),"")</f>
        <v/>
      </c>
      <c r="U5" s="223" t="str">
        <f>IFERROR(SUMIFS('capacity data'!$L:$L,'capacity data'!$B:$B,P5,'capacity data'!$E:$E,"TPO")/SUMIFS('capacity data'!$G:$G,'capacity data'!$E:$E,"TPO",'capacity data'!$B:$B,P5),"")</f>
        <v/>
      </c>
    </row>
    <row r="6" spans="1:21" ht="16" x14ac:dyDescent="0.2">
      <c r="O6" s="23" t="s">
        <v>17</v>
      </c>
      <c r="P6" t="s">
        <v>116</v>
      </c>
      <c r="Q6" s="222" t="str">
        <f>IFERROR(SUM((SUMIFS('capacity data'!$G:$G,'capacity data'!$E:$E,"PO",'capacity data'!$B:$B,P6))-SUMIFS('capacity data'!$H:$H,'capacity data'!$E:$E,"PO",'capacity data'!$B:$B,P6))/SUMIFS('capacity data'!$G:$G,'capacity data'!$E:$E,"PO",'capacity data'!$B:$B,P6),"")</f>
        <v/>
      </c>
      <c r="R6" s="222" t="str">
        <f>IFERROR(SUM((SUMIFS('capacity data'!$G:$G,'capacity data'!$E:$E,"PSO",'capacity data'!$B:$B,P6))-SUMIFS('capacity data'!$H:$H,'capacity data'!$E:$E,"PSO",'capacity data'!$B:$B,P6))/SUMIFS('capacity data'!$G:$G,'capacity data'!$E:$E,"PSO",'capacity data'!$B:$B,P6),"")</f>
        <v/>
      </c>
      <c r="S6" s="22" t="str">
        <f t="shared" si="0"/>
        <v/>
      </c>
      <c r="T6" s="223" t="str">
        <f>IFERROR(SUMIFS('capacity data'!$L:$L,'capacity data'!$B:$B,P6,'capacity data'!$E:$E,"PSO")/SUMIFS('capacity data'!$G:$G,'capacity data'!$E:$E,"PSO",'capacity data'!$B:$B,P6),"")</f>
        <v/>
      </c>
      <c r="U6" s="223" t="str">
        <f>IFERROR(SUMIFS('capacity data'!$L:$L,'capacity data'!$B:$B,P6,'capacity data'!$E:$E,"TPO")/SUMIFS('capacity data'!$G:$G,'capacity data'!$E:$E,"TPO",'capacity data'!$B:$B,P6),"")</f>
        <v/>
      </c>
    </row>
    <row r="7" spans="1:21" ht="16" x14ac:dyDescent="0.2">
      <c r="O7" s="23" t="s">
        <v>17</v>
      </c>
      <c r="P7" t="s">
        <v>137</v>
      </c>
      <c r="Q7" s="222" t="str">
        <f>IFERROR(SUM((SUMIFS('capacity data'!$G:$G,'capacity data'!$E:$E,"PO",'capacity data'!$B:$B,P7))-SUMIFS('capacity data'!$H:$H,'capacity data'!$E:$E,"PO",'capacity data'!$B:$B,P7))/SUMIFS('capacity data'!$G:$G,'capacity data'!$E:$E,"PO",'capacity data'!$B:$B,P7),"")</f>
        <v/>
      </c>
      <c r="R7" s="222" t="str">
        <f>IFERROR(SUM((SUMIFS('capacity data'!$G:$G,'capacity data'!$E:$E,"PSO",'capacity data'!$B:$B,P7))-SUMIFS('capacity data'!$H:$H,'capacity data'!$E:$E,"PSO",'capacity data'!$B:$B,P7))/SUMIFS('capacity data'!$G:$G,'capacity data'!$E:$E,"PSO",'capacity data'!$B:$B,P7),"")</f>
        <v/>
      </c>
      <c r="S7" s="22" t="str">
        <f t="shared" si="0"/>
        <v/>
      </c>
      <c r="T7" s="223" t="str">
        <f>IFERROR(SUMIFS('capacity data'!$L:$L,'capacity data'!$B:$B,P7,'capacity data'!$E:$E,"PSO")/SUMIFS('capacity data'!$G:$G,'capacity data'!$E:$E,"PSO",'capacity data'!$B:$B,P7),"")</f>
        <v/>
      </c>
      <c r="U7" s="223" t="str">
        <f>IFERROR(SUMIFS('capacity data'!$L:$L,'capacity data'!$B:$B,P7,'capacity data'!$E:$E,"TPO")/SUMIFS('capacity data'!$G:$G,'capacity data'!$E:$E,"TPO",'capacity data'!$B:$B,P7),"")</f>
        <v/>
      </c>
    </row>
    <row r="8" spans="1:21" ht="16" x14ac:dyDescent="0.2">
      <c r="O8" s="23" t="s">
        <v>17</v>
      </c>
      <c r="P8" t="s">
        <v>158</v>
      </c>
      <c r="Q8" s="222" t="str">
        <f>IFERROR(SUM((SUMIFS('capacity data'!$G:$G,'capacity data'!$E:$E,"PO",'capacity data'!$B:$B,P8))-SUMIFS('capacity data'!$H:$H,'capacity data'!$E:$E,"PO",'capacity data'!$B:$B,P8))/SUMIFS('capacity data'!$G:$G,'capacity data'!$E:$E,"PO",'capacity data'!$B:$B,P8),"")</f>
        <v/>
      </c>
      <c r="R8" s="222" t="str">
        <f>IFERROR(SUM((SUMIFS('capacity data'!$G:$G,'capacity data'!$E:$E,"PSO",'capacity data'!$B:$B,P8))-SUMIFS('capacity data'!$H:$H,'capacity data'!$E:$E,"PSO",'capacity data'!$B:$B,P8))/SUMIFS('capacity data'!$G:$G,'capacity data'!$E:$E,"PSO",'capacity data'!$B:$B,P8),"")</f>
        <v/>
      </c>
      <c r="S8" s="22" t="str">
        <f t="shared" si="0"/>
        <v/>
      </c>
      <c r="T8" s="223" t="str">
        <f>IFERROR(SUMIFS('capacity data'!$L:$L,'capacity data'!$B:$B,P8,'capacity data'!$E:$E,"PSO")/SUMIFS('capacity data'!$G:$G,'capacity data'!$E:$E,"PSO",'capacity data'!$B:$B,P8),"")</f>
        <v/>
      </c>
      <c r="U8" s="223" t="str">
        <f>IFERROR(SUMIFS('capacity data'!$L:$L,'capacity data'!$B:$B,P8,'capacity data'!$E:$E,"TPO")/SUMIFS('capacity data'!$G:$G,'capacity data'!$E:$E,"TPO",'capacity data'!$B:$B,P8),"")</f>
        <v/>
      </c>
    </row>
    <row r="9" spans="1:21" ht="16" x14ac:dyDescent="0.2">
      <c r="O9" s="23" t="s">
        <v>18</v>
      </c>
      <c r="P9" t="s">
        <v>52</v>
      </c>
      <c r="Q9" s="222" t="str">
        <f>IFERROR(SUM((SUMIFS('capacity data'!$G:$G,'capacity data'!$E:$E,"PO",'capacity data'!$B:$B,P9))-SUMIFS('capacity data'!$H:$H,'capacity data'!$E:$E,"PO",'capacity data'!$B:$B,P9))/SUMIFS('capacity data'!$G:$G,'capacity data'!$E:$E,"PO",'capacity data'!$B:$B,P9),"")</f>
        <v/>
      </c>
      <c r="R9" s="222" t="str">
        <f>IFERROR(SUM((SUMIFS('capacity data'!$G:$G,'capacity data'!$E:$E,"PSO",'capacity data'!$B:$B,P9))-SUMIFS('capacity data'!$H:$H,'capacity data'!$E:$E,"PSO",'capacity data'!$B:$B,P9))/SUMIFS('capacity data'!$G:$G,'capacity data'!$E:$E,"PSO",'capacity data'!$B:$B,P9),"")</f>
        <v/>
      </c>
      <c r="S9" s="22" t="str">
        <f t="shared" si="0"/>
        <v/>
      </c>
      <c r="T9" s="223" t="str">
        <f>IFERROR(SUMIFS('capacity data'!$L:$L,'capacity data'!$B:$B,P9,'capacity data'!$E:$E,"PSO")/SUMIFS('capacity data'!$G:$G,'capacity data'!$E:$E,"PSO",'capacity data'!$B:$B,P9),"")</f>
        <v/>
      </c>
      <c r="U9" s="223" t="str">
        <f>IFERROR(SUMIFS('capacity data'!$L:$L,'capacity data'!$B:$B,P9,'capacity data'!$E:$E,"TPO")/SUMIFS('capacity data'!$G:$G,'capacity data'!$E:$E,"TPO",'capacity data'!$B:$B,P9),"")</f>
        <v/>
      </c>
    </row>
    <row r="10" spans="1:21" ht="16" x14ac:dyDescent="0.2">
      <c r="O10" s="23" t="s">
        <v>18</v>
      </c>
      <c r="P10" t="s">
        <v>73</v>
      </c>
      <c r="Q10" s="222" t="str">
        <f>IFERROR(SUM((SUMIFS('capacity data'!$G:$G,'capacity data'!$E:$E,"PO",'capacity data'!$B:$B,P10))-SUMIFS('capacity data'!$H:$H,'capacity data'!$E:$E,"PO",'capacity data'!$B:$B,P10))/SUMIFS('capacity data'!$G:$G,'capacity data'!$E:$E,"PO",'capacity data'!$B:$B,P10),"")</f>
        <v/>
      </c>
      <c r="R10" s="222" t="str">
        <f>IFERROR(SUM((SUMIFS('capacity data'!$G:$G,'capacity data'!$E:$E,"PSO",'capacity data'!$B:$B,P10))-SUMIFS('capacity data'!$H:$H,'capacity data'!$E:$E,"PSO",'capacity data'!$B:$B,P10))/SUMIFS('capacity data'!$G:$G,'capacity data'!$E:$E,"PSO",'capacity data'!$B:$B,P10),"")</f>
        <v/>
      </c>
      <c r="S10" s="22" t="str">
        <f t="shared" si="0"/>
        <v/>
      </c>
      <c r="T10" s="223" t="str">
        <f>IFERROR(SUMIFS('capacity data'!$L:$L,'capacity data'!$B:$B,P10,'capacity data'!$E:$E,"PSO")/SUMIFS('capacity data'!$G:$G,'capacity data'!$E:$E,"PSO",'capacity data'!$B:$B,P10),"")</f>
        <v/>
      </c>
      <c r="U10" s="223" t="str">
        <f>IFERROR(SUMIFS('capacity data'!$L:$L,'capacity data'!$B:$B,P10,'capacity data'!$E:$E,"TPO")/SUMIFS('capacity data'!$G:$G,'capacity data'!$E:$E,"TPO",'capacity data'!$B:$B,P10),"")</f>
        <v/>
      </c>
    </row>
    <row r="11" spans="1:21" ht="16" x14ac:dyDescent="0.2">
      <c r="O11" s="23" t="s">
        <v>18</v>
      </c>
      <c r="P11" t="s">
        <v>95</v>
      </c>
      <c r="Q11" s="222" t="str">
        <f>IFERROR(SUM((SUMIFS('capacity data'!$G:$G,'capacity data'!$E:$E,"PO",'capacity data'!$B:$B,P11))-SUMIFS('capacity data'!$H:$H,'capacity data'!$E:$E,"PO",'capacity data'!$B:$B,P11))/SUMIFS('capacity data'!$G:$G,'capacity data'!$E:$E,"PO",'capacity data'!$B:$B,P11),"")</f>
        <v/>
      </c>
      <c r="R11" s="222" t="str">
        <f>IFERROR(SUM((SUMIFS('capacity data'!$G:$G,'capacity data'!$E:$E,"PSO",'capacity data'!$B:$B,P11))-SUMIFS('capacity data'!$H:$H,'capacity data'!$E:$E,"PSO",'capacity data'!$B:$B,P11))/SUMIFS('capacity data'!$G:$G,'capacity data'!$E:$E,"PSO",'capacity data'!$B:$B,P11),"")</f>
        <v/>
      </c>
      <c r="S11" s="22" t="str">
        <f t="shared" si="0"/>
        <v/>
      </c>
      <c r="T11" s="223" t="str">
        <f>IFERROR(SUMIFS('capacity data'!$L:$L,'capacity data'!$B:$B,P11,'capacity data'!$E:$E,"PSO")/SUMIFS('capacity data'!$G:$G,'capacity data'!$E:$E,"PSO",'capacity data'!$B:$B,P11),"")</f>
        <v/>
      </c>
      <c r="U11" s="223" t="str">
        <f>IFERROR(SUMIFS('capacity data'!$L:$L,'capacity data'!$B:$B,P11,'capacity data'!$E:$E,"TPO")/SUMIFS('capacity data'!$G:$G,'capacity data'!$E:$E,"TPO",'capacity data'!$B:$B,P11),"")</f>
        <v/>
      </c>
    </row>
    <row r="12" spans="1:21" ht="16" x14ac:dyDescent="0.2">
      <c r="O12" s="23" t="s">
        <v>18</v>
      </c>
      <c r="P12" t="s">
        <v>117</v>
      </c>
      <c r="Q12" s="222" t="str">
        <f>IFERROR(SUM((SUMIFS('capacity data'!$G:$G,'capacity data'!$E:$E,"PO",'capacity data'!$B:$B,P12))-SUMIFS('capacity data'!$H:$H,'capacity data'!$E:$E,"PO",'capacity data'!$B:$B,P12))/SUMIFS('capacity data'!$G:$G,'capacity data'!$E:$E,"PO",'capacity data'!$B:$B,P12),"")</f>
        <v/>
      </c>
      <c r="R12" s="222" t="str">
        <f>IFERROR(SUM((SUMIFS('capacity data'!$G:$G,'capacity data'!$E:$E,"PSO",'capacity data'!$B:$B,P12))-SUMIFS('capacity data'!$H:$H,'capacity data'!$E:$E,"PSO",'capacity data'!$B:$B,P12))/SUMIFS('capacity data'!$G:$G,'capacity data'!$E:$E,"PSO",'capacity data'!$B:$B,P12),"")</f>
        <v/>
      </c>
      <c r="S12" s="22" t="str">
        <f t="shared" si="0"/>
        <v/>
      </c>
      <c r="T12" s="223" t="str">
        <f>IFERROR(SUMIFS('capacity data'!$L:$L,'capacity data'!$B:$B,P12,'capacity data'!$E:$E,"PSO")/SUMIFS('capacity data'!$G:$G,'capacity data'!$E:$E,"PSO",'capacity data'!$B:$B,P12),"")</f>
        <v/>
      </c>
      <c r="U12" s="223" t="str">
        <f>IFERROR(SUMIFS('capacity data'!$L:$L,'capacity data'!$B:$B,P12,'capacity data'!$E:$E,"TPO")/SUMIFS('capacity data'!$G:$G,'capacity data'!$E:$E,"TPO",'capacity data'!$B:$B,P12),"")</f>
        <v/>
      </c>
    </row>
    <row r="13" spans="1:21" ht="16" x14ac:dyDescent="0.2">
      <c r="O13" s="23" t="s">
        <v>18</v>
      </c>
      <c r="P13" t="s">
        <v>138</v>
      </c>
      <c r="Q13" s="222" t="str">
        <f>IFERROR(SUM((SUMIFS('capacity data'!$G:$G,'capacity data'!$E:$E,"PO",'capacity data'!$B:$B,P13))-SUMIFS('capacity data'!$H:$H,'capacity data'!$E:$E,"PO",'capacity data'!$B:$B,P13))/SUMIFS('capacity data'!$G:$G,'capacity data'!$E:$E,"PO",'capacity data'!$B:$B,P13),"")</f>
        <v/>
      </c>
      <c r="R13" s="222" t="str">
        <f>IFERROR(SUM((SUMIFS('capacity data'!$G:$G,'capacity data'!$E:$E,"PSO",'capacity data'!$B:$B,P13))-SUMIFS('capacity data'!$H:$H,'capacity data'!$E:$E,"PSO",'capacity data'!$B:$B,P13))/SUMIFS('capacity data'!$G:$G,'capacity data'!$E:$E,"PSO",'capacity data'!$B:$B,P13),"")</f>
        <v/>
      </c>
      <c r="S13" s="22" t="str">
        <f t="shared" si="0"/>
        <v/>
      </c>
      <c r="T13" s="223" t="str">
        <f>IFERROR(SUMIFS('capacity data'!$L:$L,'capacity data'!$B:$B,P13,'capacity data'!$E:$E,"PSO")/SUMIFS('capacity data'!$G:$G,'capacity data'!$E:$E,"PSO",'capacity data'!$B:$B,P13),"")</f>
        <v/>
      </c>
      <c r="U13" s="223" t="str">
        <f>IFERROR(SUMIFS('capacity data'!$L:$L,'capacity data'!$B:$B,P13,'capacity data'!$E:$E,"TPO")/SUMIFS('capacity data'!$G:$G,'capacity data'!$E:$E,"TPO",'capacity data'!$B:$B,P13),"")</f>
        <v/>
      </c>
    </row>
    <row r="14" spans="1:21" ht="16" x14ac:dyDescent="0.2">
      <c r="O14" s="23" t="s">
        <v>18</v>
      </c>
      <c r="P14" t="s">
        <v>159</v>
      </c>
      <c r="Q14" s="222" t="str">
        <f>IFERROR(SUM((SUMIFS('capacity data'!$G:$G,'capacity data'!$E:$E,"PO",'capacity data'!$B:$B,P14))-SUMIFS('capacity data'!$H:$H,'capacity data'!$E:$E,"PO",'capacity data'!$B:$B,P14))/SUMIFS('capacity data'!$G:$G,'capacity data'!$E:$E,"PO",'capacity data'!$B:$B,P14),"")</f>
        <v/>
      </c>
      <c r="R14" s="222" t="str">
        <f>IFERROR(SUM((SUMIFS('capacity data'!$G:$G,'capacity data'!$E:$E,"PSO",'capacity data'!$B:$B,P14))-SUMIFS('capacity data'!$H:$H,'capacity data'!$E:$E,"PSO",'capacity data'!$B:$B,P14))/SUMIFS('capacity data'!$G:$G,'capacity data'!$E:$E,"PSO",'capacity data'!$B:$B,P14),"")</f>
        <v/>
      </c>
      <c r="S14" s="22" t="str">
        <f t="shared" si="0"/>
        <v/>
      </c>
      <c r="T14" s="223" t="str">
        <f>IFERROR(SUMIFS('capacity data'!$L:$L,'capacity data'!$B:$B,P14,'capacity data'!$E:$E,"PSO")/SUMIFS('capacity data'!$G:$G,'capacity data'!$E:$E,"PSO",'capacity data'!$B:$B,P14),"")</f>
        <v/>
      </c>
      <c r="U14" s="223" t="str">
        <f>IFERROR(SUMIFS('capacity data'!$L:$L,'capacity data'!$B:$B,P14,'capacity data'!$E:$E,"TPO")/SUMIFS('capacity data'!$G:$G,'capacity data'!$E:$E,"TPO",'capacity data'!$B:$B,P14),"")</f>
        <v/>
      </c>
    </row>
    <row r="15" spans="1:21" ht="16" x14ac:dyDescent="0.2">
      <c r="O15" s="23" t="s">
        <v>18</v>
      </c>
      <c r="P15" t="s">
        <v>180</v>
      </c>
      <c r="Q15" s="222" t="str">
        <f>IFERROR(SUM((SUMIFS('capacity data'!$G:$G,'capacity data'!$E:$E,"PO",'capacity data'!$B:$B,P15))-SUMIFS('capacity data'!$H:$H,'capacity data'!$E:$E,"PO",'capacity data'!$B:$B,P15))/SUMIFS('capacity data'!$G:$G,'capacity data'!$E:$E,"PO",'capacity data'!$B:$B,P15),"")</f>
        <v/>
      </c>
      <c r="R15" s="222" t="str">
        <f>IFERROR(SUM((SUMIFS('capacity data'!$G:$G,'capacity data'!$E:$E,"PSO",'capacity data'!$B:$B,P15))-SUMIFS('capacity data'!$H:$H,'capacity data'!$E:$E,"PSO",'capacity data'!$B:$B,P15))/SUMIFS('capacity data'!$G:$G,'capacity data'!$E:$E,"PSO",'capacity data'!$B:$B,P15),"")</f>
        <v/>
      </c>
      <c r="S15" s="22" t="str">
        <f t="shared" si="0"/>
        <v/>
      </c>
      <c r="T15" s="223" t="str">
        <f>IFERROR(SUMIFS('capacity data'!$L:$L,'capacity data'!$B:$B,P15,'capacity data'!$E:$E,"PSO")/SUMIFS('capacity data'!$G:$G,'capacity data'!$E:$E,"PSO",'capacity data'!$B:$B,P15),"")</f>
        <v/>
      </c>
      <c r="U15" s="223" t="str">
        <f>IFERROR(SUMIFS('capacity data'!$L:$L,'capacity data'!$B:$B,P15,'capacity data'!$E:$E,"TPO")/SUMIFS('capacity data'!$G:$G,'capacity data'!$E:$E,"TPO",'capacity data'!$B:$B,P15),"")</f>
        <v/>
      </c>
    </row>
    <row r="16" spans="1:21" ht="16" x14ac:dyDescent="0.2">
      <c r="O16" s="23" t="s">
        <v>18</v>
      </c>
      <c r="P16" t="s">
        <v>200</v>
      </c>
      <c r="Q16" s="222" t="str">
        <f>IFERROR(SUM((SUMIFS('capacity data'!$G:$G,'capacity data'!$E:$E,"PO",'capacity data'!$B:$B,P16))-SUMIFS('capacity data'!$H:$H,'capacity data'!$E:$E,"PO",'capacity data'!$B:$B,P16))/SUMIFS('capacity data'!$G:$G,'capacity data'!$E:$E,"PO",'capacity data'!$B:$B,P16),"")</f>
        <v/>
      </c>
      <c r="R16" s="222" t="str">
        <f>IFERROR(SUM((SUMIFS('capacity data'!$G:$G,'capacity data'!$E:$E,"PSO",'capacity data'!$B:$B,P16))-SUMIFS('capacity data'!$H:$H,'capacity data'!$E:$E,"PSO",'capacity data'!$B:$B,P16))/SUMIFS('capacity data'!$G:$G,'capacity data'!$E:$E,"PSO",'capacity data'!$B:$B,P16),"")</f>
        <v/>
      </c>
      <c r="S16" s="22" t="str">
        <f t="shared" si="0"/>
        <v/>
      </c>
      <c r="T16" s="223" t="str">
        <f>IFERROR(SUMIFS('capacity data'!$L:$L,'capacity data'!$B:$B,P16,'capacity data'!$E:$E,"PSO")/SUMIFS('capacity data'!$G:$G,'capacity data'!$E:$E,"PSO",'capacity data'!$B:$B,P16),"")</f>
        <v/>
      </c>
      <c r="U16" s="223" t="str">
        <f>IFERROR(SUMIFS('capacity data'!$L:$L,'capacity data'!$B:$B,P16,'capacity data'!$E:$E,"TPO")/SUMIFS('capacity data'!$G:$G,'capacity data'!$E:$E,"TPO",'capacity data'!$B:$B,P16),"")</f>
        <v/>
      </c>
    </row>
    <row r="17" spans="15:21" ht="16" x14ac:dyDescent="0.2">
      <c r="O17" s="23" t="s">
        <v>18</v>
      </c>
      <c r="P17" t="s">
        <v>218</v>
      </c>
      <c r="Q17" s="222" t="str">
        <f>IFERROR(SUM((SUMIFS('capacity data'!$G:$G,'capacity data'!$E:$E,"PO",'capacity data'!$B:$B,P17))-SUMIFS('capacity data'!$H:$H,'capacity data'!$E:$E,"PO",'capacity data'!$B:$B,P17))/SUMIFS('capacity data'!$G:$G,'capacity data'!$E:$E,"PO",'capacity data'!$B:$B,P17),"")</f>
        <v/>
      </c>
      <c r="R17" s="222" t="str">
        <f>IFERROR(SUM((SUMIFS('capacity data'!$G:$G,'capacity data'!$E:$E,"PSO",'capacity data'!$B:$B,P17))-SUMIFS('capacity data'!$H:$H,'capacity data'!$E:$E,"PSO",'capacity data'!$B:$B,P17))/SUMIFS('capacity data'!$G:$G,'capacity data'!$E:$E,"PSO",'capacity data'!$B:$B,P17),"")</f>
        <v/>
      </c>
      <c r="S17" s="22" t="str">
        <f t="shared" si="0"/>
        <v/>
      </c>
      <c r="T17" s="223" t="str">
        <f>IFERROR(SUMIFS('capacity data'!$L:$L,'capacity data'!$B:$B,P17,'capacity data'!$E:$E,"PSO")/SUMIFS('capacity data'!$G:$G,'capacity data'!$E:$E,"PSO",'capacity data'!$B:$B,P17),"")</f>
        <v/>
      </c>
      <c r="U17" s="223" t="str">
        <f>IFERROR(SUMIFS('capacity data'!$L:$L,'capacity data'!$B:$B,P17,'capacity data'!$E:$E,"TPO")/SUMIFS('capacity data'!$G:$G,'capacity data'!$E:$E,"TPO",'capacity data'!$B:$B,P17),"")</f>
        <v/>
      </c>
    </row>
    <row r="18" spans="15:21" ht="16" x14ac:dyDescent="0.2">
      <c r="O18" s="23" t="s">
        <v>18</v>
      </c>
      <c r="P18" t="s">
        <v>236</v>
      </c>
      <c r="Q18" s="222" t="str">
        <f>IFERROR(SUM((SUMIFS('capacity data'!$G:$G,'capacity data'!$E:$E,"PO",'capacity data'!$B:$B,P18))-SUMIFS('capacity data'!$H:$H,'capacity data'!$E:$E,"PO",'capacity data'!$B:$B,P18))/SUMIFS('capacity data'!$G:$G,'capacity data'!$E:$E,"PO",'capacity data'!$B:$B,P18),"")</f>
        <v/>
      </c>
      <c r="R18" s="222" t="str">
        <f>IFERROR(SUM((SUMIFS('capacity data'!$G:$G,'capacity data'!$E:$E,"PSO",'capacity data'!$B:$B,P18))-SUMIFS('capacity data'!$H:$H,'capacity data'!$E:$E,"PSO",'capacity data'!$B:$B,P18))/SUMIFS('capacity data'!$G:$G,'capacity data'!$E:$E,"PSO",'capacity data'!$B:$B,P18),"")</f>
        <v/>
      </c>
      <c r="S18" s="22" t="str">
        <f t="shared" si="0"/>
        <v/>
      </c>
      <c r="T18" s="223" t="str">
        <f>IFERROR(SUMIFS('capacity data'!$L:$L,'capacity data'!$B:$B,P18,'capacity data'!$E:$E,"PSO")/SUMIFS('capacity data'!$G:$G,'capacity data'!$E:$E,"PSO",'capacity data'!$B:$B,P18),"")</f>
        <v/>
      </c>
      <c r="U18" s="223" t="str">
        <f>IFERROR(SUMIFS('capacity data'!$L:$L,'capacity data'!$B:$B,P18,'capacity data'!$E:$E,"TPO")/SUMIFS('capacity data'!$G:$G,'capacity data'!$E:$E,"TPO",'capacity data'!$B:$B,P18),"")</f>
        <v/>
      </c>
    </row>
    <row r="19" spans="15:21" ht="16" x14ac:dyDescent="0.2">
      <c r="O19" s="23" t="s">
        <v>18</v>
      </c>
      <c r="P19" t="s">
        <v>253</v>
      </c>
      <c r="Q19" s="222" t="str">
        <f>IFERROR(SUM((SUMIFS('capacity data'!$G:$G,'capacity data'!$E:$E,"PO",'capacity data'!$B:$B,P19))-SUMIFS('capacity data'!$H:$H,'capacity data'!$E:$E,"PO",'capacity data'!$B:$B,P19))/SUMIFS('capacity data'!$G:$G,'capacity data'!$E:$E,"PO",'capacity data'!$B:$B,P19),"")</f>
        <v/>
      </c>
      <c r="R19" s="222" t="str">
        <f>IFERROR(SUM((SUMIFS('capacity data'!$G:$G,'capacity data'!$E:$E,"PSO",'capacity data'!$B:$B,P19))-SUMIFS('capacity data'!$H:$H,'capacity data'!$E:$E,"PSO",'capacity data'!$B:$B,P19))/SUMIFS('capacity data'!$G:$G,'capacity data'!$E:$E,"PSO",'capacity data'!$B:$B,P19),"")</f>
        <v/>
      </c>
      <c r="S19" s="22" t="str">
        <f t="shared" si="0"/>
        <v/>
      </c>
      <c r="T19" s="223" t="str">
        <f>IFERROR(SUMIFS('capacity data'!$L:$L,'capacity data'!$B:$B,P19,'capacity data'!$E:$E,"PSO")/SUMIFS('capacity data'!$G:$G,'capacity data'!$E:$E,"PSO",'capacity data'!$B:$B,P19),"")</f>
        <v/>
      </c>
      <c r="U19" s="223" t="str">
        <f>IFERROR(SUMIFS('capacity data'!$L:$L,'capacity data'!$B:$B,P19,'capacity data'!$E:$E,"TPO")/SUMIFS('capacity data'!$G:$G,'capacity data'!$E:$E,"TPO",'capacity data'!$B:$B,P19),"")</f>
        <v/>
      </c>
    </row>
    <row r="20" spans="15:21" ht="16" x14ac:dyDescent="0.2">
      <c r="O20" s="23" t="s">
        <v>19</v>
      </c>
      <c r="P20" t="s">
        <v>31</v>
      </c>
      <c r="Q20" s="222" t="str">
        <f>IFERROR(SUM((SUMIFS('capacity data'!$G:$G,'capacity data'!$E:$E,"PO",'capacity data'!$B:$B,P20))-SUMIFS('capacity data'!$H:$H,'capacity data'!$E:$E,"PO",'capacity data'!$B:$B,P20))/SUMIFS('capacity data'!$G:$G,'capacity data'!$E:$E,"PO",'capacity data'!$B:$B,P20),"")</f>
        <v/>
      </c>
      <c r="R20" s="222" t="str">
        <f>IFERROR(SUM((SUMIFS('capacity data'!$G:$G,'capacity data'!$E:$E,"PSO",'capacity data'!$B:$B,P20))-SUMIFS('capacity data'!$H:$H,'capacity data'!$E:$E,"PSO",'capacity data'!$B:$B,P20))/SUMIFS('capacity data'!$G:$G,'capacity data'!$E:$E,"PSO",'capacity data'!$B:$B,P20),"")</f>
        <v/>
      </c>
      <c r="S20" s="22" t="str">
        <f t="shared" si="0"/>
        <v/>
      </c>
      <c r="T20" s="223" t="str">
        <f>IFERROR(SUMIFS('capacity data'!$L:$L,'capacity data'!$B:$B,P20,'capacity data'!$E:$E,"PSO")/SUMIFS('capacity data'!$G:$G,'capacity data'!$E:$E,"PSO",'capacity data'!$B:$B,P20),"")</f>
        <v/>
      </c>
      <c r="U20" s="223" t="str">
        <f>IFERROR(SUMIFS('capacity data'!$L:$L,'capacity data'!$B:$B,P20,'capacity data'!$E:$E,"TPO")/SUMIFS('capacity data'!$G:$G,'capacity data'!$E:$E,"TPO",'capacity data'!$B:$B,P20),"")</f>
        <v/>
      </c>
    </row>
    <row r="21" spans="15:21" ht="16" x14ac:dyDescent="0.2">
      <c r="O21" s="23" t="s">
        <v>19</v>
      </c>
      <c r="P21" t="s">
        <v>53</v>
      </c>
      <c r="Q21" s="222" t="str">
        <f>IFERROR(SUM((SUMIFS('capacity data'!$G:$G,'capacity data'!$E:$E,"PO",'capacity data'!$B:$B,P21))-SUMIFS('capacity data'!$H:$H,'capacity data'!$E:$E,"PO",'capacity data'!$B:$B,P21))/SUMIFS('capacity data'!$G:$G,'capacity data'!$E:$E,"PO",'capacity data'!$B:$B,P21),"")</f>
        <v/>
      </c>
      <c r="R21" s="222" t="str">
        <f>IFERROR(SUM((SUMIFS('capacity data'!$G:$G,'capacity data'!$E:$E,"PSO",'capacity data'!$B:$B,P21))-SUMIFS('capacity data'!$H:$H,'capacity data'!$E:$E,"PSO",'capacity data'!$B:$B,P21))/SUMIFS('capacity data'!$G:$G,'capacity data'!$E:$E,"PSO",'capacity data'!$B:$B,P21),"")</f>
        <v/>
      </c>
      <c r="S21" s="22" t="str">
        <f t="shared" si="0"/>
        <v/>
      </c>
      <c r="T21" s="223" t="str">
        <f>IFERROR(SUMIFS('capacity data'!$L:$L,'capacity data'!$B:$B,P21,'capacity data'!$E:$E,"PSO")/SUMIFS('capacity data'!$G:$G,'capacity data'!$E:$E,"PSO",'capacity data'!$B:$B,P21),"")</f>
        <v/>
      </c>
      <c r="U21" s="223" t="str">
        <f>IFERROR(SUMIFS('capacity data'!$L:$L,'capacity data'!$B:$B,P21,'capacity data'!$E:$E,"TPO")/SUMIFS('capacity data'!$G:$G,'capacity data'!$E:$E,"TPO",'capacity data'!$B:$B,P21),"")</f>
        <v/>
      </c>
    </row>
    <row r="22" spans="15:21" ht="16" x14ac:dyDescent="0.2">
      <c r="O22" s="23" t="s">
        <v>19</v>
      </c>
      <c r="P22" t="s">
        <v>74</v>
      </c>
      <c r="Q22" s="222" t="str">
        <f>IFERROR(SUM((SUMIFS('capacity data'!$G:$G,'capacity data'!$E:$E,"PO",'capacity data'!$B:$B,P22))-SUMIFS('capacity data'!$H:$H,'capacity data'!$E:$E,"PO",'capacity data'!$B:$B,P22))/SUMIFS('capacity data'!$G:$G,'capacity data'!$E:$E,"PO",'capacity data'!$B:$B,P22),"")</f>
        <v/>
      </c>
      <c r="R22" s="222" t="str">
        <f>IFERROR(SUM((SUMIFS('capacity data'!$G:$G,'capacity data'!$E:$E,"PSO",'capacity data'!$B:$B,P22))-SUMIFS('capacity data'!$H:$H,'capacity data'!$E:$E,"PSO",'capacity data'!$B:$B,P22))/SUMIFS('capacity data'!$G:$G,'capacity data'!$E:$E,"PSO",'capacity data'!$B:$B,P22),"")</f>
        <v/>
      </c>
      <c r="S22" s="22" t="str">
        <f t="shared" si="0"/>
        <v/>
      </c>
      <c r="T22" s="223" t="str">
        <f>IFERROR(SUMIFS('capacity data'!$L:$L,'capacity data'!$B:$B,P22,'capacity data'!$E:$E,"PSO")/SUMIFS('capacity data'!$G:$G,'capacity data'!$E:$E,"PSO",'capacity data'!$B:$B,P22),"")</f>
        <v/>
      </c>
      <c r="U22" s="223" t="str">
        <f>IFERROR(SUMIFS('capacity data'!$L:$L,'capacity data'!$B:$B,P22,'capacity data'!$E:$E,"TPO")/SUMIFS('capacity data'!$G:$G,'capacity data'!$E:$E,"TPO",'capacity data'!$B:$B,P22),"")</f>
        <v/>
      </c>
    </row>
    <row r="23" spans="15:21" ht="16" x14ac:dyDescent="0.2">
      <c r="O23" s="23" t="s">
        <v>19</v>
      </c>
      <c r="P23" t="s">
        <v>96</v>
      </c>
      <c r="Q23" s="222" t="str">
        <f>IFERROR(SUM((SUMIFS('capacity data'!$G:$G,'capacity data'!$E:$E,"PO",'capacity data'!$B:$B,P23))-SUMIFS('capacity data'!$H:$H,'capacity data'!$E:$E,"PO",'capacity data'!$B:$B,P23))/SUMIFS('capacity data'!$G:$G,'capacity data'!$E:$E,"PO",'capacity data'!$B:$B,P23),"")</f>
        <v/>
      </c>
      <c r="R23" s="222" t="str">
        <f>IFERROR(SUM((SUMIFS('capacity data'!$G:$G,'capacity data'!$E:$E,"PSO",'capacity data'!$B:$B,P23))-SUMIFS('capacity data'!$H:$H,'capacity data'!$E:$E,"PSO",'capacity data'!$B:$B,P23))/SUMIFS('capacity data'!$G:$G,'capacity data'!$E:$E,"PSO",'capacity data'!$B:$B,P23),"")</f>
        <v/>
      </c>
      <c r="S23" s="22" t="str">
        <f t="shared" si="0"/>
        <v/>
      </c>
      <c r="T23" s="223" t="str">
        <f>IFERROR(SUMIFS('capacity data'!$L:$L,'capacity data'!$B:$B,P23,'capacity data'!$E:$E,"PSO")/SUMIFS('capacity data'!$G:$G,'capacity data'!$E:$E,"PSO",'capacity data'!$B:$B,P23),"")</f>
        <v/>
      </c>
      <c r="U23" s="223" t="str">
        <f>IFERROR(SUMIFS('capacity data'!$L:$L,'capacity data'!$B:$B,P23,'capacity data'!$E:$E,"TPO")/SUMIFS('capacity data'!$G:$G,'capacity data'!$E:$E,"TPO",'capacity data'!$B:$B,P23),"")</f>
        <v/>
      </c>
    </row>
    <row r="24" spans="15:21" ht="16" x14ac:dyDescent="0.2">
      <c r="O24" s="23" t="s">
        <v>19</v>
      </c>
      <c r="P24" t="s">
        <v>118</v>
      </c>
      <c r="Q24" s="222" t="str">
        <f>IFERROR(SUM((SUMIFS('capacity data'!$G:$G,'capacity data'!$E:$E,"PO",'capacity data'!$B:$B,P24))-SUMIFS('capacity data'!$H:$H,'capacity data'!$E:$E,"PO",'capacity data'!$B:$B,P24))/SUMIFS('capacity data'!$G:$G,'capacity data'!$E:$E,"PO",'capacity data'!$B:$B,P24),"")</f>
        <v/>
      </c>
      <c r="R24" s="222" t="str">
        <f>IFERROR(SUM((SUMIFS('capacity data'!$G:$G,'capacity data'!$E:$E,"PSO",'capacity data'!$B:$B,P24))-SUMIFS('capacity data'!$H:$H,'capacity data'!$E:$E,"PSO",'capacity data'!$B:$B,P24))/SUMIFS('capacity data'!$G:$G,'capacity data'!$E:$E,"PSO",'capacity data'!$B:$B,P24),"")</f>
        <v/>
      </c>
      <c r="S24" s="22" t="str">
        <f t="shared" si="0"/>
        <v/>
      </c>
      <c r="T24" s="223" t="str">
        <f>IFERROR(SUMIFS('capacity data'!$L:$L,'capacity data'!$B:$B,P24,'capacity data'!$E:$E,"PSO")/SUMIFS('capacity data'!$G:$G,'capacity data'!$E:$E,"PSO",'capacity data'!$B:$B,P24),"")</f>
        <v/>
      </c>
      <c r="U24" s="223" t="str">
        <f>IFERROR(SUMIFS('capacity data'!$L:$L,'capacity data'!$B:$B,P24,'capacity data'!$E:$E,"TPO")/SUMIFS('capacity data'!$G:$G,'capacity data'!$E:$E,"TPO",'capacity data'!$B:$B,P24),"")</f>
        <v/>
      </c>
    </row>
    <row r="25" spans="15:21" ht="16" x14ac:dyDescent="0.2">
      <c r="O25" s="23" t="s">
        <v>19</v>
      </c>
      <c r="P25" t="s">
        <v>139</v>
      </c>
      <c r="Q25" s="222" t="str">
        <f>IFERROR(SUM((SUMIFS('capacity data'!$G:$G,'capacity data'!$E:$E,"PO",'capacity data'!$B:$B,P25))-SUMIFS('capacity data'!$H:$H,'capacity data'!$E:$E,"PO",'capacity data'!$B:$B,P25))/SUMIFS('capacity data'!$G:$G,'capacity data'!$E:$E,"PO",'capacity data'!$B:$B,P25),"")</f>
        <v/>
      </c>
      <c r="R25" s="222" t="str">
        <f>IFERROR(SUM((SUMIFS('capacity data'!$G:$G,'capacity data'!$E:$E,"PSO",'capacity data'!$B:$B,P25))-SUMIFS('capacity data'!$H:$H,'capacity data'!$E:$E,"PSO",'capacity data'!$B:$B,P25))/SUMIFS('capacity data'!$G:$G,'capacity data'!$E:$E,"PSO",'capacity data'!$B:$B,P25),"")</f>
        <v/>
      </c>
      <c r="S25" s="22" t="str">
        <f t="shared" si="0"/>
        <v/>
      </c>
      <c r="T25" s="223" t="str">
        <f>IFERROR(SUMIFS('capacity data'!$L:$L,'capacity data'!$B:$B,P25,'capacity data'!$E:$E,"PSO")/SUMIFS('capacity data'!$G:$G,'capacity data'!$E:$E,"PSO",'capacity data'!$B:$B,P25),"")</f>
        <v/>
      </c>
      <c r="U25" s="223" t="str">
        <f>IFERROR(SUMIFS('capacity data'!$L:$L,'capacity data'!$B:$B,P25,'capacity data'!$E:$E,"TPO")/SUMIFS('capacity data'!$G:$G,'capacity data'!$E:$E,"TPO",'capacity data'!$B:$B,P25),"")</f>
        <v/>
      </c>
    </row>
    <row r="26" spans="15:21" ht="16" x14ac:dyDescent="0.2">
      <c r="O26" s="23" t="s">
        <v>19</v>
      </c>
      <c r="P26" t="s">
        <v>160</v>
      </c>
      <c r="Q26" s="222" t="str">
        <f>IFERROR(SUM((SUMIFS('capacity data'!$G:$G,'capacity data'!$E:$E,"PO",'capacity data'!$B:$B,P26))-SUMIFS('capacity data'!$H:$H,'capacity data'!$E:$E,"PO",'capacity data'!$B:$B,P26))/SUMIFS('capacity data'!$G:$G,'capacity data'!$E:$E,"PO",'capacity data'!$B:$B,P26),"")</f>
        <v/>
      </c>
      <c r="R26" s="222" t="str">
        <f>IFERROR(SUM((SUMIFS('capacity data'!$G:$G,'capacity data'!$E:$E,"PSO",'capacity data'!$B:$B,P26))-SUMIFS('capacity data'!$H:$H,'capacity data'!$E:$E,"PSO",'capacity data'!$B:$B,P26))/SUMIFS('capacity data'!$G:$G,'capacity data'!$E:$E,"PSO",'capacity data'!$B:$B,P26),"")</f>
        <v/>
      </c>
      <c r="S26" s="22" t="str">
        <f t="shared" si="0"/>
        <v/>
      </c>
      <c r="T26" s="223" t="str">
        <f>IFERROR(SUMIFS('capacity data'!$L:$L,'capacity data'!$B:$B,P26,'capacity data'!$E:$E,"PSO")/SUMIFS('capacity data'!$G:$G,'capacity data'!$E:$E,"PSO",'capacity data'!$B:$B,P26),"")</f>
        <v/>
      </c>
      <c r="U26" s="223" t="str">
        <f>IFERROR(SUMIFS('capacity data'!$L:$L,'capacity data'!$B:$B,P26,'capacity data'!$E:$E,"TPO")/SUMIFS('capacity data'!$G:$G,'capacity data'!$E:$E,"TPO",'capacity data'!$B:$B,P26),"")</f>
        <v/>
      </c>
    </row>
    <row r="27" spans="15:21" ht="16" x14ac:dyDescent="0.2">
      <c r="O27" s="23" t="s">
        <v>19</v>
      </c>
      <c r="P27" t="s">
        <v>181</v>
      </c>
      <c r="Q27" s="222" t="str">
        <f>IFERROR(SUM((SUMIFS('capacity data'!$G:$G,'capacity data'!$E:$E,"PO",'capacity data'!$B:$B,P27))-SUMIFS('capacity data'!$H:$H,'capacity data'!$E:$E,"PO",'capacity data'!$B:$B,P27))/SUMIFS('capacity data'!$G:$G,'capacity data'!$E:$E,"PO",'capacity data'!$B:$B,P27),"")</f>
        <v/>
      </c>
      <c r="R27" s="222" t="str">
        <f>IFERROR(SUM((SUMIFS('capacity data'!$G:$G,'capacity data'!$E:$E,"PSO",'capacity data'!$B:$B,P27))-SUMIFS('capacity data'!$H:$H,'capacity data'!$E:$E,"PSO",'capacity data'!$B:$B,P27))/SUMIFS('capacity data'!$G:$G,'capacity data'!$E:$E,"PSO",'capacity data'!$B:$B,P27),"")</f>
        <v/>
      </c>
      <c r="S27" s="22" t="str">
        <f t="shared" si="0"/>
        <v/>
      </c>
      <c r="T27" s="223" t="str">
        <f>IFERROR(SUMIFS('capacity data'!$L:$L,'capacity data'!$B:$B,P27,'capacity data'!$E:$E,"PSO")/SUMIFS('capacity data'!$G:$G,'capacity data'!$E:$E,"PSO",'capacity data'!$B:$B,P27),"")</f>
        <v/>
      </c>
      <c r="U27" s="223" t="str">
        <f>IFERROR(SUMIFS('capacity data'!$L:$L,'capacity data'!$B:$B,P27,'capacity data'!$E:$E,"TPO")/SUMIFS('capacity data'!$G:$G,'capacity data'!$E:$E,"TPO",'capacity data'!$B:$B,P27),"")</f>
        <v/>
      </c>
    </row>
    <row r="28" spans="15:21" ht="16" x14ac:dyDescent="0.2">
      <c r="O28" s="23" t="s">
        <v>19</v>
      </c>
      <c r="P28" t="s">
        <v>201</v>
      </c>
      <c r="Q28" s="222" t="str">
        <f>IFERROR(SUM((SUMIFS('capacity data'!$G:$G,'capacity data'!$E:$E,"PO",'capacity data'!$B:$B,P28))-SUMIFS('capacity data'!$H:$H,'capacity data'!$E:$E,"PO",'capacity data'!$B:$B,P28))/SUMIFS('capacity data'!$G:$G,'capacity data'!$E:$E,"PO",'capacity data'!$B:$B,P28),"")</f>
        <v/>
      </c>
      <c r="R28" s="222" t="str">
        <f>IFERROR(SUM((SUMIFS('capacity data'!$G:$G,'capacity data'!$E:$E,"PSO",'capacity data'!$B:$B,P28))-SUMIFS('capacity data'!$H:$H,'capacity data'!$E:$E,"PSO",'capacity data'!$B:$B,P28))/SUMIFS('capacity data'!$G:$G,'capacity data'!$E:$E,"PSO",'capacity data'!$B:$B,P28),"")</f>
        <v/>
      </c>
      <c r="S28" s="22" t="str">
        <f t="shared" si="0"/>
        <v/>
      </c>
      <c r="T28" s="223" t="str">
        <f>IFERROR(SUMIFS('capacity data'!$L:$L,'capacity data'!$B:$B,P28,'capacity data'!$E:$E,"PSO")/SUMIFS('capacity data'!$G:$G,'capacity data'!$E:$E,"PSO",'capacity data'!$B:$B,P28),"")</f>
        <v/>
      </c>
      <c r="U28" s="223" t="str">
        <f>IFERROR(SUMIFS('capacity data'!$L:$L,'capacity data'!$B:$B,P28,'capacity data'!$E:$E,"TPO")/SUMIFS('capacity data'!$G:$G,'capacity data'!$E:$E,"TPO",'capacity data'!$B:$B,P28),"")</f>
        <v/>
      </c>
    </row>
    <row r="29" spans="15:21" ht="16" x14ac:dyDescent="0.2">
      <c r="O29" s="23" t="s">
        <v>19</v>
      </c>
      <c r="P29" t="s">
        <v>219</v>
      </c>
      <c r="Q29" s="222" t="str">
        <f>IFERROR(SUM((SUMIFS('capacity data'!$G:$G,'capacity data'!$E:$E,"PO",'capacity data'!$B:$B,P29))-SUMIFS('capacity data'!$H:$H,'capacity data'!$E:$E,"PO",'capacity data'!$B:$B,P29))/SUMIFS('capacity data'!$G:$G,'capacity data'!$E:$E,"PO",'capacity data'!$B:$B,P29),"")</f>
        <v/>
      </c>
      <c r="R29" s="222" t="str">
        <f>IFERROR(SUM((SUMIFS('capacity data'!$G:$G,'capacity data'!$E:$E,"PSO",'capacity data'!$B:$B,P29))-SUMIFS('capacity data'!$H:$H,'capacity data'!$E:$E,"PSO",'capacity data'!$B:$B,P29))/SUMIFS('capacity data'!$G:$G,'capacity data'!$E:$E,"PSO",'capacity data'!$B:$B,P29),"")</f>
        <v/>
      </c>
      <c r="S29" s="22" t="str">
        <f t="shared" si="0"/>
        <v/>
      </c>
      <c r="T29" s="223" t="str">
        <f>IFERROR(SUMIFS('capacity data'!$L:$L,'capacity data'!$B:$B,P29,'capacity data'!$E:$E,"PSO")/SUMIFS('capacity data'!$G:$G,'capacity data'!$E:$E,"PSO",'capacity data'!$B:$B,P29),"")</f>
        <v/>
      </c>
      <c r="U29" s="223" t="str">
        <f>IFERROR(SUMIFS('capacity data'!$L:$L,'capacity data'!$B:$B,P29,'capacity data'!$E:$E,"TPO")/SUMIFS('capacity data'!$G:$G,'capacity data'!$E:$E,"TPO",'capacity data'!$B:$B,P29),"")</f>
        <v/>
      </c>
    </row>
    <row r="30" spans="15:21" ht="16" x14ac:dyDescent="0.2">
      <c r="O30" s="23" t="s">
        <v>19</v>
      </c>
      <c r="P30" t="s">
        <v>237</v>
      </c>
      <c r="Q30" s="222" t="str">
        <f>IFERROR(SUM((SUMIFS('capacity data'!$G:$G,'capacity data'!$E:$E,"PO",'capacity data'!$B:$B,P30))-SUMIFS('capacity data'!$H:$H,'capacity data'!$E:$E,"PO",'capacity data'!$B:$B,P30))/SUMIFS('capacity data'!$G:$G,'capacity data'!$E:$E,"PO",'capacity data'!$B:$B,P30),"")</f>
        <v/>
      </c>
      <c r="R30" s="222" t="str">
        <f>IFERROR(SUM((SUMIFS('capacity data'!$G:$G,'capacity data'!$E:$E,"PSO",'capacity data'!$B:$B,P30))-SUMIFS('capacity data'!$H:$H,'capacity data'!$E:$E,"PSO",'capacity data'!$B:$B,P30))/SUMIFS('capacity data'!$G:$G,'capacity data'!$E:$E,"PSO",'capacity data'!$B:$B,P30),"")</f>
        <v/>
      </c>
      <c r="S30" s="22" t="str">
        <f t="shared" si="0"/>
        <v/>
      </c>
      <c r="T30" s="223" t="str">
        <f>IFERROR(SUMIFS('capacity data'!$L:$L,'capacity data'!$B:$B,P30,'capacity data'!$E:$E,"PSO")/SUMIFS('capacity data'!$G:$G,'capacity data'!$E:$E,"PSO",'capacity data'!$B:$B,P30),"")</f>
        <v/>
      </c>
      <c r="U30" s="223" t="str">
        <f>IFERROR(SUMIFS('capacity data'!$L:$L,'capacity data'!$B:$B,P30,'capacity data'!$E:$E,"TPO")/SUMIFS('capacity data'!$G:$G,'capacity data'!$E:$E,"TPO",'capacity data'!$B:$B,P30),"")</f>
        <v/>
      </c>
    </row>
    <row r="31" spans="15:21" ht="16" x14ac:dyDescent="0.2">
      <c r="O31" s="23" t="s">
        <v>19</v>
      </c>
      <c r="P31" t="s">
        <v>254</v>
      </c>
      <c r="Q31" s="222" t="str">
        <f>IFERROR(SUM((SUMIFS('capacity data'!$G:$G,'capacity data'!$E:$E,"PO",'capacity data'!$B:$B,P31))-SUMIFS('capacity data'!$H:$H,'capacity data'!$E:$E,"PO",'capacity data'!$B:$B,P31))/SUMIFS('capacity data'!$G:$G,'capacity data'!$E:$E,"PO",'capacity data'!$B:$B,P31),"")</f>
        <v/>
      </c>
      <c r="R31" s="222" t="str">
        <f>IFERROR(SUM((SUMIFS('capacity data'!$G:$G,'capacity data'!$E:$E,"PSO",'capacity data'!$B:$B,P31))-SUMIFS('capacity data'!$H:$H,'capacity data'!$E:$E,"PSO",'capacity data'!$B:$B,P31))/SUMIFS('capacity data'!$G:$G,'capacity data'!$E:$E,"PSO",'capacity data'!$B:$B,P31),"")</f>
        <v/>
      </c>
      <c r="S31" s="22" t="str">
        <f t="shared" si="0"/>
        <v/>
      </c>
      <c r="T31" s="223" t="str">
        <f>IFERROR(SUMIFS('capacity data'!$L:$L,'capacity data'!$B:$B,P31,'capacity data'!$E:$E,"PSO")/SUMIFS('capacity data'!$G:$G,'capacity data'!$E:$E,"PSO",'capacity data'!$B:$B,P31),"")</f>
        <v/>
      </c>
      <c r="U31" s="223" t="str">
        <f>IFERROR(SUMIFS('capacity data'!$L:$L,'capacity data'!$B:$B,P31,'capacity data'!$E:$E,"TPO")/SUMIFS('capacity data'!$G:$G,'capacity data'!$E:$E,"TPO",'capacity data'!$B:$B,P31),"")</f>
        <v/>
      </c>
    </row>
    <row r="32" spans="15:21" ht="16" x14ac:dyDescent="0.2">
      <c r="O32" s="23" t="s">
        <v>20</v>
      </c>
      <c r="P32" t="s">
        <v>32</v>
      </c>
      <c r="Q32" s="222" t="str">
        <f>IFERROR(SUM((SUMIFS('capacity data'!$G:$G,'capacity data'!$E:$E,"PO",'capacity data'!$B:$B,P32))-SUMIFS('capacity data'!$H:$H,'capacity data'!$E:$E,"PO",'capacity data'!$B:$B,P32))/SUMIFS('capacity data'!$G:$G,'capacity data'!$E:$E,"PO",'capacity data'!$B:$B,P32),"")</f>
        <v/>
      </c>
      <c r="R32" s="222" t="str">
        <f>IFERROR(SUM((SUMIFS('capacity data'!$G:$G,'capacity data'!$E:$E,"PSO",'capacity data'!$B:$B,P32))-SUMIFS('capacity data'!$H:$H,'capacity data'!$E:$E,"PSO",'capacity data'!$B:$B,P32))/SUMIFS('capacity data'!$G:$G,'capacity data'!$E:$E,"PSO",'capacity data'!$B:$B,P32),"")</f>
        <v/>
      </c>
      <c r="S32" s="22" t="str">
        <f t="shared" si="0"/>
        <v/>
      </c>
      <c r="T32" s="223" t="str">
        <f>IFERROR(SUMIFS('capacity data'!$L:$L,'capacity data'!$B:$B,P32,'capacity data'!$E:$E,"PSO")/SUMIFS('capacity data'!$G:$G,'capacity data'!$E:$E,"PSO",'capacity data'!$B:$B,P32),"")</f>
        <v/>
      </c>
      <c r="U32" s="223" t="str">
        <f>IFERROR(SUMIFS('capacity data'!$L:$L,'capacity data'!$B:$B,P32,'capacity data'!$E:$E,"TPO")/SUMIFS('capacity data'!$G:$G,'capacity data'!$E:$E,"TPO",'capacity data'!$B:$B,P32),"")</f>
        <v/>
      </c>
    </row>
    <row r="33" spans="15:21" ht="16" x14ac:dyDescent="0.2">
      <c r="O33" s="23" t="s">
        <v>20</v>
      </c>
      <c r="P33" t="s">
        <v>54</v>
      </c>
      <c r="Q33" s="222" t="str">
        <f>IFERROR(SUM((SUMIFS('capacity data'!$G:$G,'capacity data'!$E:$E,"PO",'capacity data'!$B:$B,P33))-SUMIFS('capacity data'!$H:$H,'capacity data'!$E:$E,"PO",'capacity data'!$B:$B,P33))/SUMIFS('capacity data'!$G:$G,'capacity data'!$E:$E,"PO",'capacity data'!$B:$B,P33),"")</f>
        <v/>
      </c>
      <c r="R33" s="222" t="str">
        <f>IFERROR(SUM((SUMIFS('capacity data'!$G:$G,'capacity data'!$E:$E,"PSO",'capacity data'!$B:$B,P33))-SUMIFS('capacity data'!$H:$H,'capacity data'!$E:$E,"PSO",'capacity data'!$B:$B,P33))/SUMIFS('capacity data'!$G:$G,'capacity data'!$E:$E,"PSO",'capacity data'!$B:$B,P33),"")</f>
        <v/>
      </c>
      <c r="S33" s="22" t="str">
        <f t="shared" si="0"/>
        <v/>
      </c>
      <c r="T33" s="223" t="str">
        <f>IFERROR(SUMIFS('capacity data'!$L:$L,'capacity data'!$B:$B,P33,'capacity data'!$E:$E,"PSO")/SUMIFS('capacity data'!$G:$G,'capacity data'!$E:$E,"PSO",'capacity data'!$B:$B,P33),"")</f>
        <v/>
      </c>
      <c r="U33" s="223" t="str">
        <f>IFERROR(SUMIFS('capacity data'!$L:$L,'capacity data'!$B:$B,P33,'capacity data'!$E:$E,"TPO")/SUMIFS('capacity data'!$G:$G,'capacity data'!$E:$E,"TPO",'capacity data'!$B:$B,P33),"")</f>
        <v/>
      </c>
    </row>
    <row r="34" spans="15:21" ht="16" x14ac:dyDescent="0.2">
      <c r="O34" s="23" t="s">
        <v>20</v>
      </c>
      <c r="P34" t="s">
        <v>75</v>
      </c>
      <c r="Q34" s="222" t="str">
        <f>IFERROR(SUM((SUMIFS('capacity data'!$G:$G,'capacity data'!$E:$E,"PO",'capacity data'!$B:$B,P34))-SUMIFS('capacity data'!$H:$H,'capacity data'!$E:$E,"PO",'capacity data'!$B:$B,P34))/SUMIFS('capacity data'!$G:$G,'capacity data'!$E:$E,"PO",'capacity data'!$B:$B,P34),"")</f>
        <v/>
      </c>
      <c r="R34" s="222" t="str">
        <f>IFERROR(SUM((SUMIFS('capacity data'!$G:$G,'capacity data'!$E:$E,"PSO",'capacity data'!$B:$B,P34))-SUMIFS('capacity data'!$H:$H,'capacity data'!$E:$E,"PSO",'capacity data'!$B:$B,P34))/SUMIFS('capacity data'!$G:$G,'capacity data'!$E:$E,"PSO",'capacity data'!$B:$B,P34),"")</f>
        <v/>
      </c>
      <c r="S34" s="22" t="str">
        <f t="shared" si="0"/>
        <v/>
      </c>
      <c r="T34" s="223" t="str">
        <f>IFERROR(SUMIFS('capacity data'!$L:$L,'capacity data'!$B:$B,P34,'capacity data'!$E:$E,"PSO")/SUMIFS('capacity data'!$G:$G,'capacity data'!$E:$E,"PSO",'capacity data'!$B:$B,P34),"")</f>
        <v/>
      </c>
      <c r="U34" s="223" t="str">
        <f>IFERROR(SUMIFS('capacity data'!$L:$L,'capacity data'!$B:$B,P34,'capacity data'!$E:$E,"TPO")/SUMIFS('capacity data'!$G:$G,'capacity data'!$E:$E,"TPO",'capacity data'!$B:$B,P34),"")</f>
        <v/>
      </c>
    </row>
    <row r="35" spans="15:21" ht="16" x14ac:dyDescent="0.2">
      <c r="O35" s="23" t="s">
        <v>20</v>
      </c>
      <c r="P35" t="s">
        <v>97</v>
      </c>
      <c r="Q35" s="222" t="str">
        <f>IFERROR(SUM((SUMIFS('capacity data'!$G:$G,'capacity data'!$E:$E,"PO",'capacity data'!$B:$B,P35))-SUMIFS('capacity data'!$H:$H,'capacity data'!$E:$E,"PO",'capacity data'!$B:$B,P35))/SUMIFS('capacity data'!$G:$G,'capacity data'!$E:$E,"PO",'capacity data'!$B:$B,P35),"")</f>
        <v/>
      </c>
      <c r="R35" s="222" t="str">
        <f>IFERROR(SUM((SUMIFS('capacity data'!$G:$G,'capacity data'!$E:$E,"PSO",'capacity data'!$B:$B,P35))-SUMIFS('capacity data'!$H:$H,'capacity data'!$E:$E,"PSO",'capacity data'!$B:$B,P35))/SUMIFS('capacity data'!$G:$G,'capacity data'!$E:$E,"PSO",'capacity data'!$B:$B,P35),"")</f>
        <v/>
      </c>
      <c r="S35" s="22" t="str">
        <f t="shared" si="0"/>
        <v/>
      </c>
      <c r="T35" s="223" t="str">
        <f>IFERROR(SUMIFS('capacity data'!$L:$L,'capacity data'!$B:$B,P35,'capacity data'!$E:$E,"PSO")/SUMIFS('capacity data'!$G:$G,'capacity data'!$E:$E,"PSO",'capacity data'!$B:$B,P35),"")</f>
        <v/>
      </c>
      <c r="U35" s="223" t="str">
        <f>IFERROR(SUMIFS('capacity data'!$L:$L,'capacity data'!$B:$B,P35,'capacity data'!$E:$E,"TPO")/SUMIFS('capacity data'!$G:$G,'capacity data'!$E:$E,"TPO",'capacity data'!$B:$B,P35),"")</f>
        <v/>
      </c>
    </row>
    <row r="36" spans="15:21" ht="16" x14ac:dyDescent="0.2">
      <c r="O36" s="23" t="s">
        <v>20</v>
      </c>
      <c r="P36" t="s">
        <v>119</v>
      </c>
      <c r="Q36" s="222" t="str">
        <f>IFERROR(SUM((SUMIFS('capacity data'!$G:$G,'capacity data'!$E:$E,"PO",'capacity data'!$B:$B,P36))-SUMIFS('capacity data'!$H:$H,'capacity data'!$E:$E,"PO",'capacity data'!$B:$B,P36))/SUMIFS('capacity data'!$G:$G,'capacity data'!$E:$E,"PO",'capacity data'!$B:$B,P36),"")</f>
        <v/>
      </c>
      <c r="R36" s="222" t="str">
        <f>IFERROR(SUM((SUMIFS('capacity data'!$G:$G,'capacity data'!$E:$E,"PSO",'capacity data'!$B:$B,P36))-SUMIFS('capacity data'!$H:$H,'capacity data'!$E:$E,"PSO",'capacity data'!$B:$B,P36))/SUMIFS('capacity data'!$G:$G,'capacity data'!$E:$E,"PSO",'capacity data'!$B:$B,P36),"")</f>
        <v/>
      </c>
      <c r="S36" s="22" t="str">
        <f t="shared" si="0"/>
        <v/>
      </c>
      <c r="T36" s="223" t="str">
        <f>IFERROR(SUMIFS('capacity data'!$L:$L,'capacity data'!$B:$B,P36,'capacity data'!$E:$E,"PSO")/SUMIFS('capacity data'!$G:$G,'capacity data'!$E:$E,"PSO",'capacity data'!$B:$B,P36),"")</f>
        <v/>
      </c>
      <c r="U36" s="223" t="str">
        <f>IFERROR(SUMIFS('capacity data'!$L:$L,'capacity data'!$B:$B,P36,'capacity data'!$E:$E,"TPO")/SUMIFS('capacity data'!$G:$G,'capacity data'!$E:$E,"TPO",'capacity data'!$B:$B,P36),"")</f>
        <v/>
      </c>
    </row>
    <row r="37" spans="15:21" ht="16" x14ac:dyDescent="0.2">
      <c r="O37" s="23" t="s">
        <v>20</v>
      </c>
      <c r="P37" t="s">
        <v>140</v>
      </c>
      <c r="Q37" s="222" t="str">
        <f>IFERROR(SUM((SUMIFS('capacity data'!$G:$G,'capacity data'!$E:$E,"PO",'capacity data'!$B:$B,P37))-SUMIFS('capacity data'!$H:$H,'capacity data'!$E:$E,"PO",'capacity data'!$B:$B,P37))/SUMIFS('capacity data'!$G:$G,'capacity data'!$E:$E,"PO",'capacity data'!$B:$B,P37),"")</f>
        <v/>
      </c>
      <c r="R37" s="222" t="str">
        <f>IFERROR(SUM((SUMIFS('capacity data'!$G:$G,'capacity data'!$E:$E,"PSO",'capacity data'!$B:$B,P37))-SUMIFS('capacity data'!$H:$H,'capacity data'!$E:$E,"PSO",'capacity data'!$B:$B,P37))/SUMIFS('capacity data'!$G:$G,'capacity data'!$E:$E,"PSO",'capacity data'!$B:$B,P37),"")</f>
        <v/>
      </c>
      <c r="S37" s="22" t="str">
        <f t="shared" si="0"/>
        <v/>
      </c>
      <c r="T37" s="223" t="str">
        <f>IFERROR(SUMIFS('capacity data'!$L:$L,'capacity data'!$B:$B,P37,'capacity data'!$E:$E,"PSO")/SUMIFS('capacity data'!$G:$G,'capacity data'!$E:$E,"PSO",'capacity data'!$B:$B,P37),"")</f>
        <v/>
      </c>
      <c r="U37" s="223" t="str">
        <f>IFERROR(SUMIFS('capacity data'!$L:$L,'capacity data'!$B:$B,P37,'capacity data'!$E:$E,"TPO")/SUMIFS('capacity data'!$G:$G,'capacity data'!$E:$E,"TPO",'capacity data'!$B:$B,P37),"")</f>
        <v/>
      </c>
    </row>
    <row r="38" spans="15:21" ht="16" x14ac:dyDescent="0.2">
      <c r="O38" s="23" t="s">
        <v>20</v>
      </c>
      <c r="P38" t="s">
        <v>161</v>
      </c>
      <c r="Q38" s="222" t="str">
        <f>IFERROR(SUM((SUMIFS('capacity data'!$G:$G,'capacity data'!$E:$E,"PO",'capacity data'!$B:$B,P38))-SUMIFS('capacity data'!$H:$H,'capacity data'!$E:$E,"PO",'capacity data'!$B:$B,P38))/SUMIFS('capacity data'!$G:$G,'capacity data'!$E:$E,"PO",'capacity data'!$B:$B,P38),"")</f>
        <v/>
      </c>
      <c r="R38" s="222" t="str">
        <f>IFERROR(SUM((SUMIFS('capacity data'!$G:$G,'capacity data'!$E:$E,"PSO",'capacity data'!$B:$B,P38))-SUMIFS('capacity data'!$H:$H,'capacity data'!$E:$E,"PSO",'capacity data'!$B:$B,P38))/SUMIFS('capacity data'!$G:$G,'capacity data'!$E:$E,"PSO",'capacity data'!$B:$B,P38),"")</f>
        <v/>
      </c>
      <c r="S38" s="22" t="str">
        <f t="shared" si="0"/>
        <v/>
      </c>
      <c r="T38" s="223" t="str">
        <f>IFERROR(SUMIFS('capacity data'!$L:$L,'capacity data'!$B:$B,P38,'capacity data'!$E:$E,"PSO")/SUMIFS('capacity data'!$G:$G,'capacity data'!$E:$E,"PSO",'capacity data'!$B:$B,P38),"")</f>
        <v/>
      </c>
      <c r="U38" s="223" t="str">
        <f>IFERROR(SUMIFS('capacity data'!$L:$L,'capacity data'!$B:$B,P38,'capacity data'!$E:$E,"TPO")/SUMIFS('capacity data'!$G:$G,'capacity data'!$E:$E,"TPO",'capacity data'!$B:$B,P38),"")</f>
        <v/>
      </c>
    </row>
    <row r="39" spans="15:21" ht="16" x14ac:dyDescent="0.2">
      <c r="O39" s="23" t="s">
        <v>21</v>
      </c>
      <c r="P39" t="s">
        <v>33</v>
      </c>
      <c r="Q39" s="222" t="str">
        <f>IFERROR(SUM((SUMIFS('capacity data'!$G:$G,'capacity data'!$E:$E,"PO",'capacity data'!$B:$B,P39))-SUMIFS('capacity data'!$H:$H,'capacity data'!$E:$E,"PO",'capacity data'!$B:$B,P39))/SUMIFS('capacity data'!$G:$G,'capacity data'!$E:$E,"PO",'capacity data'!$B:$B,P39),"")</f>
        <v/>
      </c>
      <c r="R39" s="222" t="str">
        <f>IFERROR(SUM((SUMIFS('capacity data'!$G:$G,'capacity data'!$E:$E,"PSO",'capacity data'!$B:$B,P39))-SUMIFS('capacity data'!$H:$H,'capacity data'!$E:$E,"PSO",'capacity data'!$B:$B,P39))/SUMIFS('capacity data'!$G:$G,'capacity data'!$E:$E,"PSO",'capacity data'!$B:$B,P39),"")</f>
        <v/>
      </c>
      <c r="S39" s="22" t="str">
        <f t="shared" si="0"/>
        <v/>
      </c>
      <c r="T39" s="223" t="str">
        <f>IFERROR(SUMIFS('capacity data'!$L:$L,'capacity data'!$B:$B,P39,'capacity data'!$E:$E,"PSO")/SUMIFS('capacity data'!$G:$G,'capacity data'!$E:$E,"PSO",'capacity data'!$B:$B,P39),"")</f>
        <v/>
      </c>
      <c r="U39" s="223" t="str">
        <f>IFERROR(SUMIFS('capacity data'!$L:$L,'capacity data'!$B:$B,P39,'capacity data'!$E:$E,"TPO")/SUMIFS('capacity data'!$G:$G,'capacity data'!$E:$E,"TPO",'capacity data'!$B:$B,P39),"")</f>
        <v/>
      </c>
    </row>
    <row r="40" spans="15:21" ht="16" x14ac:dyDescent="0.2">
      <c r="O40" s="23" t="s">
        <v>21</v>
      </c>
      <c r="P40" t="s">
        <v>55</v>
      </c>
      <c r="Q40" s="222" t="str">
        <f>IFERROR(SUM((SUMIFS('capacity data'!$G:$G,'capacity data'!$E:$E,"PO",'capacity data'!$B:$B,P40))-SUMIFS('capacity data'!$H:$H,'capacity data'!$E:$E,"PO",'capacity data'!$B:$B,P40))/SUMIFS('capacity data'!$G:$G,'capacity data'!$E:$E,"PO",'capacity data'!$B:$B,P40),"")</f>
        <v/>
      </c>
      <c r="R40" s="222" t="str">
        <f>IFERROR(SUM((SUMIFS('capacity data'!$G:$G,'capacity data'!$E:$E,"PSO",'capacity data'!$B:$B,P40))-SUMIFS('capacity data'!$H:$H,'capacity data'!$E:$E,"PSO",'capacity data'!$B:$B,P40))/SUMIFS('capacity data'!$G:$G,'capacity data'!$E:$E,"PSO",'capacity data'!$B:$B,P40),"")</f>
        <v/>
      </c>
      <c r="S40" s="22" t="str">
        <f t="shared" si="0"/>
        <v/>
      </c>
      <c r="T40" s="223" t="str">
        <f>IFERROR(SUMIFS('capacity data'!$L:$L,'capacity data'!$B:$B,P40,'capacity data'!$E:$E,"PSO")/SUMIFS('capacity data'!$G:$G,'capacity data'!$E:$E,"PSO",'capacity data'!$B:$B,P40),"")</f>
        <v/>
      </c>
      <c r="U40" s="223" t="str">
        <f>IFERROR(SUMIFS('capacity data'!$L:$L,'capacity data'!$B:$B,P40,'capacity data'!$E:$E,"TPO")/SUMIFS('capacity data'!$G:$G,'capacity data'!$E:$E,"TPO",'capacity data'!$B:$B,P40),"")</f>
        <v/>
      </c>
    </row>
    <row r="41" spans="15:21" ht="16" x14ac:dyDescent="0.2">
      <c r="O41" s="23" t="s">
        <v>21</v>
      </c>
      <c r="P41" t="s">
        <v>76</v>
      </c>
      <c r="Q41" s="222" t="str">
        <f>IFERROR(SUM((SUMIFS('capacity data'!$G:$G,'capacity data'!$E:$E,"PO",'capacity data'!$B:$B,P41))-SUMIFS('capacity data'!$H:$H,'capacity data'!$E:$E,"PO",'capacity data'!$B:$B,P41))/SUMIFS('capacity data'!$G:$G,'capacity data'!$E:$E,"PO",'capacity data'!$B:$B,P41),"")</f>
        <v/>
      </c>
      <c r="R41" s="222" t="str">
        <f>IFERROR(SUM((SUMIFS('capacity data'!$G:$G,'capacity data'!$E:$E,"PSO",'capacity data'!$B:$B,P41))-SUMIFS('capacity data'!$H:$H,'capacity data'!$E:$E,"PSO",'capacity data'!$B:$B,P41))/SUMIFS('capacity data'!$G:$G,'capacity data'!$E:$E,"PSO",'capacity data'!$B:$B,P41),"")</f>
        <v/>
      </c>
      <c r="S41" s="22" t="str">
        <f t="shared" si="0"/>
        <v/>
      </c>
      <c r="T41" s="223" t="str">
        <f>IFERROR(SUMIFS('capacity data'!$L:$L,'capacity data'!$B:$B,P41,'capacity data'!$E:$E,"PSO")/SUMIFS('capacity data'!$G:$G,'capacity data'!$E:$E,"PSO",'capacity data'!$B:$B,P41),"")</f>
        <v/>
      </c>
      <c r="U41" s="223" t="str">
        <f>IFERROR(SUMIFS('capacity data'!$L:$L,'capacity data'!$B:$B,P41,'capacity data'!$E:$E,"TPO")/SUMIFS('capacity data'!$G:$G,'capacity data'!$E:$E,"TPO",'capacity data'!$B:$B,P41),"")</f>
        <v/>
      </c>
    </row>
    <row r="42" spans="15:21" ht="16" x14ac:dyDescent="0.2">
      <c r="O42" s="23" t="s">
        <v>21</v>
      </c>
      <c r="P42" t="s">
        <v>98</v>
      </c>
      <c r="Q42" s="222" t="str">
        <f>IFERROR(SUM((SUMIFS('capacity data'!$G:$G,'capacity data'!$E:$E,"PO",'capacity data'!$B:$B,P42))-SUMIFS('capacity data'!$H:$H,'capacity data'!$E:$E,"PO",'capacity data'!$B:$B,P42))/SUMIFS('capacity data'!$G:$G,'capacity data'!$E:$E,"PO",'capacity data'!$B:$B,P42),"")</f>
        <v/>
      </c>
      <c r="R42" s="222" t="str">
        <f>IFERROR(SUM((SUMIFS('capacity data'!$G:$G,'capacity data'!$E:$E,"PSO",'capacity data'!$B:$B,P42))-SUMIFS('capacity data'!$H:$H,'capacity data'!$E:$E,"PSO",'capacity data'!$B:$B,P42))/SUMIFS('capacity data'!$G:$G,'capacity data'!$E:$E,"PSO",'capacity data'!$B:$B,P42),"")</f>
        <v/>
      </c>
      <c r="S42" s="22" t="str">
        <f t="shared" si="0"/>
        <v/>
      </c>
      <c r="T42" s="223" t="str">
        <f>IFERROR(SUMIFS('capacity data'!$L:$L,'capacity data'!$B:$B,P42,'capacity data'!$E:$E,"PSO")/SUMIFS('capacity data'!$G:$G,'capacity data'!$E:$E,"PSO",'capacity data'!$B:$B,P42),"")</f>
        <v/>
      </c>
      <c r="U42" s="223" t="str">
        <f>IFERROR(SUMIFS('capacity data'!$L:$L,'capacity data'!$B:$B,P42,'capacity data'!$E:$E,"TPO")/SUMIFS('capacity data'!$G:$G,'capacity data'!$E:$E,"TPO",'capacity data'!$B:$B,P42),"")</f>
        <v/>
      </c>
    </row>
    <row r="43" spans="15:21" ht="16" x14ac:dyDescent="0.2">
      <c r="O43" s="23" t="s">
        <v>21</v>
      </c>
      <c r="P43" t="s">
        <v>120</v>
      </c>
      <c r="Q43" s="222" t="str">
        <f>IFERROR(SUM((SUMIFS('capacity data'!$G:$G,'capacity data'!$E:$E,"PO",'capacity data'!$B:$B,P43))-SUMIFS('capacity data'!$H:$H,'capacity data'!$E:$E,"PO",'capacity data'!$B:$B,P43))/SUMIFS('capacity data'!$G:$G,'capacity data'!$E:$E,"PO",'capacity data'!$B:$B,P43),"")</f>
        <v/>
      </c>
      <c r="R43" s="222" t="str">
        <f>IFERROR(SUM((SUMIFS('capacity data'!$G:$G,'capacity data'!$E:$E,"PSO",'capacity data'!$B:$B,P43))-SUMIFS('capacity data'!$H:$H,'capacity data'!$E:$E,"PSO",'capacity data'!$B:$B,P43))/SUMIFS('capacity data'!$G:$G,'capacity data'!$E:$E,"PSO",'capacity data'!$B:$B,P43),"")</f>
        <v/>
      </c>
      <c r="S43" s="22" t="str">
        <f t="shared" si="0"/>
        <v/>
      </c>
      <c r="T43" s="223" t="str">
        <f>IFERROR(SUMIFS('capacity data'!$L:$L,'capacity data'!$B:$B,P43,'capacity data'!$E:$E,"PSO")/SUMIFS('capacity data'!$G:$G,'capacity data'!$E:$E,"PSO",'capacity data'!$B:$B,P43),"")</f>
        <v/>
      </c>
      <c r="U43" s="223" t="str">
        <f>IFERROR(SUMIFS('capacity data'!$L:$L,'capacity data'!$B:$B,P43,'capacity data'!$E:$E,"TPO")/SUMIFS('capacity data'!$G:$G,'capacity data'!$E:$E,"TPO",'capacity data'!$B:$B,P43),"")</f>
        <v/>
      </c>
    </row>
    <row r="44" spans="15:21" ht="16" x14ac:dyDescent="0.2">
      <c r="O44" s="23" t="s">
        <v>21</v>
      </c>
      <c r="P44" t="s">
        <v>141</v>
      </c>
      <c r="Q44" s="222" t="str">
        <f>IFERROR(SUM((SUMIFS('capacity data'!$G:$G,'capacity data'!$E:$E,"PO",'capacity data'!$B:$B,P44))-SUMIFS('capacity data'!$H:$H,'capacity data'!$E:$E,"PO",'capacity data'!$B:$B,P44))/SUMIFS('capacity data'!$G:$G,'capacity data'!$E:$E,"PO",'capacity data'!$B:$B,P44),"")</f>
        <v/>
      </c>
      <c r="R44" s="222" t="str">
        <f>IFERROR(SUM((SUMIFS('capacity data'!$G:$G,'capacity data'!$E:$E,"PSO",'capacity data'!$B:$B,P44))-SUMIFS('capacity data'!$H:$H,'capacity data'!$E:$E,"PSO",'capacity data'!$B:$B,P44))/SUMIFS('capacity data'!$G:$G,'capacity data'!$E:$E,"PSO",'capacity data'!$B:$B,P44),"")</f>
        <v/>
      </c>
      <c r="S44" s="22" t="str">
        <f t="shared" si="0"/>
        <v/>
      </c>
      <c r="T44" s="223" t="str">
        <f>IFERROR(SUMIFS('capacity data'!$L:$L,'capacity data'!$B:$B,P44,'capacity data'!$E:$E,"PSO")/SUMIFS('capacity data'!$G:$G,'capacity data'!$E:$E,"PSO",'capacity data'!$B:$B,P44),"")</f>
        <v/>
      </c>
      <c r="U44" s="223" t="str">
        <f>IFERROR(SUMIFS('capacity data'!$L:$L,'capacity data'!$B:$B,P44,'capacity data'!$E:$E,"TPO")/SUMIFS('capacity data'!$G:$G,'capacity data'!$E:$E,"TPO",'capacity data'!$B:$B,P44),"")</f>
        <v/>
      </c>
    </row>
    <row r="45" spans="15:21" ht="16" x14ac:dyDescent="0.2">
      <c r="O45" s="23" t="s">
        <v>21</v>
      </c>
      <c r="P45" t="s">
        <v>162</v>
      </c>
      <c r="Q45" s="222" t="str">
        <f>IFERROR(SUM((SUMIFS('capacity data'!$G:$G,'capacity data'!$E:$E,"PO",'capacity data'!$B:$B,P45))-SUMIFS('capacity data'!$H:$H,'capacity data'!$E:$E,"PO",'capacity data'!$B:$B,P45))/SUMIFS('capacity data'!$G:$G,'capacity data'!$E:$E,"PO",'capacity data'!$B:$B,P45),"")</f>
        <v/>
      </c>
      <c r="R45" s="222" t="str">
        <f>IFERROR(SUM((SUMIFS('capacity data'!$G:$G,'capacity data'!$E:$E,"PSO",'capacity data'!$B:$B,P45))-SUMIFS('capacity data'!$H:$H,'capacity data'!$E:$E,"PSO",'capacity data'!$B:$B,P45))/SUMIFS('capacity data'!$G:$G,'capacity data'!$E:$E,"PSO",'capacity data'!$B:$B,P45),"")</f>
        <v/>
      </c>
      <c r="S45" s="22" t="str">
        <f t="shared" si="0"/>
        <v/>
      </c>
      <c r="T45" s="223" t="str">
        <f>IFERROR(SUMIFS('capacity data'!$L:$L,'capacity data'!$B:$B,P45,'capacity data'!$E:$E,"PSO")/SUMIFS('capacity data'!$G:$G,'capacity data'!$E:$E,"PSO",'capacity data'!$B:$B,P45),"")</f>
        <v/>
      </c>
      <c r="U45" s="223" t="str">
        <f>IFERROR(SUMIFS('capacity data'!$L:$L,'capacity data'!$B:$B,P45,'capacity data'!$E:$E,"TPO")/SUMIFS('capacity data'!$G:$G,'capacity data'!$E:$E,"TPO",'capacity data'!$B:$B,P45),"")</f>
        <v/>
      </c>
    </row>
    <row r="46" spans="15:21" ht="16" x14ac:dyDescent="0.2">
      <c r="O46" s="23" t="s">
        <v>21</v>
      </c>
      <c r="P46" t="s">
        <v>182</v>
      </c>
      <c r="Q46" s="222" t="str">
        <f>IFERROR(SUM((SUMIFS('capacity data'!$G:$G,'capacity data'!$E:$E,"PO",'capacity data'!$B:$B,P46))-SUMIFS('capacity data'!$H:$H,'capacity data'!$E:$E,"PO",'capacity data'!$B:$B,P46))/SUMIFS('capacity data'!$G:$G,'capacity data'!$E:$E,"PO",'capacity data'!$B:$B,P46),"")</f>
        <v/>
      </c>
      <c r="R46" s="222" t="str">
        <f>IFERROR(SUM((SUMIFS('capacity data'!$G:$G,'capacity data'!$E:$E,"PSO",'capacity data'!$B:$B,P46))-SUMIFS('capacity data'!$H:$H,'capacity data'!$E:$E,"PSO",'capacity data'!$B:$B,P46))/SUMIFS('capacity data'!$G:$G,'capacity data'!$E:$E,"PSO",'capacity data'!$B:$B,P46),"")</f>
        <v/>
      </c>
      <c r="S46" s="22" t="str">
        <f t="shared" si="0"/>
        <v/>
      </c>
      <c r="T46" s="223" t="str">
        <f>IFERROR(SUMIFS('capacity data'!$L:$L,'capacity data'!$B:$B,P46,'capacity data'!$E:$E,"PSO")/SUMIFS('capacity data'!$G:$G,'capacity data'!$E:$E,"PSO",'capacity data'!$B:$B,P46),"")</f>
        <v/>
      </c>
      <c r="U46" s="223" t="str">
        <f>IFERROR(SUMIFS('capacity data'!$L:$L,'capacity data'!$B:$B,P46,'capacity data'!$E:$E,"TPO")/SUMIFS('capacity data'!$G:$G,'capacity data'!$E:$E,"TPO",'capacity data'!$B:$B,P46),"")</f>
        <v/>
      </c>
    </row>
    <row r="47" spans="15:21" ht="16" x14ac:dyDescent="0.2">
      <c r="O47" s="23" t="s">
        <v>21</v>
      </c>
      <c r="P47" t="s">
        <v>202</v>
      </c>
      <c r="Q47" s="222" t="str">
        <f>IFERROR(SUM((SUMIFS('capacity data'!$G:$G,'capacity data'!$E:$E,"PO",'capacity data'!$B:$B,P47))-SUMIFS('capacity data'!$H:$H,'capacity data'!$E:$E,"PO",'capacity data'!$B:$B,P47))/SUMIFS('capacity data'!$G:$G,'capacity data'!$E:$E,"PO",'capacity data'!$B:$B,P47),"")</f>
        <v/>
      </c>
      <c r="R47" s="222" t="str">
        <f>IFERROR(SUM((SUMIFS('capacity data'!$G:$G,'capacity data'!$E:$E,"PSO",'capacity data'!$B:$B,P47))-SUMIFS('capacity data'!$H:$H,'capacity data'!$E:$E,"PSO",'capacity data'!$B:$B,P47))/SUMIFS('capacity data'!$G:$G,'capacity data'!$E:$E,"PSO",'capacity data'!$B:$B,P47),"")</f>
        <v/>
      </c>
      <c r="S47" s="22" t="str">
        <f t="shared" si="0"/>
        <v/>
      </c>
      <c r="T47" s="223" t="str">
        <f>IFERROR(SUMIFS('capacity data'!$L:$L,'capacity data'!$B:$B,P47,'capacity data'!$E:$E,"PSO")/SUMIFS('capacity data'!$G:$G,'capacity data'!$E:$E,"PSO",'capacity data'!$B:$B,P47),"")</f>
        <v/>
      </c>
      <c r="U47" s="223" t="str">
        <f>IFERROR(SUMIFS('capacity data'!$L:$L,'capacity data'!$B:$B,P47,'capacity data'!$E:$E,"TPO")/SUMIFS('capacity data'!$G:$G,'capacity data'!$E:$E,"TPO",'capacity data'!$B:$B,P47),"")</f>
        <v/>
      </c>
    </row>
    <row r="48" spans="15:21" ht="16" x14ac:dyDescent="0.2">
      <c r="O48" s="23" t="s">
        <v>21</v>
      </c>
      <c r="P48" t="s">
        <v>220</v>
      </c>
      <c r="Q48" s="222" t="str">
        <f>IFERROR(SUM((SUMIFS('capacity data'!$G:$G,'capacity data'!$E:$E,"PO",'capacity data'!$B:$B,P48))-SUMIFS('capacity data'!$H:$H,'capacity data'!$E:$E,"PO",'capacity data'!$B:$B,P48))/SUMIFS('capacity data'!$G:$G,'capacity data'!$E:$E,"PO",'capacity data'!$B:$B,P48),"")</f>
        <v/>
      </c>
      <c r="R48" s="222" t="str">
        <f>IFERROR(SUM((SUMIFS('capacity data'!$G:$G,'capacity data'!$E:$E,"PSO",'capacity data'!$B:$B,P48))-SUMIFS('capacity data'!$H:$H,'capacity data'!$E:$E,"PSO",'capacity data'!$B:$B,P48))/SUMIFS('capacity data'!$G:$G,'capacity data'!$E:$E,"PSO",'capacity data'!$B:$B,P48),"")</f>
        <v/>
      </c>
      <c r="S48" s="22" t="str">
        <f t="shared" si="0"/>
        <v/>
      </c>
      <c r="T48" s="223" t="str">
        <f>IFERROR(SUMIFS('capacity data'!$L:$L,'capacity data'!$B:$B,P48,'capacity data'!$E:$E,"PSO")/SUMIFS('capacity data'!$G:$G,'capacity data'!$E:$E,"PSO",'capacity data'!$B:$B,P48),"")</f>
        <v/>
      </c>
      <c r="U48" s="223" t="str">
        <f>IFERROR(SUMIFS('capacity data'!$L:$L,'capacity data'!$B:$B,P48,'capacity data'!$E:$E,"TPO")/SUMIFS('capacity data'!$G:$G,'capacity data'!$E:$E,"TPO",'capacity data'!$B:$B,P48),"")</f>
        <v/>
      </c>
    </row>
    <row r="49" spans="15:21" ht="16" x14ac:dyDescent="0.2">
      <c r="O49" s="23" t="s">
        <v>21</v>
      </c>
      <c r="P49" t="s">
        <v>238</v>
      </c>
      <c r="Q49" s="222" t="str">
        <f>IFERROR(SUM((SUMIFS('capacity data'!$G:$G,'capacity data'!$E:$E,"PO",'capacity data'!$B:$B,P49))-SUMIFS('capacity data'!$H:$H,'capacity data'!$E:$E,"PO",'capacity data'!$B:$B,P49))/SUMIFS('capacity data'!$G:$G,'capacity data'!$E:$E,"PO",'capacity data'!$B:$B,P49),"")</f>
        <v/>
      </c>
      <c r="R49" s="222" t="str">
        <f>IFERROR(SUM((SUMIFS('capacity data'!$G:$G,'capacity data'!$E:$E,"PSO",'capacity data'!$B:$B,P49))-SUMIFS('capacity data'!$H:$H,'capacity data'!$E:$E,"PSO",'capacity data'!$B:$B,P49))/SUMIFS('capacity data'!$G:$G,'capacity data'!$E:$E,"PSO",'capacity data'!$B:$B,P49),"")</f>
        <v/>
      </c>
      <c r="S49" s="22" t="str">
        <f t="shared" si="0"/>
        <v/>
      </c>
      <c r="T49" s="223" t="str">
        <f>IFERROR(SUMIFS('capacity data'!$L:$L,'capacity data'!$B:$B,P49,'capacity data'!$E:$E,"PSO")/SUMIFS('capacity data'!$G:$G,'capacity data'!$E:$E,"PSO",'capacity data'!$B:$B,P49),"")</f>
        <v/>
      </c>
      <c r="U49" s="223" t="str">
        <f>IFERROR(SUMIFS('capacity data'!$L:$L,'capacity data'!$B:$B,P49,'capacity data'!$E:$E,"TPO")/SUMIFS('capacity data'!$G:$G,'capacity data'!$E:$E,"TPO",'capacity data'!$B:$B,P49),"")</f>
        <v/>
      </c>
    </row>
    <row r="50" spans="15:21" ht="16" x14ac:dyDescent="0.2">
      <c r="O50" s="23" t="s">
        <v>21</v>
      </c>
      <c r="P50" t="s">
        <v>255</v>
      </c>
      <c r="Q50" s="222" t="str">
        <f>IFERROR(SUM((SUMIFS('capacity data'!$G:$G,'capacity data'!$E:$E,"PO",'capacity data'!$B:$B,P50))-SUMIFS('capacity data'!$H:$H,'capacity data'!$E:$E,"PO",'capacity data'!$B:$B,P50))/SUMIFS('capacity data'!$G:$G,'capacity data'!$E:$E,"PO",'capacity data'!$B:$B,P50),"")</f>
        <v/>
      </c>
      <c r="R50" s="222" t="str">
        <f>IFERROR(SUM((SUMIFS('capacity data'!$G:$G,'capacity data'!$E:$E,"PSO",'capacity data'!$B:$B,P50))-SUMIFS('capacity data'!$H:$H,'capacity data'!$E:$E,"PSO",'capacity data'!$B:$B,P50))/SUMIFS('capacity data'!$G:$G,'capacity data'!$E:$E,"PSO",'capacity data'!$B:$B,P50),"")</f>
        <v/>
      </c>
      <c r="S50" s="22" t="str">
        <f t="shared" si="0"/>
        <v/>
      </c>
      <c r="T50" s="223" t="str">
        <f>IFERROR(SUMIFS('capacity data'!$L:$L,'capacity data'!$B:$B,P50,'capacity data'!$E:$E,"PSO")/SUMIFS('capacity data'!$G:$G,'capacity data'!$E:$E,"PSO",'capacity data'!$B:$B,P50),"")</f>
        <v/>
      </c>
      <c r="U50" s="223" t="str">
        <f>IFERROR(SUMIFS('capacity data'!$L:$L,'capacity data'!$B:$B,P50,'capacity data'!$E:$E,"TPO")/SUMIFS('capacity data'!$G:$G,'capacity data'!$E:$E,"TPO",'capacity data'!$B:$B,P50),"")</f>
        <v/>
      </c>
    </row>
    <row r="51" spans="15:21" ht="16" x14ac:dyDescent="0.2">
      <c r="O51" s="23" t="s">
        <v>21</v>
      </c>
      <c r="P51" t="s">
        <v>269</v>
      </c>
      <c r="Q51" s="222" t="str">
        <f>IFERROR(SUM((SUMIFS('capacity data'!$G:$G,'capacity data'!$E:$E,"PO",'capacity data'!$B:$B,P51))-SUMIFS('capacity data'!$H:$H,'capacity data'!$E:$E,"PO",'capacity data'!$B:$B,P51))/SUMIFS('capacity data'!$G:$G,'capacity data'!$E:$E,"PO",'capacity data'!$B:$B,P51),"")</f>
        <v/>
      </c>
      <c r="R51" s="222" t="str">
        <f>IFERROR(SUM((SUMIFS('capacity data'!$G:$G,'capacity data'!$E:$E,"PSO",'capacity data'!$B:$B,P51))-SUMIFS('capacity data'!$H:$H,'capacity data'!$E:$E,"PSO",'capacity data'!$B:$B,P51))/SUMIFS('capacity data'!$G:$G,'capacity data'!$E:$E,"PSO",'capacity data'!$B:$B,P51),"")</f>
        <v/>
      </c>
      <c r="S51" s="22" t="str">
        <f t="shared" si="0"/>
        <v/>
      </c>
      <c r="T51" s="223" t="str">
        <f>IFERROR(SUMIFS('capacity data'!$L:$L,'capacity data'!$B:$B,P51,'capacity data'!$E:$E,"PSO")/SUMIFS('capacity data'!$G:$G,'capacity data'!$E:$E,"PSO",'capacity data'!$B:$B,P51),"")</f>
        <v/>
      </c>
      <c r="U51" s="223" t="str">
        <f>IFERROR(SUMIFS('capacity data'!$L:$L,'capacity data'!$B:$B,P51,'capacity data'!$E:$E,"TPO")/SUMIFS('capacity data'!$G:$G,'capacity data'!$E:$E,"TPO",'capacity data'!$B:$B,P51),"")</f>
        <v/>
      </c>
    </row>
    <row r="52" spans="15:21" ht="16" x14ac:dyDescent="0.2">
      <c r="O52" s="23" t="s">
        <v>21</v>
      </c>
      <c r="P52" t="s">
        <v>284</v>
      </c>
      <c r="Q52" s="222" t="str">
        <f>IFERROR(SUM((SUMIFS('capacity data'!$G:$G,'capacity data'!$E:$E,"PO",'capacity data'!$B:$B,P52))-SUMIFS('capacity data'!$H:$H,'capacity data'!$E:$E,"PO",'capacity data'!$B:$B,P52))/SUMIFS('capacity data'!$G:$G,'capacity data'!$E:$E,"PO",'capacity data'!$B:$B,P52),"")</f>
        <v/>
      </c>
      <c r="R52" s="222" t="str">
        <f>IFERROR(SUM((SUMIFS('capacity data'!$G:$G,'capacity data'!$E:$E,"PSO",'capacity data'!$B:$B,P52))-SUMIFS('capacity data'!$H:$H,'capacity data'!$E:$E,"PSO",'capacity data'!$B:$B,P52))/SUMIFS('capacity data'!$G:$G,'capacity data'!$E:$E,"PSO",'capacity data'!$B:$B,P52),"")</f>
        <v/>
      </c>
      <c r="S52" s="22" t="str">
        <f t="shared" si="0"/>
        <v/>
      </c>
      <c r="T52" s="223" t="str">
        <f>IFERROR(SUMIFS('capacity data'!$L:$L,'capacity data'!$B:$B,P52,'capacity data'!$E:$E,"PSO")/SUMIFS('capacity data'!$G:$G,'capacity data'!$E:$E,"PSO",'capacity data'!$B:$B,P52),"")</f>
        <v/>
      </c>
      <c r="U52" s="223" t="str">
        <f>IFERROR(SUMIFS('capacity data'!$L:$L,'capacity data'!$B:$B,P52,'capacity data'!$E:$E,"TPO")/SUMIFS('capacity data'!$G:$G,'capacity data'!$E:$E,"TPO",'capacity data'!$B:$B,P52),"")</f>
        <v/>
      </c>
    </row>
    <row r="53" spans="15:21" ht="16" x14ac:dyDescent="0.2">
      <c r="O53" s="23" t="s">
        <v>21</v>
      </c>
      <c r="P53" t="s">
        <v>300</v>
      </c>
      <c r="Q53" s="222" t="str">
        <f>IFERROR(SUM((SUMIFS('capacity data'!$G:$G,'capacity data'!$E:$E,"PO",'capacity data'!$B:$B,P53))-SUMIFS('capacity data'!$H:$H,'capacity data'!$E:$E,"PO",'capacity data'!$B:$B,P53))/SUMIFS('capacity data'!$G:$G,'capacity data'!$E:$E,"PO",'capacity data'!$B:$B,P53),"")</f>
        <v/>
      </c>
      <c r="R53" s="222" t="str">
        <f>IFERROR(SUM((SUMIFS('capacity data'!$G:$G,'capacity data'!$E:$E,"PSO",'capacity data'!$B:$B,P53))-SUMIFS('capacity data'!$H:$H,'capacity data'!$E:$E,"PSO",'capacity data'!$B:$B,P53))/SUMIFS('capacity data'!$G:$G,'capacity data'!$E:$E,"PSO",'capacity data'!$B:$B,P53),"")</f>
        <v/>
      </c>
      <c r="S53" s="22" t="str">
        <f t="shared" si="0"/>
        <v/>
      </c>
      <c r="T53" s="223" t="str">
        <f>IFERROR(SUMIFS('capacity data'!$L:$L,'capacity data'!$B:$B,P53,'capacity data'!$E:$E,"PSO")/SUMIFS('capacity data'!$G:$G,'capacity data'!$E:$E,"PSO",'capacity data'!$B:$B,P53),"")</f>
        <v/>
      </c>
      <c r="U53" s="223" t="str">
        <f>IFERROR(SUMIFS('capacity data'!$L:$L,'capacity data'!$B:$B,P53,'capacity data'!$E:$E,"TPO")/SUMIFS('capacity data'!$G:$G,'capacity data'!$E:$E,"TPO",'capacity data'!$B:$B,P53),"")</f>
        <v/>
      </c>
    </row>
    <row r="54" spans="15:21" ht="16" x14ac:dyDescent="0.2">
      <c r="O54" s="23" t="s">
        <v>21</v>
      </c>
      <c r="P54" t="s">
        <v>313</v>
      </c>
      <c r="Q54" s="222" t="str">
        <f>IFERROR(SUM((SUMIFS('capacity data'!$G:$G,'capacity data'!$E:$E,"PO",'capacity data'!$B:$B,P54))-SUMIFS('capacity data'!$H:$H,'capacity data'!$E:$E,"PO",'capacity data'!$B:$B,P54))/SUMIFS('capacity data'!$G:$G,'capacity data'!$E:$E,"PO",'capacity data'!$B:$B,P54),"")</f>
        <v/>
      </c>
      <c r="R54" s="222" t="str">
        <f>IFERROR(SUM((SUMIFS('capacity data'!$G:$G,'capacity data'!$E:$E,"PSO",'capacity data'!$B:$B,P54))-SUMIFS('capacity data'!$H:$H,'capacity data'!$E:$E,"PSO",'capacity data'!$B:$B,P54))/SUMIFS('capacity data'!$G:$G,'capacity data'!$E:$E,"PSO",'capacity data'!$B:$B,P54),"")</f>
        <v/>
      </c>
      <c r="S54" s="22" t="str">
        <f t="shared" si="0"/>
        <v/>
      </c>
      <c r="T54" s="223" t="str">
        <f>IFERROR(SUMIFS('capacity data'!$L:$L,'capacity data'!$B:$B,P54,'capacity data'!$E:$E,"PSO")/SUMIFS('capacity data'!$G:$G,'capacity data'!$E:$E,"PSO",'capacity data'!$B:$B,P54),"")</f>
        <v/>
      </c>
      <c r="U54" s="223" t="str">
        <f>IFERROR(SUMIFS('capacity data'!$L:$L,'capacity data'!$B:$B,P54,'capacity data'!$E:$E,"TPO")/SUMIFS('capacity data'!$G:$G,'capacity data'!$E:$E,"TPO",'capacity data'!$B:$B,P54),"")</f>
        <v/>
      </c>
    </row>
    <row r="55" spans="15:21" ht="16" x14ac:dyDescent="0.2">
      <c r="O55" s="23" t="s">
        <v>21</v>
      </c>
      <c r="P55" t="s">
        <v>327</v>
      </c>
      <c r="Q55" s="222" t="str">
        <f>IFERROR(SUM((SUMIFS('capacity data'!$G:$G,'capacity data'!$E:$E,"PO",'capacity data'!$B:$B,P55))-SUMIFS('capacity data'!$H:$H,'capacity data'!$E:$E,"PO",'capacity data'!$B:$B,P55))/SUMIFS('capacity data'!$G:$G,'capacity data'!$E:$E,"PO",'capacity data'!$B:$B,P55),"")</f>
        <v/>
      </c>
      <c r="R55" s="222" t="str">
        <f>IFERROR(SUM((SUMIFS('capacity data'!$G:$G,'capacity data'!$E:$E,"PSO",'capacity data'!$B:$B,P55))-SUMIFS('capacity data'!$H:$H,'capacity data'!$E:$E,"PSO",'capacity data'!$B:$B,P55))/SUMIFS('capacity data'!$G:$G,'capacity data'!$E:$E,"PSO",'capacity data'!$B:$B,P55),"")</f>
        <v/>
      </c>
      <c r="S55" s="22" t="str">
        <f t="shared" si="0"/>
        <v/>
      </c>
      <c r="T55" s="223" t="str">
        <f>IFERROR(SUMIFS('capacity data'!$L:$L,'capacity data'!$B:$B,P55,'capacity data'!$E:$E,"PSO")/SUMIFS('capacity data'!$G:$G,'capacity data'!$E:$E,"PSO",'capacity data'!$B:$B,P55),"")</f>
        <v/>
      </c>
      <c r="U55" s="223" t="str">
        <f>IFERROR(SUMIFS('capacity data'!$L:$L,'capacity data'!$B:$B,P55,'capacity data'!$E:$E,"TPO")/SUMIFS('capacity data'!$G:$G,'capacity data'!$E:$E,"TPO",'capacity data'!$B:$B,P55),"")</f>
        <v/>
      </c>
    </row>
    <row r="56" spans="15:21" ht="16" x14ac:dyDescent="0.2">
      <c r="O56" s="23" t="s">
        <v>21</v>
      </c>
      <c r="P56" t="s">
        <v>341</v>
      </c>
      <c r="Q56" s="222" t="str">
        <f>IFERROR(SUM((SUMIFS('capacity data'!$G:$G,'capacity data'!$E:$E,"PO",'capacity data'!$B:$B,P56))-SUMIFS('capacity data'!$H:$H,'capacity data'!$E:$E,"PO",'capacity data'!$B:$B,P56))/SUMIFS('capacity data'!$G:$G,'capacity data'!$E:$E,"PO",'capacity data'!$B:$B,P56),"")</f>
        <v/>
      </c>
      <c r="R56" s="222" t="str">
        <f>IFERROR(SUM((SUMIFS('capacity data'!$G:$G,'capacity data'!$E:$E,"PSO",'capacity data'!$B:$B,P56))-SUMIFS('capacity data'!$H:$H,'capacity data'!$E:$E,"PSO",'capacity data'!$B:$B,P56))/SUMIFS('capacity data'!$G:$G,'capacity data'!$E:$E,"PSO",'capacity data'!$B:$B,P56),"")</f>
        <v/>
      </c>
      <c r="S56" s="22" t="str">
        <f t="shared" si="0"/>
        <v/>
      </c>
      <c r="T56" s="223" t="str">
        <f>IFERROR(SUMIFS('capacity data'!$L:$L,'capacity data'!$B:$B,P56,'capacity data'!$E:$E,"PSO")/SUMIFS('capacity data'!$G:$G,'capacity data'!$E:$E,"PSO",'capacity data'!$B:$B,P56),"")</f>
        <v/>
      </c>
      <c r="U56" s="223" t="str">
        <f>IFERROR(SUMIFS('capacity data'!$L:$L,'capacity data'!$B:$B,P56,'capacity data'!$E:$E,"TPO")/SUMIFS('capacity data'!$G:$G,'capacity data'!$E:$E,"TPO",'capacity data'!$B:$B,P56),"")</f>
        <v/>
      </c>
    </row>
    <row r="57" spans="15:21" ht="16" x14ac:dyDescent="0.2">
      <c r="O57" s="23" t="s">
        <v>21</v>
      </c>
      <c r="P57" t="s">
        <v>353</v>
      </c>
      <c r="Q57" s="222" t="str">
        <f>IFERROR(SUM((SUMIFS('capacity data'!$G:$G,'capacity data'!$E:$E,"PO",'capacity data'!$B:$B,P57))-SUMIFS('capacity data'!$H:$H,'capacity data'!$E:$E,"PO",'capacity data'!$B:$B,P57))/SUMIFS('capacity data'!$G:$G,'capacity data'!$E:$E,"PO",'capacity data'!$B:$B,P57),"")</f>
        <v/>
      </c>
      <c r="R57" s="222" t="str">
        <f>IFERROR(SUM((SUMIFS('capacity data'!$G:$G,'capacity data'!$E:$E,"PSO",'capacity data'!$B:$B,P57))-SUMIFS('capacity data'!$H:$H,'capacity data'!$E:$E,"PSO",'capacity data'!$B:$B,P57))/SUMIFS('capacity data'!$G:$G,'capacity data'!$E:$E,"PSO",'capacity data'!$B:$B,P57),"")</f>
        <v/>
      </c>
      <c r="S57" s="22" t="str">
        <f t="shared" si="0"/>
        <v/>
      </c>
      <c r="T57" s="223" t="str">
        <f>IFERROR(SUMIFS('capacity data'!$L:$L,'capacity data'!$B:$B,P57,'capacity data'!$E:$E,"PSO")/SUMIFS('capacity data'!$G:$G,'capacity data'!$E:$E,"PSO",'capacity data'!$B:$B,P57),"")</f>
        <v/>
      </c>
      <c r="U57" s="223" t="str">
        <f>IFERROR(SUMIFS('capacity data'!$L:$L,'capacity data'!$B:$B,P57,'capacity data'!$E:$E,"TPO")/SUMIFS('capacity data'!$G:$G,'capacity data'!$E:$E,"TPO",'capacity data'!$B:$B,P57),"")</f>
        <v/>
      </c>
    </row>
    <row r="58" spans="15:21" ht="16" x14ac:dyDescent="0.2">
      <c r="O58" s="23" t="s">
        <v>21</v>
      </c>
      <c r="P58" t="s">
        <v>364</v>
      </c>
      <c r="Q58" s="222" t="str">
        <f>IFERROR(SUM((SUMIFS('capacity data'!$G:$G,'capacity data'!$E:$E,"PO",'capacity data'!$B:$B,P58))-SUMIFS('capacity data'!$H:$H,'capacity data'!$E:$E,"PO",'capacity data'!$B:$B,P58))/SUMIFS('capacity data'!$G:$G,'capacity data'!$E:$E,"PO",'capacity data'!$B:$B,P58),"")</f>
        <v/>
      </c>
      <c r="R58" s="222" t="str">
        <f>IFERROR(SUM((SUMIFS('capacity data'!$G:$G,'capacity data'!$E:$E,"PSO",'capacity data'!$B:$B,P58))-SUMIFS('capacity data'!$H:$H,'capacity data'!$E:$E,"PSO",'capacity data'!$B:$B,P58))/SUMIFS('capacity data'!$G:$G,'capacity data'!$E:$E,"PSO",'capacity data'!$B:$B,P58),"")</f>
        <v/>
      </c>
      <c r="S58" s="22" t="str">
        <f t="shared" si="0"/>
        <v/>
      </c>
      <c r="T58" s="223" t="str">
        <f>IFERROR(SUMIFS('capacity data'!$L:$L,'capacity data'!$B:$B,P58,'capacity data'!$E:$E,"PSO")/SUMIFS('capacity data'!$G:$G,'capacity data'!$E:$E,"PSO",'capacity data'!$B:$B,P58),"")</f>
        <v/>
      </c>
      <c r="U58" s="223" t="str">
        <f>IFERROR(SUMIFS('capacity data'!$L:$L,'capacity data'!$B:$B,P58,'capacity data'!$E:$E,"TPO")/SUMIFS('capacity data'!$G:$G,'capacity data'!$E:$E,"TPO",'capacity data'!$B:$B,P58),"")</f>
        <v/>
      </c>
    </row>
    <row r="59" spans="15:21" ht="16" x14ac:dyDescent="0.2">
      <c r="O59" s="23" t="s">
        <v>21</v>
      </c>
      <c r="P59" t="s">
        <v>374</v>
      </c>
      <c r="Q59" s="222" t="str">
        <f>IFERROR(SUM((SUMIFS('capacity data'!$G:$G,'capacity data'!$E:$E,"PO",'capacity data'!$B:$B,P59))-SUMIFS('capacity data'!$H:$H,'capacity data'!$E:$E,"PO",'capacity data'!$B:$B,P59))/SUMIFS('capacity data'!$G:$G,'capacity data'!$E:$E,"PO",'capacity data'!$B:$B,P59),"")</f>
        <v/>
      </c>
      <c r="R59" s="222" t="str">
        <f>IFERROR(SUM((SUMIFS('capacity data'!$G:$G,'capacity data'!$E:$E,"PSO",'capacity data'!$B:$B,P59))-SUMIFS('capacity data'!$H:$H,'capacity data'!$E:$E,"PSO",'capacity data'!$B:$B,P59))/SUMIFS('capacity data'!$G:$G,'capacity data'!$E:$E,"PSO",'capacity data'!$B:$B,P59),"")</f>
        <v/>
      </c>
      <c r="S59" s="22" t="str">
        <f t="shared" si="0"/>
        <v/>
      </c>
      <c r="T59" s="223" t="str">
        <f>IFERROR(SUMIFS('capacity data'!$L:$L,'capacity data'!$B:$B,P59,'capacity data'!$E:$E,"PSO")/SUMIFS('capacity data'!$G:$G,'capacity data'!$E:$E,"PSO",'capacity data'!$B:$B,P59),"")</f>
        <v/>
      </c>
      <c r="U59" s="223" t="str">
        <f>IFERROR(SUMIFS('capacity data'!$L:$L,'capacity data'!$B:$B,P59,'capacity data'!$E:$E,"TPO")/SUMIFS('capacity data'!$G:$G,'capacity data'!$E:$E,"TPO",'capacity data'!$B:$B,P59),"")</f>
        <v/>
      </c>
    </row>
    <row r="60" spans="15:21" ht="16" x14ac:dyDescent="0.2">
      <c r="O60" s="23" t="s">
        <v>21</v>
      </c>
      <c r="P60" t="s">
        <v>383</v>
      </c>
      <c r="Q60" s="222" t="str">
        <f>IFERROR(SUM((SUMIFS('capacity data'!$G:$G,'capacity data'!$E:$E,"PO",'capacity data'!$B:$B,P60))-SUMIFS('capacity data'!$H:$H,'capacity data'!$E:$E,"PO",'capacity data'!$B:$B,P60))/SUMIFS('capacity data'!$G:$G,'capacity data'!$E:$E,"PO",'capacity data'!$B:$B,P60),"")</f>
        <v/>
      </c>
      <c r="R60" s="222" t="str">
        <f>IFERROR(SUM((SUMIFS('capacity data'!$G:$G,'capacity data'!$E:$E,"PSO",'capacity data'!$B:$B,P60))-SUMIFS('capacity data'!$H:$H,'capacity data'!$E:$E,"PSO",'capacity data'!$B:$B,P60))/SUMIFS('capacity data'!$G:$G,'capacity data'!$E:$E,"PSO",'capacity data'!$B:$B,P60),"")</f>
        <v/>
      </c>
      <c r="S60" s="22" t="str">
        <f t="shared" si="0"/>
        <v/>
      </c>
      <c r="T60" s="223" t="str">
        <f>IFERROR(SUMIFS('capacity data'!$L:$L,'capacity data'!$B:$B,P60,'capacity data'!$E:$E,"PSO")/SUMIFS('capacity data'!$G:$G,'capacity data'!$E:$E,"PSO",'capacity data'!$B:$B,P60),"")</f>
        <v/>
      </c>
      <c r="U60" s="223" t="str">
        <f>IFERROR(SUMIFS('capacity data'!$L:$L,'capacity data'!$B:$B,P60,'capacity data'!$E:$E,"TPO")/SUMIFS('capacity data'!$G:$G,'capacity data'!$E:$E,"TPO",'capacity data'!$B:$B,P60),"")</f>
        <v/>
      </c>
    </row>
    <row r="61" spans="15:21" ht="16" x14ac:dyDescent="0.2">
      <c r="O61" s="23" t="s">
        <v>21</v>
      </c>
      <c r="P61" t="s">
        <v>392</v>
      </c>
      <c r="Q61" s="222" t="str">
        <f>IFERROR(SUM((SUMIFS('capacity data'!$G:$G,'capacity data'!$E:$E,"PO",'capacity data'!$B:$B,P61))-SUMIFS('capacity data'!$H:$H,'capacity data'!$E:$E,"PO",'capacity data'!$B:$B,P61))/SUMIFS('capacity data'!$G:$G,'capacity data'!$E:$E,"PO",'capacity data'!$B:$B,P61),"")</f>
        <v/>
      </c>
      <c r="R61" s="222" t="str">
        <f>IFERROR(SUM((SUMIFS('capacity data'!$G:$G,'capacity data'!$E:$E,"PSO",'capacity data'!$B:$B,P61))-SUMIFS('capacity data'!$H:$H,'capacity data'!$E:$E,"PSO",'capacity data'!$B:$B,P61))/SUMIFS('capacity data'!$G:$G,'capacity data'!$E:$E,"PSO",'capacity data'!$B:$B,P61),"")</f>
        <v/>
      </c>
      <c r="S61" s="22" t="str">
        <f t="shared" si="0"/>
        <v/>
      </c>
      <c r="T61" s="223" t="str">
        <f>IFERROR(SUMIFS('capacity data'!$L:$L,'capacity data'!$B:$B,P61,'capacity data'!$E:$E,"PSO")/SUMIFS('capacity data'!$G:$G,'capacity data'!$E:$E,"PSO",'capacity data'!$B:$B,P61),"")</f>
        <v/>
      </c>
      <c r="U61" s="223" t="str">
        <f>IFERROR(SUMIFS('capacity data'!$L:$L,'capacity data'!$B:$B,P61,'capacity data'!$E:$E,"TPO")/SUMIFS('capacity data'!$G:$G,'capacity data'!$E:$E,"TPO",'capacity data'!$B:$B,P61),"")</f>
        <v/>
      </c>
    </row>
    <row r="62" spans="15:21" ht="16" x14ac:dyDescent="0.2">
      <c r="O62" s="23" t="s">
        <v>21</v>
      </c>
      <c r="P62" t="s">
        <v>403</v>
      </c>
      <c r="Q62" s="222" t="str">
        <f>IFERROR(SUM((SUMIFS('capacity data'!$G:$G,'capacity data'!$E:$E,"PO",'capacity data'!$B:$B,P62))-SUMIFS('capacity data'!$H:$H,'capacity data'!$E:$E,"PO",'capacity data'!$B:$B,P62))/SUMIFS('capacity data'!$G:$G,'capacity data'!$E:$E,"PO",'capacity data'!$B:$B,P62),"")</f>
        <v/>
      </c>
      <c r="R62" s="222" t="str">
        <f>IFERROR(SUM((SUMIFS('capacity data'!$G:$G,'capacity data'!$E:$E,"PSO",'capacity data'!$B:$B,P62))-SUMIFS('capacity data'!$H:$H,'capacity data'!$E:$E,"PSO",'capacity data'!$B:$B,P62))/SUMIFS('capacity data'!$G:$G,'capacity data'!$E:$E,"PSO",'capacity data'!$B:$B,P62),"")</f>
        <v/>
      </c>
      <c r="S62" s="22" t="str">
        <f t="shared" si="0"/>
        <v/>
      </c>
      <c r="T62" s="223" t="str">
        <f>IFERROR(SUMIFS('capacity data'!$L:$L,'capacity data'!$B:$B,P62,'capacity data'!$E:$E,"PSO")/SUMIFS('capacity data'!$G:$G,'capacity data'!$E:$E,"PSO",'capacity data'!$B:$B,P62),"")</f>
        <v/>
      </c>
      <c r="U62" s="223" t="str">
        <f>IFERROR(SUMIFS('capacity data'!$L:$L,'capacity data'!$B:$B,P62,'capacity data'!$E:$E,"TPO")/SUMIFS('capacity data'!$G:$G,'capacity data'!$E:$E,"TPO",'capacity data'!$B:$B,P62),"")</f>
        <v/>
      </c>
    </row>
    <row r="63" spans="15:21" ht="16" x14ac:dyDescent="0.2">
      <c r="O63" s="23" t="s">
        <v>22</v>
      </c>
      <c r="P63" t="s">
        <v>34</v>
      </c>
      <c r="Q63" s="222" t="str">
        <f>IFERROR(SUM((SUMIFS('capacity data'!$G:$G,'capacity data'!$E:$E,"PO",'capacity data'!$B:$B,P63))-SUMIFS('capacity data'!$H:$H,'capacity data'!$E:$E,"PO",'capacity data'!$B:$B,P63))/SUMIFS('capacity data'!$G:$G,'capacity data'!$E:$E,"PO",'capacity data'!$B:$B,P63),"")</f>
        <v/>
      </c>
      <c r="R63" s="222" t="str">
        <f>IFERROR(SUM((SUMIFS('capacity data'!$G:$G,'capacity data'!$E:$E,"PSO",'capacity data'!$B:$B,P63))-SUMIFS('capacity data'!$H:$H,'capacity data'!$E:$E,"PSO",'capacity data'!$B:$B,P63))/SUMIFS('capacity data'!$G:$G,'capacity data'!$E:$E,"PSO",'capacity data'!$B:$B,P63),"")</f>
        <v/>
      </c>
      <c r="S63" s="22" t="str">
        <f t="shared" si="0"/>
        <v/>
      </c>
      <c r="T63" s="223" t="str">
        <f>IFERROR(SUMIFS('capacity data'!$L:$L,'capacity data'!$B:$B,P63,'capacity data'!$E:$E,"PSO")/SUMIFS('capacity data'!$G:$G,'capacity data'!$E:$E,"PSO",'capacity data'!$B:$B,P63),"")</f>
        <v/>
      </c>
      <c r="U63" s="223" t="str">
        <f>IFERROR(SUMIFS('capacity data'!$L:$L,'capacity data'!$B:$B,P63,'capacity data'!$E:$E,"TPO")/SUMIFS('capacity data'!$G:$G,'capacity data'!$E:$E,"TPO",'capacity data'!$B:$B,P63),"")</f>
        <v/>
      </c>
    </row>
    <row r="64" spans="15:21" ht="16" x14ac:dyDescent="0.2">
      <c r="O64" s="23" t="s">
        <v>22</v>
      </c>
      <c r="P64" t="s">
        <v>56</v>
      </c>
      <c r="Q64" s="222" t="str">
        <f>IFERROR(SUM((SUMIFS('capacity data'!$G:$G,'capacity data'!$E:$E,"PO",'capacity data'!$B:$B,P64))-SUMIFS('capacity data'!$H:$H,'capacity data'!$E:$E,"PO",'capacity data'!$B:$B,P64))/SUMIFS('capacity data'!$G:$G,'capacity data'!$E:$E,"PO",'capacity data'!$B:$B,P64),"")</f>
        <v/>
      </c>
      <c r="R64" s="222" t="str">
        <f>IFERROR(SUM((SUMIFS('capacity data'!$G:$G,'capacity data'!$E:$E,"PSO",'capacity data'!$B:$B,P64))-SUMIFS('capacity data'!$H:$H,'capacity data'!$E:$E,"PSO",'capacity data'!$B:$B,P64))/SUMIFS('capacity data'!$G:$G,'capacity data'!$E:$E,"PSO",'capacity data'!$B:$B,P64),"")</f>
        <v/>
      </c>
      <c r="S64" s="22" t="str">
        <f t="shared" si="0"/>
        <v/>
      </c>
      <c r="T64" s="223" t="str">
        <f>IFERROR(SUMIFS('capacity data'!$L:$L,'capacity data'!$B:$B,P64,'capacity data'!$E:$E,"PSO")/SUMIFS('capacity data'!$G:$G,'capacity data'!$E:$E,"PSO",'capacity data'!$B:$B,P64),"")</f>
        <v/>
      </c>
      <c r="U64" s="223" t="str">
        <f>IFERROR(SUMIFS('capacity data'!$L:$L,'capacity data'!$B:$B,P64,'capacity data'!$E:$E,"TPO")/SUMIFS('capacity data'!$G:$G,'capacity data'!$E:$E,"TPO",'capacity data'!$B:$B,P64),"")</f>
        <v/>
      </c>
    </row>
    <row r="65" spans="15:21" ht="16" x14ac:dyDescent="0.2">
      <c r="O65" s="23" t="s">
        <v>22</v>
      </c>
      <c r="P65" t="s">
        <v>77</v>
      </c>
      <c r="Q65" s="222" t="str">
        <f>IFERROR(SUM((SUMIFS('capacity data'!$G:$G,'capacity data'!$E:$E,"PO",'capacity data'!$B:$B,P65))-SUMIFS('capacity data'!$H:$H,'capacity data'!$E:$E,"PO",'capacity data'!$B:$B,P65))/SUMIFS('capacity data'!$G:$G,'capacity data'!$E:$E,"PO",'capacity data'!$B:$B,P65),"")</f>
        <v/>
      </c>
      <c r="R65" s="222" t="str">
        <f>IFERROR(SUM((SUMIFS('capacity data'!$G:$G,'capacity data'!$E:$E,"PSO",'capacity data'!$B:$B,P65))-SUMIFS('capacity data'!$H:$H,'capacity data'!$E:$E,"PSO",'capacity data'!$B:$B,P65))/SUMIFS('capacity data'!$G:$G,'capacity data'!$E:$E,"PSO",'capacity data'!$B:$B,P65),"")</f>
        <v/>
      </c>
      <c r="S65" s="22" t="str">
        <f t="shared" si="0"/>
        <v/>
      </c>
      <c r="T65" s="223" t="str">
        <f>IFERROR(SUMIFS('capacity data'!$L:$L,'capacity data'!$B:$B,P65,'capacity data'!$E:$E,"PSO")/SUMIFS('capacity data'!$G:$G,'capacity data'!$E:$E,"PSO",'capacity data'!$B:$B,P65),"")</f>
        <v/>
      </c>
      <c r="U65" s="223" t="str">
        <f>IFERROR(SUMIFS('capacity data'!$L:$L,'capacity data'!$B:$B,P65,'capacity data'!$E:$E,"TPO")/SUMIFS('capacity data'!$G:$G,'capacity data'!$E:$E,"TPO",'capacity data'!$B:$B,P65),"")</f>
        <v/>
      </c>
    </row>
    <row r="66" spans="15:21" ht="16" x14ac:dyDescent="0.2">
      <c r="O66" s="23" t="s">
        <v>22</v>
      </c>
      <c r="P66" t="s">
        <v>99</v>
      </c>
      <c r="Q66" s="222" t="str">
        <f>IFERROR(SUM((SUMIFS('capacity data'!$G:$G,'capacity data'!$E:$E,"PO",'capacity data'!$B:$B,P66))-SUMIFS('capacity data'!$H:$H,'capacity data'!$E:$E,"PO",'capacity data'!$B:$B,P66))/SUMIFS('capacity data'!$G:$G,'capacity data'!$E:$E,"PO",'capacity data'!$B:$B,P66),"")</f>
        <v/>
      </c>
      <c r="R66" s="222" t="str">
        <f>IFERROR(SUM((SUMIFS('capacity data'!$G:$G,'capacity data'!$E:$E,"PSO",'capacity data'!$B:$B,P66))-SUMIFS('capacity data'!$H:$H,'capacity data'!$E:$E,"PSO",'capacity data'!$B:$B,P66))/SUMIFS('capacity data'!$G:$G,'capacity data'!$E:$E,"PSO",'capacity data'!$B:$B,P66),"")</f>
        <v/>
      </c>
      <c r="S66" s="22" t="str">
        <f t="shared" si="0"/>
        <v/>
      </c>
      <c r="T66" s="223" t="str">
        <f>IFERROR(SUMIFS('capacity data'!$L:$L,'capacity data'!$B:$B,P66,'capacity data'!$E:$E,"PSO")/SUMIFS('capacity data'!$G:$G,'capacity data'!$E:$E,"PSO",'capacity data'!$B:$B,P66),"")</f>
        <v/>
      </c>
      <c r="U66" s="223" t="str">
        <f>IFERROR(SUMIFS('capacity data'!$L:$L,'capacity data'!$B:$B,P66,'capacity data'!$E:$E,"TPO")/SUMIFS('capacity data'!$G:$G,'capacity data'!$E:$E,"TPO",'capacity data'!$B:$B,P66),"")</f>
        <v/>
      </c>
    </row>
    <row r="67" spans="15:21" ht="16" x14ac:dyDescent="0.2">
      <c r="O67" s="23" t="s">
        <v>22</v>
      </c>
      <c r="P67" t="s">
        <v>121</v>
      </c>
      <c r="Q67" s="222" t="str">
        <f>IFERROR(SUM((SUMIFS('capacity data'!$G:$G,'capacity data'!$E:$E,"PO",'capacity data'!$B:$B,P67))-SUMIFS('capacity data'!$H:$H,'capacity data'!$E:$E,"PO",'capacity data'!$B:$B,P67))/SUMIFS('capacity data'!$G:$G,'capacity data'!$E:$E,"PO",'capacity data'!$B:$B,P67),"")</f>
        <v/>
      </c>
      <c r="R67" s="222" t="str">
        <f>IFERROR(SUM((SUMIFS('capacity data'!$G:$G,'capacity data'!$E:$E,"PSO",'capacity data'!$B:$B,P67))-SUMIFS('capacity data'!$H:$H,'capacity data'!$E:$E,"PSO",'capacity data'!$B:$B,P67))/SUMIFS('capacity data'!$G:$G,'capacity data'!$E:$E,"PSO",'capacity data'!$B:$B,P67),"")</f>
        <v/>
      </c>
      <c r="S67" s="22" t="str">
        <f t="shared" ref="S67:S130" si="1">IFERROR((Q67-R67),"")</f>
        <v/>
      </c>
      <c r="T67" s="223" t="str">
        <f>IFERROR(SUMIFS('capacity data'!$L:$L,'capacity data'!$B:$B,P67,'capacity data'!$E:$E,"PSO")/SUMIFS('capacity data'!$G:$G,'capacity data'!$E:$E,"PSO",'capacity data'!$B:$B,P67),"")</f>
        <v/>
      </c>
      <c r="U67" s="223" t="str">
        <f>IFERROR(SUMIFS('capacity data'!$L:$L,'capacity data'!$B:$B,P67,'capacity data'!$E:$E,"TPO")/SUMIFS('capacity data'!$G:$G,'capacity data'!$E:$E,"TPO",'capacity data'!$B:$B,P67),"")</f>
        <v/>
      </c>
    </row>
    <row r="68" spans="15:21" ht="16" x14ac:dyDescent="0.2">
      <c r="O68" s="23" t="s">
        <v>22</v>
      </c>
      <c r="P68" t="s">
        <v>142</v>
      </c>
      <c r="Q68" s="222" t="str">
        <f>IFERROR(SUM((SUMIFS('capacity data'!$G:$G,'capacity data'!$E:$E,"PO",'capacity data'!$B:$B,P68))-SUMIFS('capacity data'!$H:$H,'capacity data'!$E:$E,"PO",'capacity data'!$B:$B,P68))/SUMIFS('capacity data'!$G:$G,'capacity data'!$E:$E,"PO",'capacity data'!$B:$B,P68),"")</f>
        <v/>
      </c>
      <c r="R68" s="222" t="str">
        <f>IFERROR(SUM((SUMIFS('capacity data'!$G:$G,'capacity data'!$E:$E,"PSO",'capacity data'!$B:$B,P68))-SUMIFS('capacity data'!$H:$H,'capacity data'!$E:$E,"PSO",'capacity data'!$B:$B,P68))/SUMIFS('capacity data'!$G:$G,'capacity data'!$E:$E,"PSO",'capacity data'!$B:$B,P68),"")</f>
        <v/>
      </c>
      <c r="S68" s="22" t="str">
        <f t="shared" si="1"/>
        <v/>
      </c>
      <c r="T68" s="223" t="str">
        <f>IFERROR(SUMIFS('capacity data'!$L:$L,'capacity data'!$B:$B,P68,'capacity data'!$E:$E,"PSO")/SUMIFS('capacity data'!$G:$G,'capacity data'!$E:$E,"PSO",'capacity data'!$B:$B,P68),"")</f>
        <v/>
      </c>
      <c r="U68" s="223" t="str">
        <f>IFERROR(SUMIFS('capacity data'!$L:$L,'capacity data'!$B:$B,P68,'capacity data'!$E:$E,"TPO")/SUMIFS('capacity data'!$G:$G,'capacity data'!$E:$E,"TPO",'capacity data'!$B:$B,P68),"")</f>
        <v/>
      </c>
    </row>
    <row r="69" spans="15:21" ht="16" x14ac:dyDescent="0.2">
      <c r="O69" s="23" t="s">
        <v>22</v>
      </c>
      <c r="P69" t="s">
        <v>163</v>
      </c>
      <c r="Q69" s="222" t="str">
        <f>IFERROR(SUM((SUMIFS('capacity data'!$G:$G,'capacity data'!$E:$E,"PO",'capacity data'!$B:$B,P69))-SUMIFS('capacity data'!$H:$H,'capacity data'!$E:$E,"PO",'capacity data'!$B:$B,P69))/SUMIFS('capacity data'!$G:$G,'capacity data'!$E:$E,"PO",'capacity data'!$B:$B,P69),"")</f>
        <v/>
      </c>
      <c r="R69" s="222" t="str">
        <f>IFERROR(SUM((SUMIFS('capacity data'!$G:$G,'capacity data'!$E:$E,"PSO",'capacity data'!$B:$B,P69))-SUMIFS('capacity data'!$H:$H,'capacity data'!$E:$E,"PSO",'capacity data'!$B:$B,P69))/SUMIFS('capacity data'!$G:$G,'capacity data'!$E:$E,"PSO",'capacity data'!$B:$B,P69),"")</f>
        <v/>
      </c>
      <c r="S69" s="22" t="str">
        <f t="shared" si="1"/>
        <v/>
      </c>
      <c r="T69" s="223" t="str">
        <f>IFERROR(SUMIFS('capacity data'!$L:$L,'capacity data'!$B:$B,P69,'capacity data'!$E:$E,"PSO")/SUMIFS('capacity data'!$G:$G,'capacity data'!$E:$E,"PSO",'capacity data'!$B:$B,P69),"")</f>
        <v/>
      </c>
      <c r="U69" s="223" t="str">
        <f>IFERROR(SUMIFS('capacity data'!$L:$L,'capacity data'!$B:$B,P69,'capacity data'!$E:$E,"TPO")/SUMIFS('capacity data'!$G:$G,'capacity data'!$E:$E,"TPO",'capacity data'!$B:$B,P69),"")</f>
        <v/>
      </c>
    </row>
    <row r="70" spans="15:21" ht="16" x14ac:dyDescent="0.2">
      <c r="O70" s="23" t="s">
        <v>22</v>
      </c>
      <c r="P70" t="s">
        <v>183</v>
      </c>
      <c r="Q70" s="222" t="str">
        <f>IFERROR(SUM((SUMIFS('capacity data'!$G:$G,'capacity data'!$E:$E,"PO",'capacity data'!$B:$B,P70))-SUMIFS('capacity data'!$H:$H,'capacity data'!$E:$E,"PO",'capacity data'!$B:$B,P70))/SUMIFS('capacity data'!$G:$G,'capacity data'!$E:$E,"PO",'capacity data'!$B:$B,P70),"")</f>
        <v/>
      </c>
      <c r="R70" s="222" t="str">
        <f>IFERROR(SUM((SUMIFS('capacity data'!$G:$G,'capacity data'!$E:$E,"PSO",'capacity data'!$B:$B,P70))-SUMIFS('capacity data'!$H:$H,'capacity data'!$E:$E,"PSO",'capacity data'!$B:$B,P70))/SUMIFS('capacity data'!$G:$G,'capacity data'!$E:$E,"PSO",'capacity data'!$B:$B,P70),"")</f>
        <v/>
      </c>
      <c r="S70" s="22" t="str">
        <f t="shared" si="1"/>
        <v/>
      </c>
      <c r="T70" s="223" t="str">
        <f>IFERROR(SUMIFS('capacity data'!$L:$L,'capacity data'!$B:$B,P70,'capacity data'!$E:$E,"PSO")/SUMIFS('capacity data'!$G:$G,'capacity data'!$E:$E,"PSO",'capacity data'!$B:$B,P70),"")</f>
        <v/>
      </c>
      <c r="U70" s="223" t="str">
        <f>IFERROR(SUMIFS('capacity data'!$L:$L,'capacity data'!$B:$B,P70,'capacity data'!$E:$E,"TPO")/SUMIFS('capacity data'!$G:$G,'capacity data'!$E:$E,"TPO",'capacity data'!$B:$B,P70),"")</f>
        <v/>
      </c>
    </row>
    <row r="71" spans="15:21" ht="16" x14ac:dyDescent="0.2">
      <c r="O71" s="23" t="s">
        <v>22</v>
      </c>
      <c r="P71" t="s">
        <v>203</v>
      </c>
      <c r="Q71" s="222" t="str">
        <f>IFERROR(SUM((SUMIFS('capacity data'!$G:$G,'capacity data'!$E:$E,"PO",'capacity data'!$B:$B,P71))-SUMIFS('capacity data'!$H:$H,'capacity data'!$E:$E,"PO",'capacity data'!$B:$B,P71))/SUMIFS('capacity data'!$G:$G,'capacity data'!$E:$E,"PO",'capacity data'!$B:$B,P71),"")</f>
        <v/>
      </c>
      <c r="R71" s="222" t="str">
        <f>IFERROR(SUM((SUMIFS('capacity data'!$G:$G,'capacity data'!$E:$E,"PSO",'capacity data'!$B:$B,P71))-SUMIFS('capacity data'!$H:$H,'capacity data'!$E:$E,"PSO",'capacity data'!$B:$B,P71))/SUMIFS('capacity data'!$G:$G,'capacity data'!$E:$E,"PSO",'capacity data'!$B:$B,P71),"")</f>
        <v/>
      </c>
      <c r="S71" s="22" t="str">
        <f t="shared" si="1"/>
        <v/>
      </c>
      <c r="T71" s="223" t="str">
        <f>IFERROR(SUMIFS('capacity data'!$L:$L,'capacity data'!$B:$B,P71,'capacity data'!$E:$E,"PSO")/SUMIFS('capacity data'!$G:$G,'capacity data'!$E:$E,"PSO",'capacity data'!$B:$B,P71),"")</f>
        <v/>
      </c>
      <c r="U71" s="223" t="str">
        <f>IFERROR(SUMIFS('capacity data'!$L:$L,'capacity data'!$B:$B,P71,'capacity data'!$E:$E,"TPO")/SUMIFS('capacity data'!$G:$G,'capacity data'!$E:$E,"TPO",'capacity data'!$B:$B,P71),"")</f>
        <v/>
      </c>
    </row>
    <row r="72" spans="15:21" ht="16" x14ac:dyDescent="0.2">
      <c r="O72" s="23" t="s">
        <v>22</v>
      </c>
      <c r="P72" t="s">
        <v>221</v>
      </c>
      <c r="Q72" s="222" t="str">
        <f>IFERROR(SUM((SUMIFS('capacity data'!$G:$G,'capacity data'!$E:$E,"PO",'capacity data'!$B:$B,P72))-SUMIFS('capacity data'!$H:$H,'capacity data'!$E:$E,"PO",'capacity data'!$B:$B,P72))/SUMIFS('capacity data'!$G:$G,'capacity data'!$E:$E,"PO",'capacity data'!$B:$B,P72),"")</f>
        <v/>
      </c>
      <c r="R72" s="222" t="str">
        <f>IFERROR(SUM((SUMIFS('capacity data'!$G:$G,'capacity data'!$E:$E,"PSO",'capacity data'!$B:$B,P72))-SUMIFS('capacity data'!$H:$H,'capacity data'!$E:$E,"PSO",'capacity data'!$B:$B,P72))/SUMIFS('capacity data'!$G:$G,'capacity data'!$E:$E,"PSO",'capacity data'!$B:$B,P72),"")</f>
        <v/>
      </c>
      <c r="S72" s="22" t="str">
        <f t="shared" si="1"/>
        <v/>
      </c>
      <c r="T72" s="223" t="str">
        <f>IFERROR(SUMIFS('capacity data'!$L:$L,'capacity data'!$B:$B,P72,'capacity data'!$E:$E,"PSO")/SUMIFS('capacity data'!$G:$G,'capacity data'!$E:$E,"PSO",'capacity data'!$B:$B,P72),"")</f>
        <v/>
      </c>
      <c r="U72" s="223" t="str">
        <f>IFERROR(SUMIFS('capacity data'!$L:$L,'capacity data'!$B:$B,P72,'capacity data'!$E:$E,"TPO")/SUMIFS('capacity data'!$G:$G,'capacity data'!$E:$E,"TPO",'capacity data'!$B:$B,P72),"")</f>
        <v/>
      </c>
    </row>
    <row r="73" spans="15:21" ht="16" x14ac:dyDescent="0.2">
      <c r="O73" s="23" t="s">
        <v>22</v>
      </c>
      <c r="P73" t="s">
        <v>239</v>
      </c>
      <c r="Q73" s="222" t="str">
        <f>IFERROR(SUM((SUMIFS('capacity data'!$G:$G,'capacity data'!$E:$E,"PO",'capacity data'!$B:$B,P73))-SUMIFS('capacity data'!$H:$H,'capacity data'!$E:$E,"PO",'capacity data'!$B:$B,P73))/SUMIFS('capacity data'!$G:$G,'capacity data'!$E:$E,"PO",'capacity data'!$B:$B,P73),"")</f>
        <v/>
      </c>
      <c r="R73" s="222" t="str">
        <f>IFERROR(SUM((SUMIFS('capacity data'!$G:$G,'capacity data'!$E:$E,"PSO",'capacity data'!$B:$B,P73))-SUMIFS('capacity data'!$H:$H,'capacity data'!$E:$E,"PSO",'capacity data'!$B:$B,P73))/SUMIFS('capacity data'!$G:$G,'capacity data'!$E:$E,"PSO",'capacity data'!$B:$B,P73),"")</f>
        <v/>
      </c>
      <c r="S73" s="22" t="str">
        <f t="shared" si="1"/>
        <v/>
      </c>
      <c r="T73" s="223" t="str">
        <f>IFERROR(SUMIFS('capacity data'!$L:$L,'capacity data'!$B:$B,P73,'capacity data'!$E:$E,"PSO")/SUMIFS('capacity data'!$G:$G,'capacity data'!$E:$E,"PSO",'capacity data'!$B:$B,P73),"")</f>
        <v/>
      </c>
      <c r="U73" s="223" t="str">
        <f>IFERROR(SUMIFS('capacity data'!$L:$L,'capacity data'!$B:$B,P73,'capacity data'!$E:$E,"TPO")/SUMIFS('capacity data'!$G:$G,'capacity data'!$E:$E,"TPO",'capacity data'!$B:$B,P73),"")</f>
        <v/>
      </c>
    </row>
    <row r="74" spans="15:21" ht="16" x14ac:dyDescent="0.2">
      <c r="O74" s="23" t="s">
        <v>23</v>
      </c>
      <c r="P74" t="s">
        <v>35</v>
      </c>
      <c r="Q74" s="222" t="str">
        <f>IFERROR(SUM((SUMIFS('capacity data'!$G:$G,'capacity data'!$E:$E,"PO",'capacity data'!$B:$B,P74))-SUMIFS('capacity data'!$H:$H,'capacity data'!$E:$E,"PO",'capacity data'!$B:$B,P74))/SUMIFS('capacity data'!$G:$G,'capacity data'!$E:$E,"PO",'capacity data'!$B:$B,P74),"")</f>
        <v/>
      </c>
      <c r="R74" s="222" t="str">
        <f>IFERROR(SUM((SUMIFS('capacity data'!$G:$G,'capacity data'!$E:$E,"PSO",'capacity data'!$B:$B,P74))-SUMIFS('capacity data'!$H:$H,'capacity data'!$E:$E,"PSO",'capacity data'!$B:$B,P74))/SUMIFS('capacity data'!$G:$G,'capacity data'!$E:$E,"PSO",'capacity data'!$B:$B,P74),"")</f>
        <v/>
      </c>
      <c r="S74" s="22" t="str">
        <f t="shared" si="1"/>
        <v/>
      </c>
      <c r="T74" s="223" t="str">
        <f>IFERROR(SUMIFS('capacity data'!$L:$L,'capacity data'!$B:$B,P74,'capacity data'!$E:$E,"PSO")/SUMIFS('capacity data'!$G:$G,'capacity data'!$E:$E,"PSO",'capacity data'!$B:$B,P74),"")</f>
        <v/>
      </c>
      <c r="U74" s="223" t="str">
        <f>IFERROR(SUMIFS('capacity data'!$L:$L,'capacity data'!$B:$B,P74,'capacity data'!$E:$E,"TPO")/SUMIFS('capacity data'!$G:$G,'capacity data'!$E:$E,"TPO",'capacity data'!$B:$B,P74),"")</f>
        <v/>
      </c>
    </row>
    <row r="75" spans="15:21" ht="16" x14ac:dyDescent="0.2">
      <c r="O75" s="23" t="s">
        <v>23</v>
      </c>
      <c r="P75" t="s">
        <v>57</v>
      </c>
      <c r="Q75" s="222" t="str">
        <f>IFERROR(SUM((SUMIFS('capacity data'!$G:$G,'capacity data'!$E:$E,"PO",'capacity data'!$B:$B,P75))-SUMIFS('capacity data'!$H:$H,'capacity data'!$E:$E,"PO",'capacity data'!$B:$B,P75))/SUMIFS('capacity data'!$G:$G,'capacity data'!$E:$E,"PO",'capacity data'!$B:$B,P75),"")</f>
        <v/>
      </c>
      <c r="R75" s="222" t="str">
        <f>IFERROR(SUM((SUMIFS('capacity data'!$G:$G,'capacity data'!$E:$E,"PSO",'capacity data'!$B:$B,P75))-SUMIFS('capacity data'!$H:$H,'capacity data'!$E:$E,"PSO",'capacity data'!$B:$B,P75))/SUMIFS('capacity data'!$G:$G,'capacity data'!$E:$E,"PSO",'capacity data'!$B:$B,P75),"")</f>
        <v/>
      </c>
      <c r="S75" s="22" t="str">
        <f t="shared" si="1"/>
        <v/>
      </c>
      <c r="T75" s="223" t="str">
        <f>IFERROR(SUMIFS('capacity data'!$L:$L,'capacity data'!$B:$B,P75,'capacity data'!$E:$E,"PSO")/SUMIFS('capacity data'!$G:$G,'capacity data'!$E:$E,"PSO",'capacity data'!$B:$B,P75),"")</f>
        <v/>
      </c>
      <c r="U75" s="223" t="str">
        <f>IFERROR(SUMIFS('capacity data'!$L:$L,'capacity data'!$B:$B,P75,'capacity data'!$E:$E,"TPO")/SUMIFS('capacity data'!$G:$G,'capacity data'!$E:$E,"TPO",'capacity data'!$B:$B,P75),"")</f>
        <v/>
      </c>
    </row>
    <row r="76" spans="15:21" ht="16" x14ac:dyDescent="0.2">
      <c r="O76" s="23" t="s">
        <v>23</v>
      </c>
      <c r="P76" t="s">
        <v>78</v>
      </c>
      <c r="Q76" s="222" t="str">
        <f>IFERROR(SUM((SUMIFS('capacity data'!$G:$G,'capacity data'!$E:$E,"PO",'capacity data'!$B:$B,P76))-SUMIFS('capacity data'!$H:$H,'capacity data'!$E:$E,"PO",'capacity data'!$B:$B,P76))/SUMIFS('capacity data'!$G:$G,'capacity data'!$E:$E,"PO",'capacity data'!$B:$B,P76),"")</f>
        <v/>
      </c>
      <c r="R76" s="222" t="str">
        <f>IFERROR(SUM((SUMIFS('capacity data'!$G:$G,'capacity data'!$E:$E,"PSO",'capacity data'!$B:$B,P76))-SUMIFS('capacity data'!$H:$H,'capacity data'!$E:$E,"PSO",'capacity data'!$B:$B,P76))/SUMIFS('capacity data'!$G:$G,'capacity data'!$E:$E,"PSO",'capacity data'!$B:$B,P76),"")</f>
        <v/>
      </c>
      <c r="S76" s="22" t="str">
        <f t="shared" si="1"/>
        <v/>
      </c>
      <c r="T76" s="223" t="str">
        <f>IFERROR(SUMIFS('capacity data'!$L:$L,'capacity data'!$B:$B,P76,'capacity data'!$E:$E,"PSO")/SUMIFS('capacity data'!$G:$G,'capacity data'!$E:$E,"PSO",'capacity data'!$B:$B,P76),"")</f>
        <v/>
      </c>
      <c r="U76" s="223" t="str">
        <f>IFERROR(SUMIFS('capacity data'!$L:$L,'capacity data'!$B:$B,P76,'capacity data'!$E:$E,"TPO")/SUMIFS('capacity data'!$G:$G,'capacity data'!$E:$E,"TPO",'capacity data'!$B:$B,P76),"")</f>
        <v/>
      </c>
    </row>
    <row r="77" spans="15:21" ht="16" x14ac:dyDescent="0.2">
      <c r="O77" s="23" t="s">
        <v>23</v>
      </c>
      <c r="P77" t="s">
        <v>100</v>
      </c>
      <c r="Q77" s="222" t="str">
        <f>IFERROR(SUM((SUMIFS('capacity data'!$G:$G,'capacity data'!$E:$E,"PO",'capacity data'!$B:$B,P77))-SUMIFS('capacity data'!$H:$H,'capacity data'!$E:$E,"PO",'capacity data'!$B:$B,P77))/SUMIFS('capacity data'!$G:$G,'capacity data'!$E:$E,"PO",'capacity data'!$B:$B,P77),"")</f>
        <v/>
      </c>
      <c r="R77" s="222" t="str">
        <f>IFERROR(SUM((SUMIFS('capacity data'!$G:$G,'capacity data'!$E:$E,"PSO",'capacity data'!$B:$B,P77))-SUMIFS('capacity data'!$H:$H,'capacity data'!$E:$E,"PSO",'capacity data'!$B:$B,P77))/SUMIFS('capacity data'!$G:$G,'capacity data'!$E:$E,"PSO",'capacity data'!$B:$B,P77),"")</f>
        <v/>
      </c>
      <c r="S77" s="22" t="str">
        <f t="shared" si="1"/>
        <v/>
      </c>
      <c r="T77" s="223" t="str">
        <f>IFERROR(SUMIFS('capacity data'!$L:$L,'capacity data'!$B:$B,P77,'capacity data'!$E:$E,"PSO")/SUMIFS('capacity data'!$G:$G,'capacity data'!$E:$E,"PSO",'capacity data'!$B:$B,P77),"")</f>
        <v/>
      </c>
      <c r="U77" s="223" t="str">
        <f>IFERROR(SUMIFS('capacity data'!$L:$L,'capacity data'!$B:$B,P77,'capacity data'!$E:$E,"TPO")/SUMIFS('capacity data'!$G:$G,'capacity data'!$E:$E,"TPO",'capacity data'!$B:$B,P77),"")</f>
        <v/>
      </c>
    </row>
    <row r="78" spans="15:21" ht="16" x14ac:dyDescent="0.2">
      <c r="O78" s="23" t="s">
        <v>23</v>
      </c>
      <c r="P78" t="s">
        <v>122</v>
      </c>
      <c r="Q78" s="222" t="str">
        <f>IFERROR(SUM((SUMIFS('capacity data'!$G:$G,'capacity data'!$E:$E,"PO",'capacity data'!$B:$B,P78))-SUMIFS('capacity data'!$H:$H,'capacity data'!$E:$E,"PO",'capacity data'!$B:$B,P78))/SUMIFS('capacity data'!$G:$G,'capacity data'!$E:$E,"PO",'capacity data'!$B:$B,P78),"")</f>
        <v/>
      </c>
      <c r="R78" s="222" t="str">
        <f>IFERROR(SUM((SUMIFS('capacity data'!$G:$G,'capacity data'!$E:$E,"PSO",'capacity data'!$B:$B,P78))-SUMIFS('capacity data'!$H:$H,'capacity data'!$E:$E,"PSO",'capacity data'!$B:$B,P78))/SUMIFS('capacity data'!$G:$G,'capacity data'!$E:$E,"PSO",'capacity data'!$B:$B,P78),"")</f>
        <v/>
      </c>
      <c r="S78" s="22" t="str">
        <f t="shared" si="1"/>
        <v/>
      </c>
      <c r="T78" s="223" t="str">
        <f>IFERROR(SUMIFS('capacity data'!$L:$L,'capacity data'!$B:$B,P78,'capacity data'!$E:$E,"PSO")/SUMIFS('capacity data'!$G:$G,'capacity data'!$E:$E,"PSO",'capacity data'!$B:$B,P78),"")</f>
        <v/>
      </c>
      <c r="U78" s="223" t="str">
        <f>IFERROR(SUMIFS('capacity data'!$L:$L,'capacity data'!$B:$B,P78,'capacity data'!$E:$E,"TPO")/SUMIFS('capacity data'!$G:$G,'capacity data'!$E:$E,"TPO",'capacity data'!$B:$B,P78),"")</f>
        <v/>
      </c>
    </row>
    <row r="79" spans="15:21" ht="16" x14ac:dyDescent="0.2">
      <c r="O79" s="23" t="s">
        <v>23</v>
      </c>
      <c r="P79" t="s">
        <v>143</v>
      </c>
      <c r="Q79" s="222" t="str">
        <f>IFERROR(SUM((SUMIFS('capacity data'!$G:$G,'capacity data'!$E:$E,"PO",'capacity data'!$B:$B,P79))-SUMIFS('capacity data'!$H:$H,'capacity data'!$E:$E,"PO",'capacity data'!$B:$B,P79))/SUMIFS('capacity data'!$G:$G,'capacity data'!$E:$E,"PO",'capacity data'!$B:$B,P79),"")</f>
        <v/>
      </c>
      <c r="R79" s="222" t="str">
        <f>IFERROR(SUM((SUMIFS('capacity data'!$G:$G,'capacity data'!$E:$E,"PSO",'capacity data'!$B:$B,P79))-SUMIFS('capacity data'!$H:$H,'capacity data'!$E:$E,"PSO",'capacity data'!$B:$B,P79))/SUMIFS('capacity data'!$G:$G,'capacity data'!$E:$E,"PSO",'capacity data'!$B:$B,P79),"")</f>
        <v/>
      </c>
      <c r="S79" s="22" t="str">
        <f t="shared" si="1"/>
        <v/>
      </c>
      <c r="T79" s="223" t="str">
        <f>IFERROR(SUMIFS('capacity data'!$L:$L,'capacity data'!$B:$B,P79,'capacity data'!$E:$E,"PSO")/SUMIFS('capacity data'!$G:$G,'capacity data'!$E:$E,"PSO",'capacity data'!$B:$B,P79),"")</f>
        <v/>
      </c>
      <c r="U79" s="223" t="str">
        <f>IFERROR(SUMIFS('capacity data'!$L:$L,'capacity data'!$B:$B,P79,'capacity data'!$E:$E,"TPO")/SUMIFS('capacity data'!$G:$G,'capacity data'!$E:$E,"TPO",'capacity data'!$B:$B,P79),"")</f>
        <v/>
      </c>
    </row>
    <row r="80" spans="15:21" ht="16" x14ac:dyDescent="0.2">
      <c r="O80" s="23" t="s">
        <v>23</v>
      </c>
      <c r="P80" t="s">
        <v>164</v>
      </c>
      <c r="Q80" s="222" t="str">
        <f>IFERROR(SUM((SUMIFS('capacity data'!$G:$G,'capacity data'!$E:$E,"PO",'capacity data'!$B:$B,P80))-SUMIFS('capacity data'!$H:$H,'capacity data'!$E:$E,"PO",'capacity data'!$B:$B,P80))/SUMIFS('capacity data'!$G:$G,'capacity data'!$E:$E,"PO",'capacity data'!$B:$B,P80),"")</f>
        <v/>
      </c>
      <c r="R80" s="222" t="str">
        <f>IFERROR(SUM((SUMIFS('capacity data'!$G:$G,'capacity data'!$E:$E,"PSO",'capacity data'!$B:$B,P80))-SUMIFS('capacity data'!$H:$H,'capacity data'!$E:$E,"PSO",'capacity data'!$B:$B,P80))/SUMIFS('capacity data'!$G:$G,'capacity data'!$E:$E,"PSO",'capacity data'!$B:$B,P80),"")</f>
        <v/>
      </c>
      <c r="S80" s="22" t="str">
        <f t="shared" si="1"/>
        <v/>
      </c>
      <c r="T80" s="223" t="str">
        <f>IFERROR(SUMIFS('capacity data'!$L:$L,'capacity data'!$B:$B,P80,'capacity data'!$E:$E,"PSO")/SUMIFS('capacity data'!$G:$G,'capacity data'!$E:$E,"PSO",'capacity data'!$B:$B,P80),"")</f>
        <v/>
      </c>
      <c r="U80" s="223" t="str">
        <f>IFERROR(SUMIFS('capacity data'!$L:$L,'capacity data'!$B:$B,P80,'capacity data'!$E:$E,"TPO")/SUMIFS('capacity data'!$G:$G,'capacity data'!$E:$E,"TPO",'capacity data'!$B:$B,P80),"")</f>
        <v/>
      </c>
    </row>
    <row r="81" spans="15:21" ht="16" x14ac:dyDescent="0.2">
      <c r="O81" s="23" t="s">
        <v>23</v>
      </c>
      <c r="P81" t="s">
        <v>184</v>
      </c>
      <c r="Q81" s="222" t="str">
        <f>IFERROR(SUM((SUMIFS('capacity data'!$G:$G,'capacity data'!$E:$E,"PO",'capacity data'!$B:$B,P81))-SUMIFS('capacity data'!$H:$H,'capacity data'!$E:$E,"PO",'capacity data'!$B:$B,P81))/SUMIFS('capacity data'!$G:$G,'capacity data'!$E:$E,"PO",'capacity data'!$B:$B,P81),"")</f>
        <v/>
      </c>
      <c r="R81" s="222" t="str">
        <f>IFERROR(SUM((SUMIFS('capacity data'!$G:$G,'capacity data'!$E:$E,"PSO",'capacity data'!$B:$B,P81))-SUMIFS('capacity data'!$H:$H,'capacity data'!$E:$E,"PSO",'capacity data'!$B:$B,P81))/SUMIFS('capacity data'!$G:$G,'capacity data'!$E:$E,"PSO",'capacity data'!$B:$B,P81),"")</f>
        <v/>
      </c>
      <c r="S81" s="22" t="str">
        <f t="shared" si="1"/>
        <v/>
      </c>
      <c r="T81" s="223" t="str">
        <f>IFERROR(SUMIFS('capacity data'!$L:$L,'capacity data'!$B:$B,P81,'capacity data'!$E:$E,"PSO")/SUMIFS('capacity data'!$G:$G,'capacity data'!$E:$E,"PSO",'capacity data'!$B:$B,P81),"")</f>
        <v/>
      </c>
      <c r="U81" s="223" t="str">
        <f>IFERROR(SUMIFS('capacity data'!$L:$L,'capacity data'!$B:$B,P81,'capacity data'!$E:$E,"TPO")/SUMIFS('capacity data'!$G:$G,'capacity data'!$E:$E,"TPO",'capacity data'!$B:$B,P81),"")</f>
        <v/>
      </c>
    </row>
    <row r="82" spans="15:21" ht="16" x14ac:dyDescent="0.2">
      <c r="O82" s="23" t="s">
        <v>23</v>
      </c>
      <c r="P82" t="s">
        <v>204</v>
      </c>
      <c r="Q82" s="222" t="str">
        <f>IFERROR(SUM((SUMIFS('capacity data'!$G:$G,'capacity data'!$E:$E,"PO",'capacity data'!$B:$B,P82))-SUMIFS('capacity data'!$H:$H,'capacity data'!$E:$E,"PO",'capacity data'!$B:$B,P82))/SUMIFS('capacity data'!$G:$G,'capacity data'!$E:$E,"PO",'capacity data'!$B:$B,P82),"")</f>
        <v/>
      </c>
      <c r="R82" s="222" t="str">
        <f>IFERROR(SUM((SUMIFS('capacity data'!$G:$G,'capacity data'!$E:$E,"PSO",'capacity data'!$B:$B,P82))-SUMIFS('capacity data'!$H:$H,'capacity data'!$E:$E,"PSO",'capacity data'!$B:$B,P82))/SUMIFS('capacity data'!$G:$G,'capacity data'!$E:$E,"PSO",'capacity data'!$B:$B,P82),"")</f>
        <v/>
      </c>
      <c r="S82" s="22" t="str">
        <f t="shared" si="1"/>
        <v/>
      </c>
      <c r="T82" s="223" t="str">
        <f>IFERROR(SUMIFS('capacity data'!$L:$L,'capacity data'!$B:$B,P82,'capacity data'!$E:$E,"PSO")/SUMIFS('capacity data'!$G:$G,'capacity data'!$E:$E,"PSO",'capacity data'!$B:$B,P82),"")</f>
        <v/>
      </c>
      <c r="U82" s="223" t="str">
        <f>IFERROR(SUMIFS('capacity data'!$L:$L,'capacity data'!$B:$B,P82,'capacity data'!$E:$E,"TPO")/SUMIFS('capacity data'!$G:$G,'capacity data'!$E:$E,"TPO",'capacity data'!$B:$B,P82),"")</f>
        <v/>
      </c>
    </row>
    <row r="83" spans="15:21" ht="16" x14ac:dyDescent="0.2">
      <c r="O83" s="23" t="s">
        <v>23</v>
      </c>
      <c r="P83" t="s">
        <v>222</v>
      </c>
      <c r="Q83" s="222" t="str">
        <f>IFERROR(SUM((SUMIFS('capacity data'!$G:$G,'capacity data'!$E:$E,"PO",'capacity data'!$B:$B,P83))-SUMIFS('capacity data'!$H:$H,'capacity data'!$E:$E,"PO",'capacity data'!$B:$B,P83))/SUMIFS('capacity data'!$G:$G,'capacity data'!$E:$E,"PO",'capacity data'!$B:$B,P83),"")</f>
        <v/>
      </c>
      <c r="R83" s="222" t="str">
        <f>IFERROR(SUM((SUMIFS('capacity data'!$G:$G,'capacity data'!$E:$E,"PSO",'capacity data'!$B:$B,P83))-SUMIFS('capacity data'!$H:$H,'capacity data'!$E:$E,"PSO",'capacity data'!$B:$B,P83))/SUMIFS('capacity data'!$G:$G,'capacity data'!$E:$E,"PSO",'capacity data'!$B:$B,P83),"")</f>
        <v/>
      </c>
      <c r="S83" s="22" t="str">
        <f t="shared" si="1"/>
        <v/>
      </c>
      <c r="T83" s="223" t="str">
        <f>IFERROR(SUMIFS('capacity data'!$L:$L,'capacity data'!$B:$B,P83,'capacity data'!$E:$E,"PSO")/SUMIFS('capacity data'!$G:$G,'capacity data'!$E:$E,"PSO",'capacity data'!$B:$B,P83),"")</f>
        <v/>
      </c>
      <c r="U83" s="223" t="str">
        <f>IFERROR(SUMIFS('capacity data'!$L:$L,'capacity data'!$B:$B,P83,'capacity data'!$E:$E,"TPO")/SUMIFS('capacity data'!$G:$G,'capacity data'!$E:$E,"TPO",'capacity data'!$B:$B,P83),"")</f>
        <v/>
      </c>
    </row>
    <row r="84" spans="15:21" ht="16" x14ac:dyDescent="0.2">
      <c r="O84" s="23" t="s">
        <v>23</v>
      </c>
      <c r="P84" t="s">
        <v>240</v>
      </c>
      <c r="Q84" s="222" t="str">
        <f>IFERROR(SUM((SUMIFS('capacity data'!$G:$G,'capacity data'!$E:$E,"PO",'capacity data'!$B:$B,P84))-SUMIFS('capacity data'!$H:$H,'capacity data'!$E:$E,"PO",'capacity data'!$B:$B,P84))/SUMIFS('capacity data'!$G:$G,'capacity data'!$E:$E,"PO",'capacity data'!$B:$B,P84),"")</f>
        <v/>
      </c>
      <c r="R84" s="222" t="str">
        <f>IFERROR(SUM((SUMIFS('capacity data'!$G:$G,'capacity data'!$E:$E,"PSO",'capacity data'!$B:$B,P84))-SUMIFS('capacity data'!$H:$H,'capacity data'!$E:$E,"PSO",'capacity data'!$B:$B,P84))/SUMIFS('capacity data'!$G:$G,'capacity data'!$E:$E,"PSO",'capacity data'!$B:$B,P84),"")</f>
        <v/>
      </c>
      <c r="S84" s="22" t="str">
        <f t="shared" si="1"/>
        <v/>
      </c>
      <c r="T84" s="223" t="str">
        <f>IFERROR(SUMIFS('capacity data'!$L:$L,'capacity data'!$B:$B,P84,'capacity data'!$E:$E,"PSO")/SUMIFS('capacity data'!$G:$G,'capacity data'!$E:$E,"PSO",'capacity data'!$B:$B,P84),"")</f>
        <v/>
      </c>
      <c r="U84" s="223" t="str">
        <f>IFERROR(SUMIFS('capacity data'!$L:$L,'capacity data'!$B:$B,P84,'capacity data'!$E:$E,"TPO")/SUMIFS('capacity data'!$G:$G,'capacity data'!$E:$E,"TPO",'capacity data'!$B:$B,P84),"")</f>
        <v/>
      </c>
    </row>
    <row r="85" spans="15:21" ht="16" x14ac:dyDescent="0.2">
      <c r="O85" s="23" t="s">
        <v>23</v>
      </c>
      <c r="P85" t="s">
        <v>256</v>
      </c>
      <c r="Q85" s="222" t="str">
        <f>IFERROR(SUM((SUMIFS('capacity data'!$G:$G,'capacity data'!$E:$E,"PO",'capacity data'!$B:$B,P85))-SUMIFS('capacity data'!$H:$H,'capacity data'!$E:$E,"PO",'capacity data'!$B:$B,P85))/SUMIFS('capacity data'!$G:$G,'capacity data'!$E:$E,"PO",'capacity data'!$B:$B,P85),"")</f>
        <v/>
      </c>
      <c r="R85" s="222" t="str">
        <f>IFERROR(SUM((SUMIFS('capacity data'!$G:$G,'capacity data'!$E:$E,"PSO",'capacity data'!$B:$B,P85))-SUMIFS('capacity data'!$H:$H,'capacity data'!$E:$E,"PSO",'capacity data'!$B:$B,P85))/SUMIFS('capacity data'!$G:$G,'capacity data'!$E:$E,"PSO",'capacity data'!$B:$B,P85),"")</f>
        <v/>
      </c>
      <c r="S85" s="22" t="str">
        <f t="shared" si="1"/>
        <v/>
      </c>
      <c r="T85" s="223" t="str">
        <f>IFERROR(SUMIFS('capacity data'!$L:$L,'capacity data'!$B:$B,P85,'capacity data'!$E:$E,"PSO")/SUMIFS('capacity data'!$G:$G,'capacity data'!$E:$E,"PSO",'capacity data'!$B:$B,P85),"")</f>
        <v/>
      </c>
      <c r="U85" s="223" t="str">
        <f>IFERROR(SUMIFS('capacity data'!$L:$L,'capacity data'!$B:$B,P85,'capacity data'!$E:$E,"TPO")/SUMIFS('capacity data'!$G:$G,'capacity data'!$E:$E,"TPO",'capacity data'!$B:$B,P85),"")</f>
        <v/>
      </c>
    </row>
    <row r="86" spans="15:21" ht="16" x14ac:dyDescent="0.2">
      <c r="O86" s="23" t="s">
        <v>23</v>
      </c>
      <c r="P86" t="s">
        <v>270</v>
      </c>
      <c r="Q86" s="222" t="str">
        <f>IFERROR(SUM((SUMIFS('capacity data'!$G:$G,'capacity data'!$E:$E,"PO",'capacity data'!$B:$B,P86))-SUMIFS('capacity data'!$H:$H,'capacity data'!$E:$E,"PO",'capacity data'!$B:$B,P86))/SUMIFS('capacity data'!$G:$G,'capacity data'!$E:$E,"PO",'capacity data'!$B:$B,P86),"")</f>
        <v/>
      </c>
      <c r="R86" s="222" t="str">
        <f>IFERROR(SUM((SUMIFS('capacity data'!$G:$G,'capacity data'!$E:$E,"PSO",'capacity data'!$B:$B,P86))-SUMIFS('capacity data'!$H:$H,'capacity data'!$E:$E,"PSO",'capacity data'!$B:$B,P86))/SUMIFS('capacity data'!$G:$G,'capacity data'!$E:$E,"PSO",'capacity data'!$B:$B,P86),"")</f>
        <v/>
      </c>
      <c r="S86" s="22" t="str">
        <f t="shared" si="1"/>
        <v/>
      </c>
      <c r="T86" s="223" t="str">
        <f>IFERROR(SUMIFS('capacity data'!$L:$L,'capacity data'!$B:$B,P86,'capacity data'!$E:$E,"PSO")/SUMIFS('capacity data'!$G:$G,'capacity data'!$E:$E,"PSO",'capacity data'!$B:$B,P86),"")</f>
        <v/>
      </c>
      <c r="U86" s="223" t="str">
        <f>IFERROR(SUMIFS('capacity data'!$L:$L,'capacity data'!$B:$B,P86,'capacity data'!$E:$E,"TPO")/SUMIFS('capacity data'!$G:$G,'capacity data'!$E:$E,"TPO",'capacity data'!$B:$B,P86),"")</f>
        <v/>
      </c>
    </row>
    <row r="87" spans="15:21" ht="16" x14ac:dyDescent="0.2">
      <c r="O87" s="23" t="s">
        <v>23</v>
      </c>
      <c r="P87" t="s">
        <v>285</v>
      </c>
      <c r="Q87" s="222" t="str">
        <f>IFERROR(SUM((SUMIFS('capacity data'!$G:$G,'capacity data'!$E:$E,"PO",'capacity data'!$B:$B,P87))-SUMIFS('capacity data'!$H:$H,'capacity data'!$E:$E,"PO",'capacity data'!$B:$B,P87))/SUMIFS('capacity data'!$G:$G,'capacity data'!$E:$E,"PO",'capacity data'!$B:$B,P87),"")</f>
        <v/>
      </c>
      <c r="R87" s="222" t="str">
        <f>IFERROR(SUM((SUMIFS('capacity data'!$G:$G,'capacity data'!$E:$E,"PSO",'capacity data'!$B:$B,P87))-SUMIFS('capacity data'!$H:$H,'capacity data'!$E:$E,"PSO",'capacity data'!$B:$B,P87))/SUMIFS('capacity data'!$G:$G,'capacity data'!$E:$E,"PSO",'capacity data'!$B:$B,P87),"")</f>
        <v/>
      </c>
      <c r="S87" s="22" t="str">
        <f t="shared" si="1"/>
        <v/>
      </c>
      <c r="T87" s="223" t="str">
        <f>IFERROR(SUMIFS('capacity data'!$L:$L,'capacity data'!$B:$B,P87,'capacity data'!$E:$E,"PSO")/SUMIFS('capacity data'!$G:$G,'capacity data'!$E:$E,"PSO",'capacity data'!$B:$B,P87),"")</f>
        <v/>
      </c>
      <c r="U87" s="223" t="str">
        <f>IFERROR(SUMIFS('capacity data'!$L:$L,'capacity data'!$B:$B,P87,'capacity data'!$E:$E,"TPO")/SUMIFS('capacity data'!$G:$G,'capacity data'!$E:$E,"TPO",'capacity data'!$B:$B,P87),"")</f>
        <v/>
      </c>
    </row>
    <row r="88" spans="15:21" ht="16" x14ac:dyDescent="0.2">
      <c r="O88" s="23" t="s">
        <v>23</v>
      </c>
      <c r="P88" t="s">
        <v>301</v>
      </c>
      <c r="Q88" s="222" t="str">
        <f>IFERROR(SUM((SUMIFS('capacity data'!$G:$G,'capacity data'!$E:$E,"PO",'capacity data'!$B:$B,P88))-SUMIFS('capacity data'!$H:$H,'capacity data'!$E:$E,"PO",'capacity data'!$B:$B,P88))/SUMIFS('capacity data'!$G:$G,'capacity data'!$E:$E,"PO",'capacity data'!$B:$B,P88),"")</f>
        <v/>
      </c>
      <c r="R88" s="222" t="str">
        <f>IFERROR(SUM((SUMIFS('capacity data'!$G:$G,'capacity data'!$E:$E,"PSO",'capacity data'!$B:$B,P88))-SUMIFS('capacity data'!$H:$H,'capacity data'!$E:$E,"PSO",'capacity data'!$B:$B,P88))/SUMIFS('capacity data'!$G:$G,'capacity data'!$E:$E,"PSO",'capacity data'!$B:$B,P88),"")</f>
        <v/>
      </c>
      <c r="S88" s="22" t="str">
        <f t="shared" si="1"/>
        <v/>
      </c>
      <c r="T88" s="223" t="str">
        <f>IFERROR(SUMIFS('capacity data'!$L:$L,'capacity data'!$B:$B,P88,'capacity data'!$E:$E,"PSO")/SUMIFS('capacity data'!$G:$G,'capacity data'!$E:$E,"PSO",'capacity data'!$B:$B,P88),"")</f>
        <v/>
      </c>
      <c r="U88" s="223" t="str">
        <f>IFERROR(SUMIFS('capacity data'!$L:$L,'capacity data'!$B:$B,P88,'capacity data'!$E:$E,"TPO")/SUMIFS('capacity data'!$G:$G,'capacity data'!$E:$E,"TPO",'capacity data'!$B:$B,P88),"")</f>
        <v/>
      </c>
    </row>
    <row r="89" spans="15:21" ht="16" x14ac:dyDescent="0.2">
      <c r="O89" s="23" t="s">
        <v>23</v>
      </c>
      <c r="P89" t="s">
        <v>314</v>
      </c>
      <c r="Q89" s="222" t="str">
        <f>IFERROR(SUM((SUMIFS('capacity data'!$G:$G,'capacity data'!$E:$E,"PO",'capacity data'!$B:$B,P89))-SUMIFS('capacity data'!$H:$H,'capacity data'!$E:$E,"PO",'capacity data'!$B:$B,P89))/SUMIFS('capacity data'!$G:$G,'capacity data'!$E:$E,"PO",'capacity data'!$B:$B,P89),"")</f>
        <v/>
      </c>
      <c r="R89" s="222" t="str">
        <f>IFERROR(SUM((SUMIFS('capacity data'!$G:$G,'capacity data'!$E:$E,"PSO",'capacity data'!$B:$B,P89))-SUMIFS('capacity data'!$H:$H,'capacity data'!$E:$E,"PSO",'capacity data'!$B:$B,P89))/SUMIFS('capacity data'!$G:$G,'capacity data'!$E:$E,"PSO",'capacity data'!$B:$B,P89),"")</f>
        <v/>
      </c>
      <c r="S89" s="22" t="str">
        <f t="shared" si="1"/>
        <v/>
      </c>
      <c r="T89" s="223" t="str">
        <f>IFERROR(SUMIFS('capacity data'!$L:$L,'capacity data'!$B:$B,P89,'capacity data'!$E:$E,"PSO")/SUMIFS('capacity data'!$G:$G,'capacity data'!$E:$E,"PSO",'capacity data'!$B:$B,P89),"")</f>
        <v/>
      </c>
      <c r="U89" s="223" t="str">
        <f>IFERROR(SUMIFS('capacity data'!$L:$L,'capacity data'!$B:$B,P89,'capacity data'!$E:$E,"TPO")/SUMIFS('capacity data'!$G:$G,'capacity data'!$E:$E,"TPO",'capacity data'!$B:$B,P89),"")</f>
        <v/>
      </c>
    </row>
    <row r="90" spans="15:21" ht="16" x14ac:dyDescent="0.2">
      <c r="O90" s="23" t="s">
        <v>23</v>
      </c>
      <c r="P90" t="s">
        <v>328</v>
      </c>
      <c r="Q90" s="222" t="str">
        <f>IFERROR(SUM((SUMIFS('capacity data'!$G:$G,'capacity data'!$E:$E,"PO",'capacity data'!$B:$B,P90))-SUMIFS('capacity data'!$H:$H,'capacity data'!$E:$E,"PO",'capacity data'!$B:$B,P90))/SUMIFS('capacity data'!$G:$G,'capacity data'!$E:$E,"PO",'capacity data'!$B:$B,P90),"")</f>
        <v/>
      </c>
      <c r="R90" s="222" t="str">
        <f>IFERROR(SUM((SUMIFS('capacity data'!$G:$G,'capacity data'!$E:$E,"PSO",'capacity data'!$B:$B,P90))-SUMIFS('capacity data'!$H:$H,'capacity data'!$E:$E,"PSO",'capacity data'!$B:$B,P90))/SUMIFS('capacity data'!$G:$G,'capacity data'!$E:$E,"PSO",'capacity data'!$B:$B,P90),"")</f>
        <v/>
      </c>
      <c r="S90" s="22" t="str">
        <f t="shared" si="1"/>
        <v/>
      </c>
      <c r="T90" s="223" t="str">
        <f>IFERROR(SUMIFS('capacity data'!$L:$L,'capacity data'!$B:$B,P90,'capacity data'!$E:$E,"PSO")/SUMIFS('capacity data'!$G:$G,'capacity data'!$E:$E,"PSO",'capacity data'!$B:$B,P90),"")</f>
        <v/>
      </c>
      <c r="U90" s="223" t="str">
        <f>IFERROR(SUMIFS('capacity data'!$L:$L,'capacity data'!$B:$B,P90,'capacity data'!$E:$E,"TPO")/SUMIFS('capacity data'!$G:$G,'capacity data'!$E:$E,"TPO",'capacity data'!$B:$B,P90),"")</f>
        <v/>
      </c>
    </row>
    <row r="91" spans="15:21" ht="16" x14ac:dyDescent="0.2">
      <c r="O91" s="23" t="s">
        <v>23</v>
      </c>
      <c r="P91" t="s">
        <v>342</v>
      </c>
      <c r="Q91" s="222" t="str">
        <f>IFERROR(SUM((SUMIFS('capacity data'!$G:$G,'capacity data'!$E:$E,"PO",'capacity data'!$B:$B,P91))-SUMIFS('capacity data'!$H:$H,'capacity data'!$E:$E,"PO",'capacity data'!$B:$B,P91))/SUMIFS('capacity data'!$G:$G,'capacity data'!$E:$E,"PO",'capacity data'!$B:$B,P91),"")</f>
        <v/>
      </c>
      <c r="R91" s="222" t="str">
        <f>IFERROR(SUM((SUMIFS('capacity data'!$G:$G,'capacity data'!$E:$E,"PSO",'capacity data'!$B:$B,P91))-SUMIFS('capacity data'!$H:$H,'capacity data'!$E:$E,"PSO",'capacity data'!$B:$B,P91))/SUMIFS('capacity data'!$G:$G,'capacity data'!$E:$E,"PSO",'capacity data'!$B:$B,P91),"")</f>
        <v/>
      </c>
      <c r="S91" s="22" t="str">
        <f t="shared" si="1"/>
        <v/>
      </c>
      <c r="T91" s="223" t="str">
        <f>IFERROR(SUMIFS('capacity data'!$L:$L,'capacity data'!$B:$B,P91,'capacity data'!$E:$E,"PSO")/SUMIFS('capacity data'!$G:$G,'capacity data'!$E:$E,"PSO",'capacity data'!$B:$B,P91),"")</f>
        <v/>
      </c>
      <c r="U91" s="223" t="str">
        <f>IFERROR(SUMIFS('capacity data'!$L:$L,'capacity data'!$B:$B,P91,'capacity data'!$E:$E,"TPO")/SUMIFS('capacity data'!$G:$G,'capacity data'!$E:$E,"TPO",'capacity data'!$B:$B,P91),"")</f>
        <v/>
      </c>
    </row>
    <row r="92" spans="15:21" ht="16" x14ac:dyDescent="0.2">
      <c r="O92" s="23" t="s">
        <v>23</v>
      </c>
      <c r="P92" t="s">
        <v>354</v>
      </c>
      <c r="Q92" s="222" t="str">
        <f>IFERROR(SUM((SUMIFS('capacity data'!$G:$G,'capacity data'!$E:$E,"PO",'capacity data'!$B:$B,P92))-SUMIFS('capacity data'!$H:$H,'capacity data'!$E:$E,"PO",'capacity data'!$B:$B,P92))/SUMIFS('capacity data'!$G:$G,'capacity data'!$E:$E,"PO",'capacity data'!$B:$B,P92),"")</f>
        <v/>
      </c>
      <c r="R92" s="222" t="str">
        <f>IFERROR(SUM((SUMIFS('capacity data'!$G:$G,'capacity data'!$E:$E,"PSO",'capacity data'!$B:$B,P92))-SUMIFS('capacity data'!$H:$H,'capacity data'!$E:$E,"PSO",'capacity data'!$B:$B,P92))/SUMIFS('capacity data'!$G:$G,'capacity data'!$E:$E,"PSO",'capacity data'!$B:$B,P92),"")</f>
        <v/>
      </c>
      <c r="S92" s="22" t="str">
        <f t="shared" si="1"/>
        <v/>
      </c>
      <c r="T92" s="223" t="str">
        <f>IFERROR(SUMIFS('capacity data'!$L:$L,'capacity data'!$B:$B,P92,'capacity data'!$E:$E,"PSO")/SUMIFS('capacity data'!$G:$G,'capacity data'!$E:$E,"PSO",'capacity data'!$B:$B,P92),"")</f>
        <v/>
      </c>
      <c r="U92" s="223" t="str">
        <f>IFERROR(SUMIFS('capacity data'!$L:$L,'capacity data'!$B:$B,P92,'capacity data'!$E:$E,"TPO")/SUMIFS('capacity data'!$G:$G,'capacity data'!$E:$E,"TPO",'capacity data'!$B:$B,P92),"")</f>
        <v/>
      </c>
    </row>
    <row r="93" spans="15:21" ht="16" x14ac:dyDescent="0.2">
      <c r="O93" s="23" t="s">
        <v>24</v>
      </c>
      <c r="P93" t="s">
        <v>36</v>
      </c>
      <c r="Q93" s="222" t="str">
        <f>IFERROR(SUM((SUMIFS('capacity data'!$G:$G,'capacity data'!$E:$E,"PO",'capacity data'!$B:$B,P93))-SUMIFS('capacity data'!$H:$H,'capacity data'!$E:$E,"PO",'capacity data'!$B:$B,P93))/SUMIFS('capacity data'!$G:$G,'capacity data'!$E:$E,"PO",'capacity data'!$B:$B,P93),"")</f>
        <v/>
      </c>
      <c r="R93" s="222" t="str">
        <f>IFERROR(SUM((SUMIFS('capacity data'!$G:$G,'capacity data'!$E:$E,"PSO",'capacity data'!$B:$B,P93))-SUMIFS('capacity data'!$H:$H,'capacity data'!$E:$E,"PSO",'capacity data'!$B:$B,P93))/SUMIFS('capacity data'!$G:$G,'capacity data'!$E:$E,"PSO",'capacity data'!$B:$B,P93),"")</f>
        <v/>
      </c>
      <c r="S93" s="22" t="str">
        <f t="shared" si="1"/>
        <v/>
      </c>
      <c r="T93" s="223" t="str">
        <f>IFERROR(SUMIFS('capacity data'!$L:$L,'capacity data'!$B:$B,P93,'capacity data'!$E:$E,"PSO")/SUMIFS('capacity data'!$G:$G,'capacity data'!$E:$E,"PSO",'capacity data'!$B:$B,P93),"")</f>
        <v/>
      </c>
      <c r="U93" s="223" t="str">
        <f>IFERROR(SUMIFS('capacity data'!$L:$L,'capacity data'!$B:$B,P93,'capacity data'!$E:$E,"TPO")/SUMIFS('capacity data'!$G:$G,'capacity data'!$E:$E,"TPO",'capacity data'!$B:$B,P93),"")</f>
        <v/>
      </c>
    </row>
    <row r="94" spans="15:21" ht="16" x14ac:dyDescent="0.2">
      <c r="O94" s="23" t="s">
        <v>24</v>
      </c>
      <c r="P94" t="s">
        <v>58</v>
      </c>
      <c r="Q94" s="222" t="str">
        <f>IFERROR(SUM((SUMIFS('capacity data'!$G:$G,'capacity data'!$E:$E,"PO",'capacity data'!$B:$B,P94))-SUMIFS('capacity data'!$H:$H,'capacity data'!$E:$E,"PO",'capacity data'!$B:$B,P94))/SUMIFS('capacity data'!$G:$G,'capacity data'!$E:$E,"PO",'capacity data'!$B:$B,P94),"")</f>
        <v/>
      </c>
      <c r="R94" s="222" t="str">
        <f>IFERROR(SUM((SUMIFS('capacity data'!$G:$G,'capacity data'!$E:$E,"PSO",'capacity data'!$B:$B,P94))-SUMIFS('capacity data'!$H:$H,'capacity data'!$E:$E,"PSO",'capacity data'!$B:$B,P94))/SUMIFS('capacity data'!$G:$G,'capacity data'!$E:$E,"PSO",'capacity data'!$B:$B,P94),"")</f>
        <v/>
      </c>
      <c r="S94" s="22" t="str">
        <f t="shared" si="1"/>
        <v/>
      </c>
      <c r="T94" s="223" t="str">
        <f>IFERROR(SUMIFS('capacity data'!$L:$L,'capacity data'!$B:$B,P94,'capacity data'!$E:$E,"PSO")/SUMIFS('capacity data'!$G:$G,'capacity data'!$E:$E,"PSO",'capacity data'!$B:$B,P94),"")</f>
        <v/>
      </c>
      <c r="U94" s="223" t="str">
        <f>IFERROR(SUMIFS('capacity data'!$L:$L,'capacity data'!$B:$B,P94,'capacity data'!$E:$E,"TPO")/SUMIFS('capacity data'!$G:$G,'capacity data'!$E:$E,"TPO",'capacity data'!$B:$B,P94),"")</f>
        <v/>
      </c>
    </row>
    <row r="95" spans="15:21" ht="16" x14ac:dyDescent="0.2">
      <c r="O95" s="23" t="s">
        <v>24</v>
      </c>
      <c r="P95" t="s">
        <v>79</v>
      </c>
      <c r="Q95" s="222" t="str">
        <f>IFERROR(SUM((SUMIFS('capacity data'!$G:$G,'capacity data'!$E:$E,"PO",'capacity data'!$B:$B,P95))-SUMIFS('capacity data'!$H:$H,'capacity data'!$E:$E,"PO",'capacity data'!$B:$B,P95))/SUMIFS('capacity data'!$G:$G,'capacity data'!$E:$E,"PO",'capacity data'!$B:$B,P95),"")</f>
        <v/>
      </c>
      <c r="R95" s="222" t="str">
        <f>IFERROR(SUM((SUMIFS('capacity data'!$G:$G,'capacity data'!$E:$E,"PSO",'capacity data'!$B:$B,P95))-SUMIFS('capacity data'!$H:$H,'capacity data'!$E:$E,"PSO",'capacity data'!$B:$B,P95))/SUMIFS('capacity data'!$G:$G,'capacity data'!$E:$E,"PSO",'capacity data'!$B:$B,P95),"")</f>
        <v/>
      </c>
      <c r="S95" s="22" t="str">
        <f t="shared" si="1"/>
        <v/>
      </c>
      <c r="T95" s="223" t="str">
        <f>IFERROR(SUMIFS('capacity data'!$L:$L,'capacity data'!$B:$B,P95,'capacity data'!$E:$E,"PSO")/SUMIFS('capacity data'!$G:$G,'capacity data'!$E:$E,"PSO",'capacity data'!$B:$B,P95),"")</f>
        <v/>
      </c>
      <c r="U95" s="223" t="str">
        <f>IFERROR(SUMIFS('capacity data'!$L:$L,'capacity data'!$B:$B,P95,'capacity data'!$E:$E,"TPO")/SUMIFS('capacity data'!$G:$G,'capacity data'!$E:$E,"TPO",'capacity data'!$B:$B,P95),"")</f>
        <v/>
      </c>
    </row>
    <row r="96" spans="15:21" ht="16" x14ac:dyDescent="0.2">
      <c r="O96" s="23" t="s">
        <v>24</v>
      </c>
      <c r="P96" t="s">
        <v>101</v>
      </c>
      <c r="Q96" s="222" t="str">
        <f>IFERROR(SUM((SUMIFS('capacity data'!$G:$G,'capacity data'!$E:$E,"PO",'capacity data'!$B:$B,P96))-SUMIFS('capacity data'!$H:$H,'capacity data'!$E:$E,"PO",'capacity data'!$B:$B,P96))/SUMIFS('capacity data'!$G:$G,'capacity data'!$E:$E,"PO",'capacity data'!$B:$B,P96),"")</f>
        <v/>
      </c>
      <c r="R96" s="222" t="str">
        <f>IFERROR(SUM((SUMIFS('capacity data'!$G:$G,'capacity data'!$E:$E,"PSO",'capacity data'!$B:$B,P96))-SUMIFS('capacity data'!$H:$H,'capacity data'!$E:$E,"PSO",'capacity data'!$B:$B,P96))/SUMIFS('capacity data'!$G:$G,'capacity data'!$E:$E,"PSO",'capacity data'!$B:$B,P96),"")</f>
        <v/>
      </c>
      <c r="S96" s="22" t="str">
        <f t="shared" si="1"/>
        <v/>
      </c>
      <c r="T96" s="223" t="str">
        <f>IFERROR(SUMIFS('capacity data'!$L:$L,'capacity data'!$B:$B,P96,'capacity data'!$E:$E,"PSO")/SUMIFS('capacity data'!$G:$G,'capacity data'!$E:$E,"PSO",'capacity data'!$B:$B,P96),"")</f>
        <v/>
      </c>
      <c r="U96" s="223" t="str">
        <f>IFERROR(SUMIFS('capacity data'!$L:$L,'capacity data'!$B:$B,P96,'capacity data'!$E:$E,"TPO")/SUMIFS('capacity data'!$G:$G,'capacity data'!$E:$E,"TPO",'capacity data'!$B:$B,P96),"")</f>
        <v/>
      </c>
    </row>
    <row r="97" spans="15:21" ht="16" x14ac:dyDescent="0.2">
      <c r="O97" s="23" t="s">
        <v>24</v>
      </c>
      <c r="P97" t="s">
        <v>123</v>
      </c>
      <c r="Q97" s="222" t="str">
        <f>IFERROR(SUM((SUMIFS('capacity data'!$G:$G,'capacity data'!$E:$E,"PO",'capacity data'!$B:$B,P97))-SUMIFS('capacity data'!$H:$H,'capacity data'!$E:$E,"PO",'capacity data'!$B:$B,P97))/SUMIFS('capacity data'!$G:$G,'capacity data'!$E:$E,"PO",'capacity data'!$B:$B,P97),"")</f>
        <v/>
      </c>
      <c r="R97" s="222" t="str">
        <f>IFERROR(SUM((SUMIFS('capacity data'!$G:$G,'capacity data'!$E:$E,"PSO",'capacity data'!$B:$B,P97))-SUMIFS('capacity data'!$H:$H,'capacity data'!$E:$E,"PSO",'capacity data'!$B:$B,P97))/SUMIFS('capacity data'!$G:$G,'capacity data'!$E:$E,"PSO",'capacity data'!$B:$B,P97),"")</f>
        <v/>
      </c>
      <c r="S97" s="22" t="str">
        <f t="shared" si="1"/>
        <v/>
      </c>
      <c r="T97" s="223" t="str">
        <f>IFERROR(SUMIFS('capacity data'!$L:$L,'capacity data'!$B:$B,P97,'capacity data'!$E:$E,"PSO")/SUMIFS('capacity data'!$G:$G,'capacity data'!$E:$E,"PSO",'capacity data'!$B:$B,P97),"")</f>
        <v/>
      </c>
      <c r="U97" s="223" t="str">
        <f>IFERROR(SUMIFS('capacity data'!$L:$L,'capacity data'!$B:$B,P97,'capacity data'!$E:$E,"TPO")/SUMIFS('capacity data'!$G:$G,'capacity data'!$E:$E,"TPO",'capacity data'!$B:$B,P97),"")</f>
        <v/>
      </c>
    </row>
    <row r="98" spans="15:21" ht="16" x14ac:dyDescent="0.2">
      <c r="O98" s="23" t="s">
        <v>24</v>
      </c>
      <c r="P98" t="s">
        <v>144</v>
      </c>
      <c r="Q98" s="222" t="str">
        <f>IFERROR(SUM((SUMIFS('capacity data'!$G:$G,'capacity data'!$E:$E,"PO",'capacity data'!$B:$B,P98))-SUMIFS('capacity data'!$H:$H,'capacity data'!$E:$E,"PO",'capacity data'!$B:$B,P98))/SUMIFS('capacity data'!$G:$G,'capacity data'!$E:$E,"PO",'capacity data'!$B:$B,P98),"")</f>
        <v/>
      </c>
      <c r="R98" s="222" t="str">
        <f>IFERROR(SUM((SUMIFS('capacity data'!$G:$G,'capacity data'!$E:$E,"PSO",'capacity data'!$B:$B,P98))-SUMIFS('capacity data'!$H:$H,'capacity data'!$E:$E,"PSO",'capacity data'!$B:$B,P98))/SUMIFS('capacity data'!$G:$G,'capacity data'!$E:$E,"PSO",'capacity data'!$B:$B,P98),"")</f>
        <v/>
      </c>
      <c r="S98" s="22" t="str">
        <f t="shared" si="1"/>
        <v/>
      </c>
      <c r="T98" s="223" t="str">
        <f>IFERROR(SUMIFS('capacity data'!$L:$L,'capacity data'!$B:$B,P98,'capacity data'!$E:$E,"PSO")/SUMIFS('capacity data'!$G:$G,'capacity data'!$E:$E,"PSO",'capacity data'!$B:$B,P98),"")</f>
        <v/>
      </c>
      <c r="U98" s="223" t="str">
        <f>IFERROR(SUMIFS('capacity data'!$L:$L,'capacity data'!$B:$B,P98,'capacity data'!$E:$E,"TPO")/SUMIFS('capacity data'!$G:$G,'capacity data'!$E:$E,"TPO",'capacity data'!$B:$B,P98),"")</f>
        <v/>
      </c>
    </row>
    <row r="99" spans="15:21" ht="16" x14ac:dyDescent="0.2">
      <c r="O99" s="23" t="s">
        <v>24</v>
      </c>
      <c r="P99" t="s">
        <v>165</v>
      </c>
      <c r="Q99" s="222" t="str">
        <f>IFERROR(SUM((SUMIFS('capacity data'!$G:$G,'capacity data'!$E:$E,"PO",'capacity data'!$B:$B,P99))-SUMIFS('capacity data'!$H:$H,'capacity data'!$E:$E,"PO",'capacity data'!$B:$B,P99))/SUMIFS('capacity data'!$G:$G,'capacity data'!$E:$E,"PO",'capacity data'!$B:$B,P99),"")</f>
        <v/>
      </c>
      <c r="R99" s="222" t="str">
        <f>IFERROR(SUM((SUMIFS('capacity data'!$G:$G,'capacity data'!$E:$E,"PSO",'capacity data'!$B:$B,P99))-SUMIFS('capacity data'!$H:$H,'capacity data'!$E:$E,"PSO",'capacity data'!$B:$B,P99))/SUMIFS('capacity data'!$G:$G,'capacity data'!$E:$E,"PSO",'capacity data'!$B:$B,P99),"")</f>
        <v/>
      </c>
      <c r="S99" s="22" t="str">
        <f t="shared" si="1"/>
        <v/>
      </c>
      <c r="T99" s="223" t="str">
        <f>IFERROR(SUMIFS('capacity data'!$L:$L,'capacity data'!$B:$B,P99,'capacity data'!$E:$E,"PSO")/SUMIFS('capacity data'!$G:$G,'capacity data'!$E:$E,"PSO",'capacity data'!$B:$B,P99),"")</f>
        <v/>
      </c>
      <c r="U99" s="223" t="str">
        <f>IFERROR(SUMIFS('capacity data'!$L:$L,'capacity data'!$B:$B,P99,'capacity data'!$E:$E,"TPO")/SUMIFS('capacity data'!$G:$G,'capacity data'!$E:$E,"TPO",'capacity data'!$B:$B,P99),"")</f>
        <v/>
      </c>
    </row>
    <row r="100" spans="15:21" ht="16" x14ac:dyDescent="0.2">
      <c r="O100" s="23" t="s">
        <v>24</v>
      </c>
      <c r="P100" t="s">
        <v>185</v>
      </c>
      <c r="Q100" s="222" t="str">
        <f>IFERROR(SUM((SUMIFS('capacity data'!$G:$G,'capacity data'!$E:$E,"PO",'capacity data'!$B:$B,P100))-SUMIFS('capacity data'!$H:$H,'capacity data'!$E:$E,"PO",'capacity data'!$B:$B,P100))/SUMIFS('capacity data'!$G:$G,'capacity data'!$E:$E,"PO",'capacity data'!$B:$B,P100),"")</f>
        <v/>
      </c>
      <c r="R100" s="222" t="str">
        <f>IFERROR(SUM((SUMIFS('capacity data'!$G:$G,'capacity data'!$E:$E,"PSO",'capacity data'!$B:$B,P100))-SUMIFS('capacity data'!$H:$H,'capacity data'!$E:$E,"PSO",'capacity data'!$B:$B,P100))/SUMIFS('capacity data'!$G:$G,'capacity data'!$E:$E,"PSO",'capacity data'!$B:$B,P100),"")</f>
        <v/>
      </c>
      <c r="S100" s="22" t="str">
        <f t="shared" si="1"/>
        <v/>
      </c>
      <c r="T100" s="223" t="str">
        <f>IFERROR(SUMIFS('capacity data'!$L:$L,'capacity data'!$B:$B,P100,'capacity data'!$E:$E,"PSO")/SUMIFS('capacity data'!$G:$G,'capacity data'!$E:$E,"PSO",'capacity data'!$B:$B,P100),"")</f>
        <v/>
      </c>
      <c r="U100" s="223" t="str">
        <f>IFERROR(SUMIFS('capacity data'!$L:$L,'capacity data'!$B:$B,P100,'capacity data'!$E:$E,"TPO")/SUMIFS('capacity data'!$G:$G,'capacity data'!$E:$E,"TPO",'capacity data'!$B:$B,P100),"")</f>
        <v/>
      </c>
    </row>
    <row r="101" spans="15:21" ht="16" x14ac:dyDescent="0.2">
      <c r="O101" s="23" t="s">
        <v>24</v>
      </c>
      <c r="P101" t="s">
        <v>205</v>
      </c>
      <c r="Q101" s="222" t="str">
        <f>IFERROR(SUM((SUMIFS('capacity data'!$G:$G,'capacity data'!$E:$E,"PO",'capacity data'!$B:$B,P101))-SUMIFS('capacity data'!$H:$H,'capacity data'!$E:$E,"PO",'capacity data'!$B:$B,P101))/SUMIFS('capacity data'!$G:$G,'capacity data'!$E:$E,"PO",'capacity data'!$B:$B,P101),"")</f>
        <v/>
      </c>
      <c r="R101" s="222" t="str">
        <f>IFERROR(SUM((SUMIFS('capacity data'!$G:$G,'capacity data'!$E:$E,"PSO",'capacity data'!$B:$B,P101))-SUMIFS('capacity data'!$H:$H,'capacity data'!$E:$E,"PSO",'capacity data'!$B:$B,P101))/SUMIFS('capacity data'!$G:$G,'capacity data'!$E:$E,"PSO",'capacity data'!$B:$B,P101),"")</f>
        <v/>
      </c>
      <c r="S101" s="22" t="str">
        <f t="shared" si="1"/>
        <v/>
      </c>
      <c r="T101" s="223" t="str">
        <f>IFERROR(SUMIFS('capacity data'!$L:$L,'capacity data'!$B:$B,P101,'capacity data'!$E:$E,"PSO")/SUMIFS('capacity data'!$G:$G,'capacity data'!$E:$E,"PSO",'capacity data'!$B:$B,P101),"")</f>
        <v/>
      </c>
      <c r="U101" s="223" t="str">
        <f>IFERROR(SUMIFS('capacity data'!$L:$L,'capacity data'!$B:$B,P101,'capacity data'!$E:$E,"TPO")/SUMIFS('capacity data'!$G:$G,'capacity data'!$E:$E,"TPO",'capacity data'!$B:$B,P101),"")</f>
        <v/>
      </c>
    </row>
    <row r="102" spans="15:21" ht="16" x14ac:dyDescent="0.2">
      <c r="O102" s="23" t="s">
        <v>25</v>
      </c>
      <c r="P102" t="s">
        <v>37</v>
      </c>
      <c r="Q102" s="222" t="str">
        <f>IFERROR(SUM((SUMIFS('capacity data'!$G:$G,'capacity data'!$E:$E,"PO",'capacity data'!$B:$B,P102))-SUMIFS('capacity data'!$H:$H,'capacity data'!$E:$E,"PO",'capacity data'!$B:$B,P102))/SUMIFS('capacity data'!$G:$G,'capacity data'!$E:$E,"PO",'capacity data'!$B:$B,P102),"")</f>
        <v/>
      </c>
      <c r="R102" s="222" t="str">
        <f>IFERROR(SUM((SUMIFS('capacity data'!$G:$G,'capacity data'!$E:$E,"PSO",'capacity data'!$B:$B,P102))-SUMIFS('capacity data'!$H:$H,'capacity data'!$E:$E,"PSO",'capacity data'!$B:$B,P102))/SUMIFS('capacity data'!$G:$G,'capacity data'!$E:$E,"PSO",'capacity data'!$B:$B,P102),"")</f>
        <v/>
      </c>
      <c r="S102" s="22" t="str">
        <f t="shared" si="1"/>
        <v/>
      </c>
      <c r="T102" s="223" t="str">
        <f>IFERROR(SUMIFS('capacity data'!$L:$L,'capacity data'!$B:$B,P102,'capacity data'!$E:$E,"PSO")/SUMIFS('capacity data'!$G:$G,'capacity data'!$E:$E,"PSO",'capacity data'!$B:$B,P102),"")</f>
        <v/>
      </c>
      <c r="U102" s="223" t="str">
        <f>IFERROR(SUMIFS('capacity data'!$L:$L,'capacity data'!$B:$B,P102,'capacity data'!$E:$E,"TPO")/SUMIFS('capacity data'!$G:$G,'capacity data'!$E:$E,"TPO",'capacity data'!$B:$B,P102),"")</f>
        <v/>
      </c>
    </row>
    <row r="103" spans="15:21" ht="16" x14ac:dyDescent="0.2">
      <c r="O103" s="23" t="s">
        <v>25</v>
      </c>
      <c r="P103" t="s">
        <v>59</v>
      </c>
      <c r="Q103" s="222" t="str">
        <f>IFERROR(SUM((SUMIFS('capacity data'!$G:$G,'capacity data'!$E:$E,"PO",'capacity data'!$B:$B,P103))-SUMIFS('capacity data'!$H:$H,'capacity data'!$E:$E,"PO",'capacity data'!$B:$B,P103))/SUMIFS('capacity data'!$G:$G,'capacity data'!$E:$E,"PO",'capacity data'!$B:$B,P103),"")</f>
        <v/>
      </c>
      <c r="R103" s="222" t="str">
        <f>IFERROR(SUM((SUMIFS('capacity data'!$G:$G,'capacity data'!$E:$E,"PSO",'capacity data'!$B:$B,P103))-SUMIFS('capacity data'!$H:$H,'capacity data'!$E:$E,"PSO",'capacity data'!$B:$B,P103))/SUMIFS('capacity data'!$G:$G,'capacity data'!$E:$E,"PSO",'capacity data'!$B:$B,P103),"")</f>
        <v/>
      </c>
      <c r="S103" s="22" t="str">
        <f t="shared" si="1"/>
        <v/>
      </c>
      <c r="T103" s="223" t="str">
        <f>IFERROR(SUMIFS('capacity data'!$L:$L,'capacity data'!$B:$B,P103,'capacity data'!$E:$E,"PSO")/SUMIFS('capacity data'!$G:$G,'capacity data'!$E:$E,"PSO",'capacity data'!$B:$B,P103),"")</f>
        <v/>
      </c>
      <c r="U103" s="223" t="str">
        <f>IFERROR(SUMIFS('capacity data'!$L:$L,'capacity data'!$B:$B,P103,'capacity data'!$E:$E,"TPO")/SUMIFS('capacity data'!$G:$G,'capacity data'!$E:$E,"TPO",'capacity data'!$B:$B,P103),"")</f>
        <v/>
      </c>
    </row>
    <row r="104" spans="15:21" ht="16" x14ac:dyDescent="0.2">
      <c r="O104" s="23" t="s">
        <v>25</v>
      </c>
      <c r="P104" t="s">
        <v>80</v>
      </c>
      <c r="Q104" s="222" t="str">
        <f>IFERROR(SUM((SUMIFS('capacity data'!$G:$G,'capacity data'!$E:$E,"PO",'capacity data'!$B:$B,P104))-SUMIFS('capacity data'!$H:$H,'capacity data'!$E:$E,"PO",'capacity data'!$B:$B,P104))/SUMIFS('capacity data'!$G:$G,'capacity data'!$E:$E,"PO",'capacity data'!$B:$B,P104),"")</f>
        <v/>
      </c>
      <c r="R104" s="222" t="str">
        <f>IFERROR(SUM((SUMIFS('capacity data'!$G:$G,'capacity data'!$E:$E,"PSO",'capacity data'!$B:$B,P104))-SUMIFS('capacity data'!$H:$H,'capacity data'!$E:$E,"PSO",'capacity data'!$B:$B,P104))/SUMIFS('capacity data'!$G:$G,'capacity data'!$E:$E,"PSO",'capacity data'!$B:$B,P104),"")</f>
        <v/>
      </c>
      <c r="S104" s="22" t="str">
        <f t="shared" si="1"/>
        <v/>
      </c>
      <c r="T104" s="223" t="str">
        <f>IFERROR(SUMIFS('capacity data'!$L:$L,'capacity data'!$B:$B,P104,'capacity data'!$E:$E,"PSO")/SUMIFS('capacity data'!$G:$G,'capacity data'!$E:$E,"PSO",'capacity data'!$B:$B,P104),"")</f>
        <v/>
      </c>
      <c r="U104" s="223" t="str">
        <f>IFERROR(SUMIFS('capacity data'!$L:$L,'capacity data'!$B:$B,P104,'capacity data'!$E:$E,"TPO")/SUMIFS('capacity data'!$G:$G,'capacity data'!$E:$E,"TPO",'capacity data'!$B:$B,P104),"")</f>
        <v/>
      </c>
    </row>
    <row r="105" spans="15:21" ht="16" x14ac:dyDescent="0.2">
      <c r="O105" s="23" t="s">
        <v>25</v>
      </c>
      <c r="P105" t="s">
        <v>102</v>
      </c>
      <c r="Q105" s="222" t="str">
        <f>IFERROR(SUM((SUMIFS('capacity data'!$G:$G,'capacity data'!$E:$E,"PO",'capacity data'!$B:$B,P105))-SUMIFS('capacity data'!$H:$H,'capacity data'!$E:$E,"PO",'capacity data'!$B:$B,P105))/SUMIFS('capacity data'!$G:$G,'capacity data'!$E:$E,"PO",'capacity data'!$B:$B,P105),"")</f>
        <v/>
      </c>
      <c r="R105" s="222" t="str">
        <f>IFERROR(SUM((SUMIFS('capacity data'!$G:$G,'capacity data'!$E:$E,"PSO",'capacity data'!$B:$B,P105))-SUMIFS('capacity data'!$H:$H,'capacity data'!$E:$E,"PSO",'capacity data'!$B:$B,P105))/SUMIFS('capacity data'!$G:$G,'capacity data'!$E:$E,"PSO",'capacity data'!$B:$B,P105),"")</f>
        <v/>
      </c>
      <c r="S105" s="22" t="str">
        <f t="shared" si="1"/>
        <v/>
      </c>
      <c r="T105" s="223" t="str">
        <f>IFERROR(SUMIFS('capacity data'!$L:$L,'capacity data'!$B:$B,P105,'capacity data'!$E:$E,"PSO")/SUMIFS('capacity data'!$G:$G,'capacity data'!$E:$E,"PSO",'capacity data'!$B:$B,P105),"")</f>
        <v/>
      </c>
      <c r="U105" s="223" t="str">
        <f>IFERROR(SUMIFS('capacity data'!$L:$L,'capacity data'!$B:$B,P105,'capacity data'!$E:$E,"TPO")/SUMIFS('capacity data'!$G:$G,'capacity data'!$E:$E,"TPO",'capacity data'!$B:$B,P105),"")</f>
        <v/>
      </c>
    </row>
    <row r="106" spans="15:21" ht="16" x14ac:dyDescent="0.2">
      <c r="O106" s="23" t="s">
        <v>25</v>
      </c>
      <c r="P106" t="s">
        <v>124</v>
      </c>
      <c r="Q106" s="222" t="str">
        <f>IFERROR(SUM((SUMIFS('capacity data'!$G:$G,'capacity data'!$E:$E,"PO",'capacity data'!$B:$B,P106))-SUMIFS('capacity data'!$H:$H,'capacity data'!$E:$E,"PO",'capacity data'!$B:$B,P106))/SUMIFS('capacity data'!$G:$G,'capacity data'!$E:$E,"PO",'capacity data'!$B:$B,P106),"")</f>
        <v/>
      </c>
      <c r="R106" s="222" t="str">
        <f>IFERROR(SUM((SUMIFS('capacity data'!$G:$G,'capacity data'!$E:$E,"PSO",'capacity data'!$B:$B,P106))-SUMIFS('capacity data'!$H:$H,'capacity data'!$E:$E,"PSO",'capacity data'!$B:$B,P106))/SUMIFS('capacity data'!$G:$G,'capacity data'!$E:$E,"PSO",'capacity data'!$B:$B,P106),"")</f>
        <v/>
      </c>
      <c r="S106" s="22" t="str">
        <f t="shared" si="1"/>
        <v/>
      </c>
      <c r="T106" s="223" t="str">
        <f>IFERROR(SUMIFS('capacity data'!$L:$L,'capacity data'!$B:$B,P106,'capacity data'!$E:$E,"PSO")/SUMIFS('capacity data'!$G:$G,'capacity data'!$E:$E,"PSO",'capacity data'!$B:$B,P106),"")</f>
        <v/>
      </c>
      <c r="U106" s="223" t="str">
        <f>IFERROR(SUMIFS('capacity data'!$L:$L,'capacity data'!$B:$B,P106,'capacity data'!$E:$E,"TPO")/SUMIFS('capacity data'!$G:$G,'capacity data'!$E:$E,"TPO",'capacity data'!$B:$B,P106),"")</f>
        <v/>
      </c>
    </row>
    <row r="107" spans="15:21" ht="16" x14ac:dyDescent="0.2">
      <c r="O107" s="23" t="s">
        <v>25</v>
      </c>
      <c r="P107" t="s">
        <v>145</v>
      </c>
      <c r="Q107" s="222" t="str">
        <f>IFERROR(SUM((SUMIFS('capacity data'!$G:$G,'capacity data'!$E:$E,"PO",'capacity data'!$B:$B,P107))-SUMIFS('capacity data'!$H:$H,'capacity data'!$E:$E,"PO",'capacity data'!$B:$B,P107))/SUMIFS('capacity data'!$G:$G,'capacity data'!$E:$E,"PO",'capacity data'!$B:$B,P107),"")</f>
        <v/>
      </c>
      <c r="R107" s="222" t="str">
        <f>IFERROR(SUM((SUMIFS('capacity data'!$G:$G,'capacity data'!$E:$E,"PSO",'capacity data'!$B:$B,P107))-SUMIFS('capacity data'!$H:$H,'capacity data'!$E:$E,"PSO",'capacity data'!$B:$B,P107))/SUMIFS('capacity data'!$G:$G,'capacity data'!$E:$E,"PSO",'capacity data'!$B:$B,P107),"")</f>
        <v/>
      </c>
      <c r="S107" s="22" t="str">
        <f t="shared" si="1"/>
        <v/>
      </c>
      <c r="T107" s="223" t="str">
        <f>IFERROR(SUMIFS('capacity data'!$L:$L,'capacity data'!$B:$B,P107,'capacity data'!$E:$E,"PSO")/SUMIFS('capacity data'!$G:$G,'capacity data'!$E:$E,"PSO",'capacity data'!$B:$B,P107),"")</f>
        <v/>
      </c>
      <c r="U107" s="223" t="str">
        <f>IFERROR(SUMIFS('capacity data'!$L:$L,'capacity data'!$B:$B,P107,'capacity data'!$E:$E,"TPO")/SUMIFS('capacity data'!$G:$G,'capacity data'!$E:$E,"TPO",'capacity data'!$B:$B,P107),"")</f>
        <v/>
      </c>
    </row>
    <row r="108" spans="15:21" ht="16" x14ac:dyDescent="0.2">
      <c r="O108" s="23" t="s">
        <v>25</v>
      </c>
      <c r="P108" t="s">
        <v>166</v>
      </c>
      <c r="Q108" s="222" t="str">
        <f>IFERROR(SUM((SUMIFS('capacity data'!$G:$G,'capacity data'!$E:$E,"PO",'capacity data'!$B:$B,P108))-SUMIFS('capacity data'!$H:$H,'capacity data'!$E:$E,"PO",'capacity data'!$B:$B,P108))/SUMIFS('capacity data'!$G:$G,'capacity data'!$E:$E,"PO",'capacity data'!$B:$B,P108),"")</f>
        <v/>
      </c>
      <c r="R108" s="222" t="str">
        <f>IFERROR(SUM((SUMIFS('capacity data'!$G:$G,'capacity data'!$E:$E,"PSO",'capacity data'!$B:$B,P108))-SUMIFS('capacity data'!$H:$H,'capacity data'!$E:$E,"PSO",'capacity data'!$B:$B,P108))/SUMIFS('capacity data'!$G:$G,'capacity data'!$E:$E,"PSO",'capacity data'!$B:$B,P108),"")</f>
        <v/>
      </c>
      <c r="S108" s="22" t="str">
        <f t="shared" si="1"/>
        <v/>
      </c>
      <c r="T108" s="223" t="str">
        <f>IFERROR(SUMIFS('capacity data'!$L:$L,'capacity data'!$B:$B,P108,'capacity data'!$E:$E,"PSO")/SUMIFS('capacity data'!$G:$G,'capacity data'!$E:$E,"PSO",'capacity data'!$B:$B,P108),"")</f>
        <v/>
      </c>
      <c r="U108" s="223" t="str">
        <f>IFERROR(SUMIFS('capacity data'!$L:$L,'capacity data'!$B:$B,P108,'capacity data'!$E:$E,"TPO")/SUMIFS('capacity data'!$G:$G,'capacity data'!$E:$E,"TPO",'capacity data'!$B:$B,P108),"")</f>
        <v/>
      </c>
    </row>
    <row r="109" spans="15:21" ht="16" x14ac:dyDescent="0.2">
      <c r="O109" s="23" t="s">
        <v>25</v>
      </c>
      <c r="P109" t="s">
        <v>186</v>
      </c>
      <c r="Q109" s="222" t="str">
        <f>IFERROR(SUM((SUMIFS('capacity data'!$G:$G,'capacity data'!$E:$E,"PO",'capacity data'!$B:$B,P109))-SUMIFS('capacity data'!$H:$H,'capacity data'!$E:$E,"PO",'capacity data'!$B:$B,P109))/SUMIFS('capacity data'!$G:$G,'capacity data'!$E:$E,"PO",'capacity data'!$B:$B,P109),"")</f>
        <v/>
      </c>
      <c r="R109" s="222" t="str">
        <f>IFERROR(SUM((SUMIFS('capacity data'!$G:$G,'capacity data'!$E:$E,"PSO",'capacity data'!$B:$B,P109))-SUMIFS('capacity data'!$H:$H,'capacity data'!$E:$E,"PSO",'capacity data'!$B:$B,P109))/SUMIFS('capacity data'!$G:$G,'capacity data'!$E:$E,"PSO",'capacity data'!$B:$B,P109),"")</f>
        <v/>
      </c>
      <c r="S109" s="22" t="str">
        <f t="shared" si="1"/>
        <v/>
      </c>
      <c r="T109" s="223" t="str">
        <f>IFERROR(SUMIFS('capacity data'!$L:$L,'capacity data'!$B:$B,P109,'capacity data'!$E:$E,"PSO")/SUMIFS('capacity data'!$G:$G,'capacity data'!$E:$E,"PSO",'capacity data'!$B:$B,P109),"")</f>
        <v/>
      </c>
      <c r="U109" s="223" t="str">
        <f>IFERROR(SUMIFS('capacity data'!$L:$L,'capacity data'!$B:$B,P109,'capacity data'!$E:$E,"TPO")/SUMIFS('capacity data'!$G:$G,'capacity data'!$E:$E,"TPO",'capacity data'!$B:$B,P109),"")</f>
        <v/>
      </c>
    </row>
    <row r="110" spans="15:21" ht="16" x14ac:dyDescent="0.2">
      <c r="O110" s="23" t="s">
        <v>25</v>
      </c>
      <c r="P110" t="s">
        <v>206</v>
      </c>
      <c r="Q110" s="222" t="str">
        <f>IFERROR(SUM((SUMIFS('capacity data'!$G:$G,'capacity data'!$E:$E,"PO",'capacity data'!$B:$B,P110))-SUMIFS('capacity data'!$H:$H,'capacity data'!$E:$E,"PO",'capacity data'!$B:$B,P110))/SUMIFS('capacity data'!$G:$G,'capacity data'!$E:$E,"PO",'capacity data'!$B:$B,P110),"")</f>
        <v/>
      </c>
      <c r="R110" s="222" t="str">
        <f>IFERROR(SUM((SUMIFS('capacity data'!$G:$G,'capacity data'!$E:$E,"PSO",'capacity data'!$B:$B,P110))-SUMIFS('capacity data'!$H:$H,'capacity data'!$E:$E,"PSO",'capacity data'!$B:$B,P110))/SUMIFS('capacity data'!$G:$G,'capacity data'!$E:$E,"PSO",'capacity data'!$B:$B,P110),"")</f>
        <v/>
      </c>
      <c r="S110" s="22" t="str">
        <f t="shared" si="1"/>
        <v/>
      </c>
      <c r="T110" s="223" t="str">
        <f>IFERROR(SUMIFS('capacity data'!$L:$L,'capacity data'!$B:$B,P110,'capacity data'!$E:$E,"PSO")/SUMIFS('capacity data'!$G:$G,'capacity data'!$E:$E,"PSO",'capacity data'!$B:$B,P110),"")</f>
        <v/>
      </c>
      <c r="U110" s="223" t="str">
        <f>IFERROR(SUMIFS('capacity data'!$L:$L,'capacity data'!$B:$B,P110,'capacity data'!$E:$E,"TPO")/SUMIFS('capacity data'!$G:$G,'capacity data'!$E:$E,"TPO",'capacity data'!$B:$B,P110),"")</f>
        <v/>
      </c>
    </row>
    <row r="111" spans="15:21" ht="16" x14ac:dyDescent="0.2">
      <c r="O111" s="23" t="s">
        <v>25</v>
      </c>
      <c r="P111" t="s">
        <v>223</v>
      </c>
      <c r="Q111" s="222" t="str">
        <f>IFERROR(SUM((SUMIFS('capacity data'!$G:$G,'capacity data'!$E:$E,"PO",'capacity data'!$B:$B,P111))-SUMIFS('capacity data'!$H:$H,'capacity data'!$E:$E,"PO",'capacity data'!$B:$B,P111))/SUMIFS('capacity data'!$G:$G,'capacity data'!$E:$E,"PO",'capacity data'!$B:$B,P111),"")</f>
        <v/>
      </c>
      <c r="R111" s="222" t="str">
        <f>IFERROR(SUM((SUMIFS('capacity data'!$G:$G,'capacity data'!$E:$E,"PSO",'capacity data'!$B:$B,P111))-SUMIFS('capacity data'!$H:$H,'capacity data'!$E:$E,"PSO",'capacity data'!$B:$B,P111))/SUMIFS('capacity data'!$G:$G,'capacity data'!$E:$E,"PSO",'capacity data'!$B:$B,P111),"")</f>
        <v/>
      </c>
      <c r="S111" s="22" t="str">
        <f t="shared" si="1"/>
        <v/>
      </c>
      <c r="T111" s="223" t="str">
        <f>IFERROR(SUMIFS('capacity data'!$L:$L,'capacity data'!$B:$B,P111,'capacity data'!$E:$E,"PSO")/SUMIFS('capacity data'!$G:$G,'capacity data'!$E:$E,"PSO",'capacity data'!$B:$B,P111),"")</f>
        <v/>
      </c>
      <c r="U111" s="223" t="str">
        <f>IFERROR(SUMIFS('capacity data'!$L:$L,'capacity data'!$B:$B,P111,'capacity data'!$E:$E,"TPO")/SUMIFS('capacity data'!$G:$G,'capacity data'!$E:$E,"TPO",'capacity data'!$B:$B,P111),"")</f>
        <v/>
      </c>
    </row>
    <row r="112" spans="15:21" ht="16" x14ac:dyDescent="0.2">
      <c r="O112" s="23" t="s">
        <v>25</v>
      </c>
      <c r="P112" t="s">
        <v>241</v>
      </c>
      <c r="Q112" s="222" t="str">
        <f>IFERROR(SUM((SUMIFS('capacity data'!$G:$G,'capacity data'!$E:$E,"PO",'capacity data'!$B:$B,P112))-SUMIFS('capacity data'!$H:$H,'capacity data'!$E:$E,"PO",'capacity data'!$B:$B,P112))/SUMIFS('capacity data'!$G:$G,'capacity data'!$E:$E,"PO",'capacity data'!$B:$B,P112),"")</f>
        <v/>
      </c>
      <c r="R112" s="222" t="str">
        <f>IFERROR(SUM((SUMIFS('capacity data'!$G:$G,'capacity data'!$E:$E,"PSO",'capacity data'!$B:$B,P112))-SUMIFS('capacity data'!$H:$H,'capacity data'!$E:$E,"PSO",'capacity data'!$B:$B,P112))/SUMIFS('capacity data'!$G:$G,'capacity data'!$E:$E,"PSO",'capacity data'!$B:$B,P112),"")</f>
        <v/>
      </c>
      <c r="S112" s="22" t="str">
        <f t="shared" si="1"/>
        <v/>
      </c>
      <c r="T112" s="223" t="str">
        <f>IFERROR(SUMIFS('capacity data'!$L:$L,'capacity data'!$B:$B,P112,'capacity data'!$E:$E,"PSO")/SUMIFS('capacity data'!$G:$G,'capacity data'!$E:$E,"PSO",'capacity data'!$B:$B,P112),"")</f>
        <v/>
      </c>
      <c r="U112" s="223" t="str">
        <f>IFERROR(SUMIFS('capacity data'!$L:$L,'capacity data'!$B:$B,P112,'capacity data'!$E:$E,"TPO")/SUMIFS('capacity data'!$G:$G,'capacity data'!$E:$E,"TPO",'capacity data'!$B:$B,P112),"")</f>
        <v/>
      </c>
    </row>
    <row r="113" spans="15:21" ht="16" x14ac:dyDescent="0.2">
      <c r="O113" s="23" t="s">
        <v>25</v>
      </c>
      <c r="P113" t="s">
        <v>257</v>
      </c>
      <c r="Q113" s="222" t="str">
        <f>IFERROR(SUM((SUMIFS('capacity data'!$G:$G,'capacity data'!$E:$E,"PO",'capacity data'!$B:$B,P113))-SUMIFS('capacity data'!$H:$H,'capacity data'!$E:$E,"PO",'capacity data'!$B:$B,P113))/SUMIFS('capacity data'!$G:$G,'capacity data'!$E:$E,"PO",'capacity data'!$B:$B,P113),"")</f>
        <v/>
      </c>
      <c r="R113" s="222" t="str">
        <f>IFERROR(SUM((SUMIFS('capacity data'!$G:$G,'capacity data'!$E:$E,"PSO",'capacity data'!$B:$B,P113))-SUMIFS('capacity data'!$H:$H,'capacity data'!$E:$E,"PSO",'capacity data'!$B:$B,P113))/SUMIFS('capacity data'!$G:$G,'capacity data'!$E:$E,"PSO",'capacity data'!$B:$B,P113),"")</f>
        <v/>
      </c>
      <c r="S113" s="22" t="str">
        <f t="shared" si="1"/>
        <v/>
      </c>
      <c r="T113" s="223" t="str">
        <f>IFERROR(SUMIFS('capacity data'!$L:$L,'capacity data'!$B:$B,P113,'capacity data'!$E:$E,"PSO")/SUMIFS('capacity data'!$G:$G,'capacity data'!$E:$E,"PSO",'capacity data'!$B:$B,P113),"")</f>
        <v/>
      </c>
      <c r="U113" s="223" t="str">
        <f>IFERROR(SUMIFS('capacity data'!$L:$L,'capacity data'!$B:$B,P113,'capacity data'!$E:$E,"TPO")/SUMIFS('capacity data'!$G:$G,'capacity data'!$E:$E,"TPO",'capacity data'!$B:$B,P113),"")</f>
        <v/>
      </c>
    </row>
    <row r="114" spans="15:21" ht="16" x14ac:dyDescent="0.2">
      <c r="O114" s="23" t="s">
        <v>26</v>
      </c>
      <c r="P114" t="s">
        <v>38</v>
      </c>
      <c r="Q114" s="222" t="str">
        <f>IFERROR(SUM((SUMIFS('capacity data'!$G:$G,'capacity data'!$E:$E,"PO",'capacity data'!$B:$B,P114))-SUMIFS('capacity data'!$H:$H,'capacity data'!$E:$E,"PO",'capacity data'!$B:$B,P114))/SUMIFS('capacity data'!$G:$G,'capacity data'!$E:$E,"PO",'capacity data'!$B:$B,P114),"")</f>
        <v/>
      </c>
      <c r="R114" s="222" t="str">
        <f>IFERROR(SUM((SUMIFS('capacity data'!$G:$G,'capacity data'!$E:$E,"PSO",'capacity data'!$B:$B,P114))-SUMIFS('capacity data'!$H:$H,'capacity data'!$E:$E,"PSO",'capacity data'!$B:$B,P114))/SUMIFS('capacity data'!$G:$G,'capacity data'!$E:$E,"PSO",'capacity data'!$B:$B,P114),"")</f>
        <v/>
      </c>
      <c r="S114" s="22" t="str">
        <f t="shared" si="1"/>
        <v/>
      </c>
      <c r="T114" s="223" t="str">
        <f>IFERROR(SUMIFS('capacity data'!$L:$L,'capacity data'!$B:$B,P114,'capacity data'!$E:$E,"PSO")/SUMIFS('capacity data'!$G:$G,'capacity data'!$E:$E,"PSO",'capacity data'!$B:$B,P114),"")</f>
        <v/>
      </c>
      <c r="U114" s="223" t="str">
        <f>IFERROR(SUMIFS('capacity data'!$L:$L,'capacity data'!$B:$B,P114,'capacity data'!$E:$E,"TPO")/SUMIFS('capacity data'!$G:$G,'capacity data'!$E:$E,"TPO",'capacity data'!$B:$B,P114),"")</f>
        <v/>
      </c>
    </row>
    <row r="115" spans="15:21" ht="16" x14ac:dyDescent="0.2">
      <c r="O115" s="23" t="s">
        <v>26</v>
      </c>
      <c r="P115" t="s">
        <v>60</v>
      </c>
      <c r="Q115" s="222" t="str">
        <f>IFERROR(SUM((SUMIFS('capacity data'!$G:$G,'capacity data'!$E:$E,"PO",'capacity data'!$B:$B,P115))-SUMIFS('capacity data'!$H:$H,'capacity data'!$E:$E,"PO",'capacity data'!$B:$B,P115))/SUMIFS('capacity data'!$G:$G,'capacity data'!$E:$E,"PO",'capacity data'!$B:$B,P115),"")</f>
        <v/>
      </c>
      <c r="R115" s="222" t="str">
        <f>IFERROR(SUM((SUMIFS('capacity data'!$G:$G,'capacity data'!$E:$E,"PSO",'capacity data'!$B:$B,P115))-SUMIFS('capacity data'!$H:$H,'capacity data'!$E:$E,"PSO",'capacity data'!$B:$B,P115))/SUMIFS('capacity data'!$G:$G,'capacity data'!$E:$E,"PSO",'capacity data'!$B:$B,P115),"")</f>
        <v/>
      </c>
      <c r="S115" s="22" t="str">
        <f t="shared" si="1"/>
        <v/>
      </c>
      <c r="T115" s="223" t="str">
        <f>IFERROR(SUMIFS('capacity data'!$L:$L,'capacity data'!$B:$B,P115,'capacity data'!$E:$E,"PSO")/SUMIFS('capacity data'!$G:$G,'capacity data'!$E:$E,"PSO",'capacity data'!$B:$B,P115),"")</f>
        <v/>
      </c>
      <c r="U115" s="223" t="str">
        <f>IFERROR(SUMIFS('capacity data'!$L:$L,'capacity data'!$B:$B,P115,'capacity data'!$E:$E,"TPO")/SUMIFS('capacity data'!$G:$G,'capacity data'!$E:$E,"TPO",'capacity data'!$B:$B,P115),"")</f>
        <v/>
      </c>
    </row>
    <row r="116" spans="15:21" ht="16" x14ac:dyDescent="0.2">
      <c r="O116" s="23" t="s">
        <v>26</v>
      </c>
      <c r="P116" t="s">
        <v>81</v>
      </c>
      <c r="Q116" s="222" t="str">
        <f>IFERROR(SUM((SUMIFS('capacity data'!$G:$G,'capacity data'!$E:$E,"PO",'capacity data'!$B:$B,P116))-SUMIFS('capacity data'!$H:$H,'capacity data'!$E:$E,"PO",'capacity data'!$B:$B,P116))/SUMIFS('capacity data'!$G:$G,'capacity data'!$E:$E,"PO",'capacity data'!$B:$B,P116),"")</f>
        <v/>
      </c>
      <c r="R116" s="222" t="str">
        <f>IFERROR(SUM((SUMIFS('capacity data'!$G:$G,'capacity data'!$E:$E,"PSO",'capacity data'!$B:$B,P116))-SUMIFS('capacity data'!$H:$H,'capacity data'!$E:$E,"PSO",'capacity data'!$B:$B,P116))/SUMIFS('capacity data'!$G:$G,'capacity data'!$E:$E,"PSO",'capacity data'!$B:$B,P116),"")</f>
        <v/>
      </c>
      <c r="S116" s="22" t="str">
        <f t="shared" si="1"/>
        <v/>
      </c>
      <c r="T116" s="223" t="str">
        <f>IFERROR(SUMIFS('capacity data'!$L:$L,'capacity data'!$B:$B,P116,'capacity data'!$E:$E,"PSO")/SUMIFS('capacity data'!$G:$G,'capacity data'!$E:$E,"PSO",'capacity data'!$B:$B,P116),"")</f>
        <v/>
      </c>
      <c r="U116" s="223" t="str">
        <f>IFERROR(SUMIFS('capacity data'!$L:$L,'capacity data'!$B:$B,P116,'capacity data'!$E:$E,"TPO")/SUMIFS('capacity data'!$G:$G,'capacity data'!$E:$E,"TPO",'capacity data'!$B:$B,P116),"")</f>
        <v/>
      </c>
    </row>
    <row r="117" spans="15:21" ht="16" x14ac:dyDescent="0.2">
      <c r="O117" s="23" t="s">
        <v>26</v>
      </c>
      <c r="P117" t="s">
        <v>103</v>
      </c>
      <c r="Q117" s="222" t="str">
        <f>IFERROR(SUM((SUMIFS('capacity data'!$G:$G,'capacity data'!$E:$E,"PO",'capacity data'!$B:$B,P117))-SUMIFS('capacity data'!$H:$H,'capacity data'!$E:$E,"PO",'capacity data'!$B:$B,P117))/SUMIFS('capacity data'!$G:$G,'capacity data'!$E:$E,"PO",'capacity data'!$B:$B,P117),"")</f>
        <v/>
      </c>
      <c r="R117" s="222" t="str">
        <f>IFERROR(SUM((SUMIFS('capacity data'!$G:$G,'capacity data'!$E:$E,"PSO",'capacity data'!$B:$B,P117))-SUMIFS('capacity data'!$H:$H,'capacity data'!$E:$E,"PSO",'capacity data'!$B:$B,P117))/SUMIFS('capacity data'!$G:$G,'capacity data'!$E:$E,"PSO",'capacity data'!$B:$B,P117),"")</f>
        <v/>
      </c>
      <c r="S117" s="22" t="str">
        <f t="shared" si="1"/>
        <v/>
      </c>
      <c r="T117" s="223" t="str">
        <f>IFERROR(SUMIFS('capacity data'!$L:$L,'capacity data'!$B:$B,P117,'capacity data'!$E:$E,"PSO")/SUMIFS('capacity data'!$G:$G,'capacity data'!$E:$E,"PSO",'capacity data'!$B:$B,P117),"")</f>
        <v/>
      </c>
      <c r="U117" s="223" t="str">
        <f>IFERROR(SUMIFS('capacity data'!$L:$L,'capacity data'!$B:$B,P117,'capacity data'!$E:$E,"TPO")/SUMIFS('capacity data'!$G:$G,'capacity data'!$E:$E,"TPO",'capacity data'!$B:$B,P117),"")</f>
        <v/>
      </c>
    </row>
    <row r="118" spans="15:21" ht="16" x14ac:dyDescent="0.2">
      <c r="O118" s="23" t="s">
        <v>26</v>
      </c>
      <c r="P118" t="s">
        <v>125</v>
      </c>
      <c r="Q118" s="222" t="str">
        <f>IFERROR(SUM((SUMIFS('capacity data'!$G:$G,'capacity data'!$E:$E,"PO",'capacity data'!$B:$B,P118))-SUMIFS('capacity data'!$H:$H,'capacity data'!$E:$E,"PO",'capacity data'!$B:$B,P118))/SUMIFS('capacity data'!$G:$G,'capacity data'!$E:$E,"PO",'capacity data'!$B:$B,P118),"")</f>
        <v/>
      </c>
      <c r="R118" s="222" t="str">
        <f>IFERROR(SUM((SUMIFS('capacity data'!$G:$G,'capacity data'!$E:$E,"PSO",'capacity data'!$B:$B,P118))-SUMIFS('capacity data'!$H:$H,'capacity data'!$E:$E,"PSO",'capacity data'!$B:$B,P118))/SUMIFS('capacity data'!$G:$G,'capacity data'!$E:$E,"PSO",'capacity data'!$B:$B,P118),"")</f>
        <v/>
      </c>
      <c r="S118" s="22" t="str">
        <f t="shared" si="1"/>
        <v/>
      </c>
      <c r="T118" s="223" t="str">
        <f>IFERROR(SUMIFS('capacity data'!$L:$L,'capacity data'!$B:$B,P118,'capacity data'!$E:$E,"PSO")/SUMIFS('capacity data'!$G:$G,'capacity data'!$E:$E,"PSO",'capacity data'!$B:$B,P118),"")</f>
        <v/>
      </c>
      <c r="U118" s="223" t="str">
        <f>IFERROR(SUMIFS('capacity data'!$L:$L,'capacity data'!$B:$B,P118,'capacity data'!$E:$E,"TPO")/SUMIFS('capacity data'!$G:$G,'capacity data'!$E:$E,"TPO",'capacity data'!$B:$B,P118),"")</f>
        <v/>
      </c>
    </row>
    <row r="119" spans="15:21" ht="16" x14ac:dyDescent="0.2">
      <c r="O119" s="23" t="s">
        <v>26</v>
      </c>
      <c r="P119" t="s">
        <v>146</v>
      </c>
      <c r="Q119" s="222" t="str">
        <f>IFERROR(SUM((SUMIFS('capacity data'!$G:$G,'capacity data'!$E:$E,"PO",'capacity data'!$B:$B,P119))-SUMIFS('capacity data'!$H:$H,'capacity data'!$E:$E,"PO",'capacity data'!$B:$B,P119))/SUMIFS('capacity data'!$G:$G,'capacity data'!$E:$E,"PO",'capacity data'!$B:$B,P119),"")</f>
        <v/>
      </c>
      <c r="R119" s="222" t="str">
        <f>IFERROR(SUM((SUMIFS('capacity data'!$G:$G,'capacity data'!$E:$E,"PSO",'capacity data'!$B:$B,P119))-SUMIFS('capacity data'!$H:$H,'capacity data'!$E:$E,"PSO",'capacity data'!$B:$B,P119))/SUMIFS('capacity data'!$G:$G,'capacity data'!$E:$E,"PSO",'capacity data'!$B:$B,P119),"")</f>
        <v/>
      </c>
      <c r="S119" s="22" t="str">
        <f t="shared" si="1"/>
        <v/>
      </c>
      <c r="T119" s="223" t="str">
        <f>IFERROR(SUMIFS('capacity data'!$L:$L,'capacity data'!$B:$B,P119,'capacity data'!$E:$E,"PSO")/SUMIFS('capacity data'!$G:$G,'capacity data'!$E:$E,"PSO",'capacity data'!$B:$B,P119),"")</f>
        <v/>
      </c>
      <c r="U119" s="223" t="str">
        <f>IFERROR(SUMIFS('capacity data'!$L:$L,'capacity data'!$B:$B,P119,'capacity data'!$E:$E,"TPO")/SUMIFS('capacity data'!$G:$G,'capacity data'!$E:$E,"TPO",'capacity data'!$B:$B,P119),"")</f>
        <v/>
      </c>
    </row>
    <row r="120" spans="15:21" ht="16" x14ac:dyDescent="0.2">
      <c r="O120" s="23" t="s">
        <v>26</v>
      </c>
      <c r="P120" t="s">
        <v>167</v>
      </c>
      <c r="Q120" s="222" t="str">
        <f>IFERROR(SUM((SUMIFS('capacity data'!$G:$G,'capacity data'!$E:$E,"PO",'capacity data'!$B:$B,P120))-SUMIFS('capacity data'!$H:$H,'capacity data'!$E:$E,"PO",'capacity data'!$B:$B,P120))/SUMIFS('capacity data'!$G:$G,'capacity data'!$E:$E,"PO",'capacity data'!$B:$B,P120),"")</f>
        <v/>
      </c>
      <c r="R120" s="222" t="str">
        <f>IFERROR(SUM((SUMIFS('capacity data'!$G:$G,'capacity data'!$E:$E,"PSO",'capacity data'!$B:$B,P120))-SUMIFS('capacity data'!$H:$H,'capacity data'!$E:$E,"PSO",'capacity data'!$B:$B,P120))/SUMIFS('capacity data'!$G:$G,'capacity data'!$E:$E,"PSO",'capacity data'!$B:$B,P120),"")</f>
        <v/>
      </c>
      <c r="S120" s="22" t="str">
        <f t="shared" si="1"/>
        <v/>
      </c>
      <c r="T120" s="223" t="str">
        <f>IFERROR(SUMIFS('capacity data'!$L:$L,'capacity data'!$B:$B,P120,'capacity data'!$E:$E,"PSO")/SUMIFS('capacity data'!$G:$G,'capacity data'!$E:$E,"PSO",'capacity data'!$B:$B,P120),"")</f>
        <v/>
      </c>
      <c r="U120" s="223" t="str">
        <f>IFERROR(SUMIFS('capacity data'!$L:$L,'capacity data'!$B:$B,P120,'capacity data'!$E:$E,"TPO")/SUMIFS('capacity data'!$G:$G,'capacity data'!$E:$E,"TPO",'capacity data'!$B:$B,P120),"")</f>
        <v/>
      </c>
    </row>
    <row r="121" spans="15:21" ht="16" x14ac:dyDescent="0.2">
      <c r="O121" s="23" t="s">
        <v>26</v>
      </c>
      <c r="P121" t="s">
        <v>187</v>
      </c>
      <c r="Q121" s="222" t="str">
        <f>IFERROR(SUM((SUMIFS('capacity data'!$G:$G,'capacity data'!$E:$E,"PO",'capacity data'!$B:$B,P121))-SUMIFS('capacity data'!$H:$H,'capacity data'!$E:$E,"PO",'capacity data'!$B:$B,P121))/SUMIFS('capacity data'!$G:$G,'capacity data'!$E:$E,"PO",'capacity data'!$B:$B,P121),"")</f>
        <v/>
      </c>
      <c r="R121" s="222" t="str">
        <f>IFERROR(SUM((SUMIFS('capacity data'!$G:$G,'capacity data'!$E:$E,"PSO",'capacity data'!$B:$B,P121))-SUMIFS('capacity data'!$H:$H,'capacity data'!$E:$E,"PSO",'capacity data'!$B:$B,P121))/SUMIFS('capacity data'!$G:$G,'capacity data'!$E:$E,"PSO",'capacity data'!$B:$B,P121),"")</f>
        <v/>
      </c>
      <c r="S121" s="22" t="str">
        <f t="shared" si="1"/>
        <v/>
      </c>
      <c r="T121" s="223" t="str">
        <f>IFERROR(SUMIFS('capacity data'!$L:$L,'capacity data'!$B:$B,P121,'capacity data'!$E:$E,"PSO")/SUMIFS('capacity data'!$G:$G,'capacity data'!$E:$E,"PSO",'capacity data'!$B:$B,P121),"")</f>
        <v/>
      </c>
      <c r="U121" s="223" t="str">
        <f>IFERROR(SUMIFS('capacity data'!$L:$L,'capacity data'!$B:$B,P121,'capacity data'!$E:$E,"TPO")/SUMIFS('capacity data'!$G:$G,'capacity data'!$E:$E,"TPO",'capacity data'!$B:$B,P121),"")</f>
        <v/>
      </c>
    </row>
    <row r="122" spans="15:21" ht="16" x14ac:dyDescent="0.2">
      <c r="O122" s="23" t="s">
        <v>27</v>
      </c>
      <c r="P122" t="s">
        <v>39</v>
      </c>
      <c r="Q122" s="222" t="str">
        <f>IFERROR(SUM((SUMIFS('capacity data'!$G:$G,'capacity data'!$E:$E,"PO",'capacity data'!$B:$B,P122))-SUMIFS('capacity data'!$H:$H,'capacity data'!$E:$E,"PO",'capacity data'!$B:$B,P122))/SUMIFS('capacity data'!$G:$G,'capacity data'!$E:$E,"PO",'capacity data'!$B:$B,P122),"")</f>
        <v/>
      </c>
      <c r="R122" s="222" t="str">
        <f>IFERROR(SUM((SUMIFS('capacity data'!$G:$G,'capacity data'!$E:$E,"PSO",'capacity data'!$B:$B,P122))-SUMIFS('capacity data'!$H:$H,'capacity data'!$E:$E,"PSO",'capacity data'!$B:$B,P122))/SUMIFS('capacity data'!$G:$G,'capacity data'!$E:$E,"PSO",'capacity data'!$B:$B,P122),"")</f>
        <v/>
      </c>
      <c r="S122" s="22" t="str">
        <f t="shared" si="1"/>
        <v/>
      </c>
      <c r="T122" s="223" t="str">
        <f>IFERROR(SUMIFS('capacity data'!$L:$L,'capacity data'!$B:$B,P122,'capacity data'!$E:$E,"PSO")/SUMIFS('capacity data'!$G:$G,'capacity data'!$E:$E,"PSO",'capacity data'!$B:$B,P122),"")</f>
        <v/>
      </c>
      <c r="U122" s="223" t="str">
        <f>IFERROR(SUMIFS('capacity data'!$L:$L,'capacity data'!$B:$B,P122,'capacity data'!$E:$E,"TPO")/SUMIFS('capacity data'!$G:$G,'capacity data'!$E:$E,"TPO",'capacity data'!$B:$B,P122),"")</f>
        <v/>
      </c>
    </row>
    <row r="123" spans="15:21" ht="16" x14ac:dyDescent="0.2">
      <c r="O123" s="23" t="s">
        <v>27</v>
      </c>
      <c r="P123" t="s">
        <v>61</v>
      </c>
      <c r="Q123" s="222" t="str">
        <f>IFERROR(SUM((SUMIFS('capacity data'!$G:$G,'capacity data'!$E:$E,"PO",'capacity data'!$B:$B,P123))-SUMIFS('capacity data'!$H:$H,'capacity data'!$E:$E,"PO",'capacity data'!$B:$B,P123))/SUMIFS('capacity data'!$G:$G,'capacity data'!$E:$E,"PO",'capacity data'!$B:$B,P123),"")</f>
        <v/>
      </c>
      <c r="R123" s="222" t="str">
        <f>IFERROR(SUM((SUMIFS('capacity data'!$G:$G,'capacity data'!$E:$E,"PSO",'capacity data'!$B:$B,P123))-SUMIFS('capacity data'!$H:$H,'capacity data'!$E:$E,"PSO",'capacity data'!$B:$B,P123))/SUMIFS('capacity data'!$G:$G,'capacity data'!$E:$E,"PSO",'capacity data'!$B:$B,P123),"")</f>
        <v/>
      </c>
      <c r="S123" s="22" t="str">
        <f t="shared" si="1"/>
        <v/>
      </c>
      <c r="T123" s="223" t="str">
        <f>IFERROR(SUMIFS('capacity data'!$L:$L,'capacity data'!$B:$B,P123,'capacity data'!$E:$E,"PSO")/SUMIFS('capacity data'!$G:$G,'capacity data'!$E:$E,"PSO",'capacity data'!$B:$B,P123),"")</f>
        <v/>
      </c>
      <c r="U123" s="223" t="str">
        <f>IFERROR(SUMIFS('capacity data'!$L:$L,'capacity data'!$B:$B,P123,'capacity data'!$E:$E,"TPO")/SUMIFS('capacity data'!$G:$G,'capacity data'!$E:$E,"TPO",'capacity data'!$B:$B,P123),"")</f>
        <v/>
      </c>
    </row>
    <row r="124" spans="15:21" ht="16" x14ac:dyDescent="0.2">
      <c r="O124" s="23" t="s">
        <v>27</v>
      </c>
      <c r="P124" t="s">
        <v>82</v>
      </c>
      <c r="Q124" s="222" t="str">
        <f>IFERROR(SUM((SUMIFS('capacity data'!$G:$G,'capacity data'!$E:$E,"PO",'capacity data'!$B:$B,P124))-SUMIFS('capacity data'!$H:$H,'capacity data'!$E:$E,"PO",'capacity data'!$B:$B,P124))/SUMIFS('capacity data'!$G:$G,'capacity data'!$E:$E,"PO",'capacity data'!$B:$B,P124),"")</f>
        <v/>
      </c>
      <c r="R124" s="222" t="str">
        <f>IFERROR(SUM((SUMIFS('capacity data'!$G:$G,'capacity data'!$E:$E,"PSO",'capacity data'!$B:$B,P124))-SUMIFS('capacity data'!$H:$H,'capacity data'!$E:$E,"PSO",'capacity data'!$B:$B,P124))/SUMIFS('capacity data'!$G:$G,'capacity data'!$E:$E,"PSO",'capacity data'!$B:$B,P124),"")</f>
        <v/>
      </c>
      <c r="S124" s="22" t="str">
        <f t="shared" si="1"/>
        <v/>
      </c>
      <c r="T124" s="223" t="str">
        <f>IFERROR(SUMIFS('capacity data'!$L:$L,'capacity data'!$B:$B,P124,'capacity data'!$E:$E,"PSO")/SUMIFS('capacity data'!$G:$G,'capacity data'!$E:$E,"PSO",'capacity data'!$B:$B,P124),"")</f>
        <v/>
      </c>
      <c r="U124" s="223" t="str">
        <f>IFERROR(SUMIFS('capacity data'!$L:$L,'capacity data'!$B:$B,P124,'capacity data'!$E:$E,"TPO")/SUMIFS('capacity data'!$G:$G,'capacity data'!$E:$E,"TPO",'capacity data'!$B:$B,P124),"")</f>
        <v/>
      </c>
    </row>
    <row r="125" spans="15:21" ht="16" x14ac:dyDescent="0.2">
      <c r="O125" s="23" t="s">
        <v>27</v>
      </c>
      <c r="P125" t="s">
        <v>104</v>
      </c>
      <c r="Q125" s="222" t="str">
        <f>IFERROR(SUM((SUMIFS('capacity data'!$G:$G,'capacity data'!$E:$E,"PO",'capacity data'!$B:$B,P125))-SUMIFS('capacity data'!$H:$H,'capacity data'!$E:$E,"PO",'capacity data'!$B:$B,P125))/SUMIFS('capacity data'!$G:$G,'capacity data'!$E:$E,"PO",'capacity data'!$B:$B,P125),"")</f>
        <v/>
      </c>
      <c r="R125" s="222" t="str">
        <f>IFERROR(SUM((SUMIFS('capacity data'!$G:$G,'capacity data'!$E:$E,"PSO",'capacity data'!$B:$B,P125))-SUMIFS('capacity data'!$H:$H,'capacity data'!$E:$E,"PSO",'capacity data'!$B:$B,P125))/SUMIFS('capacity data'!$G:$G,'capacity data'!$E:$E,"PSO",'capacity data'!$B:$B,P125),"")</f>
        <v/>
      </c>
      <c r="S125" s="22" t="str">
        <f t="shared" si="1"/>
        <v/>
      </c>
      <c r="T125" s="223" t="str">
        <f>IFERROR(SUMIFS('capacity data'!$L:$L,'capacity data'!$B:$B,P125,'capacity data'!$E:$E,"PSO")/SUMIFS('capacity data'!$G:$G,'capacity data'!$E:$E,"PSO",'capacity data'!$B:$B,P125),"")</f>
        <v/>
      </c>
      <c r="U125" s="223" t="str">
        <f>IFERROR(SUMIFS('capacity data'!$L:$L,'capacity data'!$B:$B,P125,'capacity data'!$E:$E,"TPO")/SUMIFS('capacity data'!$G:$G,'capacity data'!$E:$E,"TPO",'capacity data'!$B:$B,P125),"")</f>
        <v/>
      </c>
    </row>
    <row r="126" spans="15:21" ht="16" x14ac:dyDescent="0.2">
      <c r="O126" s="23" t="s">
        <v>27</v>
      </c>
      <c r="P126" t="s">
        <v>126</v>
      </c>
      <c r="Q126" s="222" t="str">
        <f>IFERROR(SUM((SUMIFS('capacity data'!$G:$G,'capacity data'!$E:$E,"PO",'capacity data'!$B:$B,P126))-SUMIFS('capacity data'!$H:$H,'capacity data'!$E:$E,"PO",'capacity data'!$B:$B,P126))/SUMIFS('capacity data'!$G:$G,'capacity data'!$E:$E,"PO",'capacity data'!$B:$B,P126),"")</f>
        <v/>
      </c>
      <c r="R126" s="222" t="str">
        <f>IFERROR(SUM((SUMIFS('capacity data'!$G:$G,'capacity data'!$E:$E,"PSO",'capacity data'!$B:$B,P126))-SUMIFS('capacity data'!$H:$H,'capacity data'!$E:$E,"PSO",'capacity data'!$B:$B,P126))/SUMIFS('capacity data'!$G:$G,'capacity data'!$E:$E,"PSO",'capacity data'!$B:$B,P126),"")</f>
        <v/>
      </c>
      <c r="S126" s="22" t="str">
        <f t="shared" si="1"/>
        <v/>
      </c>
      <c r="T126" s="223" t="str">
        <f>IFERROR(SUMIFS('capacity data'!$L:$L,'capacity data'!$B:$B,P126,'capacity data'!$E:$E,"PSO")/SUMIFS('capacity data'!$G:$G,'capacity data'!$E:$E,"PSO",'capacity data'!$B:$B,P126),"")</f>
        <v/>
      </c>
      <c r="U126" s="223" t="str">
        <f>IFERROR(SUMIFS('capacity data'!$L:$L,'capacity data'!$B:$B,P126,'capacity data'!$E:$E,"TPO")/SUMIFS('capacity data'!$G:$G,'capacity data'!$E:$E,"TPO",'capacity data'!$B:$B,P126),"")</f>
        <v/>
      </c>
    </row>
    <row r="127" spans="15:21" ht="16" x14ac:dyDescent="0.2">
      <c r="O127" s="23" t="s">
        <v>27</v>
      </c>
      <c r="P127" t="s">
        <v>147</v>
      </c>
      <c r="Q127" s="222" t="str">
        <f>IFERROR(SUM((SUMIFS('capacity data'!$G:$G,'capacity data'!$E:$E,"PO",'capacity data'!$B:$B,P127))-SUMIFS('capacity data'!$H:$H,'capacity data'!$E:$E,"PO",'capacity data'!$B:$B,P127))/SUMIFS('capacity data'!$G:$G,'capacity data'!$E:$E,"PO",'capacity data'!$B:$B,P127),"")</f>
        <v/>
      </c>
      <c r="R127" s="222" t="str">
        <f>IFERROR(SUM((SUMIFS('capacity data'!$G:$G,'capacity data'!$E:$E,"PSO",'capacity data'!$B:$B,P127))-SUMIFS('capacity data'!$H:$H,'capacity data'!$E:$E,"PSO",'capacity data'!$B:$B,P127))/SUMIFS('capacity data'!$G:$G,'capacity data'!$E:$E,"PSO",'capacity data'!$B:$B,P127),"")</f>
        <v/>
      </c>
      <c r="S127" s="22" t="str">
        <f t="shared" si="1"/>
        <v/>
      </c>
      <c r="T127" s="223" t="str">
        <f>IFERROR(SUMIFS('capacity data'!$L:$L,'capacity data'!$B:$B,P127,'capacity data'!$E:$E,"PSO")/SUMIFS('capacity data'!$G:$G,'capacity data'!$E:$E,"PSO",'capacity data'!$B:$B,P127),"")</f>
        <v/>
      </c>
      <c r="U127" s="223" t="str">
        <f>IFERROR(SUMIFS('capacity data'!$L:$L,'capacity data'!$B:$B,P127,'capacity data'!$E:$E,"TPO")/SUMIFS('capacity data'!$G:$G,'capacity data'!$E:$E,"TPO",'capacity data'!$B:$B,P127),"")</f>
        <v/>
      </c>
    </row>
    <row r="128" spans="15:21" ht="16" x14ac:dyDescent="0.2">
      <c r="O128" s="23" t="s">
        <v>27</v>
      </c>
      <c r="P128" t="s">
        <v>168</v>
      </c>
      <c r="Q128" s="222" t="str">
        <f>IFERROR(SUM((SUMIFS('capacity data'!$G:$G,'capacity data'!$E:$E,"PO",'capacity data'!$B:$B,P128))-SUMIFS('capacity data'!$H:$H,'capacity data'!$E:$E,"PO",'capacity data'!$B:$B,P128))/SUMIFS('capacity data'!$G:$G,'capacity data'!$E:$E,"PO",'capacity data'!$B:$B,P128),"")</f>
        <v/>
      </c>
      <c r="R128" s="222" t="str">
        <f>IFERROR(SUM((SUMIFS('capacity data'!$G:$G,'capacity data'!$E:$E,"PSO",'capacity data'!$B:$B,P128))-SUMIFS('capacity data'!$H:$H,'capacity data'!$E:$E,"PSO",'capacity data'!$B:$B,P128))/SUMIFS('capacity data'!$G:$G,'capacity data'!$E:$E,"PSO",'capacity data'!$B:$B,P128),"")</f>
        <v/>
      </c>
      <c r="S128" s="22" t="str">
        <f t="shared" si="1"/>
        <v/>
      </c>
      <c r="T128" s="223" t="str">
        <f>IFERROR(SUMIFS('capacity data'!$L:$L,'capacity data'!$B:$B,P128,'capacity data'!$E:$E,"PSO")/SUMIFS('capacity data'!$G:$G,'capacity data'!$E:$E,"PSO",'capacity data'!$B:$B,P128),"")</f>
        <v/>
      </c>
      <c r="U128" s="223" t="str">
        <f>IFERROR(SUMIFS('capacity data'!$L:$L,'capacity data'!$B:$B,P128,'capacity data'!$E:$E,"TPO")/SUMIFS('capacity data'!$G:$G,'capacity data'!$E:$E,"TPO",'capacity data'!$B:$B,P128),"")</f>
        <v/>
      </c>
    </row>
    <row r="129" spans="15:21" ht="16" x14ac:dyDescent="0.2">
      <c r="O129" s="23" t="s">
        <v>27</v>
      </c>
      <c r="P129" t="s">
        <v>188</v>
      </c>
      <c r="Q129" s="222" t="str">
        <f>IFERROR(SUM((SUMIFS('capacity data'!$G:$G,'capacity data'!$E:$E,"PO",'capacity data'!$B:$B,P129))-SUMIFS('capacity data'!$H:$H,'capacity data'!$E:$E,"PO",'capacity data'!$B:$B,P129))/SUMIFS('capacity data'!$G:$G,'capacity data'!$E:$E,"PO",'capacity data'!$B:$B,P129),"")</f>
        <v/>
      </c>
      <c r="R129" s="222" t="str">
        <f>IFERROR(SUM((SUMIFS('capacity data'!$G:$G,'capacity data'!$E:$E,"PSO",'capacity data'!$B:$B,P129))-SUMIFS('capacity data'!$H:$H,'capacity data'!$E:$E,"PSO",'capacity data'!$B:$B,P129))/SUMIFS('capacity data'!$G:$G,'capacity data'!$E:$E,"PSO",'capacity data'!$B:$B,P129),"")</f>
        <v/>
      </c>
      <c r="S129" s="22" t="str">
        <f t="shared" si="1"/>
        <v/>
      </c>
      <c r="T129" s="223" t="str">
        <f>IFERROR(SUMIFS('capacity data'!$L:$L,'capacity data'!$B:$B,P129,'capacity data'!$E:$E,"PSO")/SUMIFS('capacity data'!$G:$G,'capacity data'!$E:$E,"PSO",'capacity data'!$B:$B,P129),"")</f>
        <v/>
      </c>
      <c r="U129" s="223" t="str">
        <f>IFERROR(SUMIFS('capacity data'!$L:$L,'capacity data'!$B:$B,P129,'capacity data'!$E:$E,"TPO")/SUMIFS('capacity data'!$G:$G,'capacity data'!$E:$E,"TPO",'capacity data'!$B:$B,P129),"")</f>
        <v/>
      </c>
    </row>
    <row r="130" spans="15:21" ht="16" x14ac:dyDescent="0.2">
      <c r="O130" s="23" t="s">
        <v>27</v>
      </c>
      <c r="P130" t="s">
        <v>207</v>
      </c>
      <c r="Q130" s="222" t="str">
        <f>IFERROR(SUM((SUMIFS('capacity data'!$G:$G,'capacity data'!$E:$E,"PO",'capacity data'!$B:$B,P130))-SUMIFS('capacity data'!$H:$H,'capacity data'!$E:$E,"PO",'capacity data'!$B:$B,P130))/SUMIFS('capacity data'!$G:$G,'capacity data'!$E:$E,"PO",'capacity data'!$B:$B,P130),"")</f>
        <v/>
      </c>
      <c r="R130" s="222" t="str">
        <f>IFERROR(SUM((SUMIFS('capacity data'!$G:$G,'capacity data'!$E:$E,"PSO",'capacity data'!$B:$B,P130))-SUMIFS('capacity data'!$H:$H,'capacity data'!$E:$E,"PSO",'capacity data'!$B:$B,P130))/SUMIFS('capacity data'!$G:$G,'capacity data'!$E:$E,"PSO",'capacity data'!$B:$B,P130),"")</f>
        <v/>
      </c>
      <c r="S130" s="22" t="str">
        <f t="shared" si="1"/>
        <v/>
      </c>
      <c r="T130" s="223" t="str">
        <f>IFERROR(SUMIFS('capacity data'!$L:$L,'capacity data'!$B:$B,P130,'capacity data'!$E:$E,"PSO")/SUMIFS('capacity data'!$G:$G,'capacity data'!$E:$E,"PSO",'capacity data'!$B:$B,P130),"")</f>
        <v/>
      </c>
      <c r="U130" s="223" t="str">
        <f>IFERROR(SUMIFS('capacity data'!$L:$L,'capacity data'!$B:$B,P130,'capacity data'!$E:$E,"TPO")/SUMIFS('capacity data'!$G:$G,'capacity data'!$E:$E,"TPO",'capacity data'!$B:$B,P130),"")</f>
        <v/>
      </c>
    </row>
    <row r="131" spans="15:21" ht="16" x14ac:dyDescent="0.2">
      <c r="O131" s="23" t="s">
        <v>27</v>
      </c>
      <c r="P131" t="s">
        <v>224</v>
      </c>
      <c r="Q131" s="222" t="str">
        <f>IFERROR(SUM((SUMIFS('capacity data'!$G:$G,'capacity data'!$E:$E,"PO",'capacity data'!$B:$B,P131))-SUMIFS('capacity data'!$H:$H,'capacity data'!$E:$E,"PO",'capacity data'!$B:$B,P131))/SUMIFS('capacity data'!$G:$G,'capacity data'!$E:$E,"PO",'capacity data'!$B:$B,P131),"")</f>
        <v/>
      </c>
      <c r="R131" s="222" t="str">
        <f>IFERROR(SUM((SUMIFS('capacity data'!$G:$G,'capacity data'!$E:$E,"PSO",'capacity data'!$B:$B,P131))-SUMIFS('capacity data'!$H:$H,'capacity data'!$E:$E,"PSO",'capacity data'!$B:$B,P131))/SUMIFS('capacity data'!$G:$G,'capacity data'!$E:$E,"PSO",'capacity data'!$B:$B,P131),"")</f>
        <v/>
      </c>
      <c r="S131" s="22" t="str">
        <f t="shared" ref="S131:S153" si="2">IFERROR((Q131-R131),"")</f>
        <v/>
      </c>
      <c r="T131" s="223" t="str">
        <f>IFERROR(SUMIFS('capacity data'!$L:$L,'capacity data'!$B:$B,P131,'capacity data'!$E:$E,"PSO")/SUMIFS('capacity data'!$G:$G,'capacity data'!$E:$E,"PSO",'capacity data'!$B:$B,P131),"")</f>
        <v/>
      </c>
      <c r="U131" s="223" t="str">
        <f>IFERROR(SUMIFS('capacity data'!$L:$L,'capacity data'!$B:$B,P131,'capacity data'!$E:$E,"TPO")/SUMIFS('capacity data'!$G:$G,'capacity data'!$E:$E,"TPO",'capacity data'!$B:$B,P131),"")</f>
        <v/>
      </c>
    </row>
    <row r="132" spans="15:21" ht="16" x14ac:dyDescent="0.2">
      <c r="O132" s="23" t="s">
        <v>27</v>
      </c>
      <c r="P132" t="s">
        <v>242</v>
      </c>
      <c r="Q132" s="222" t="str">
        <f>IFERROR(SUM((SUMIFS('capacity data'!$G:$G,'capacity data'!$E:$E,"PO",'capacity data'!$B:$B,P132))-SUMIFS('capacity data'!$H:$H,'capacity data'!$E:$E,"PO",'capacity data'!$B:$B,P132))/SUMIFS('capacity data'!$G:$G,'capacity data'!$E:$E,"PO",'capacity data'!$B:$B,P132),"")</f>
        <v/>
      </c>
      <c r="R132" s="222" t="str">
        <f>IFERROR(SUM((SUMIFS('capacity data'!$G:$G,'capacity data'!$E:$E,"PSO",'capacity data'!$B:$B,P132))-SUMIFS('capacity data'!$H:$H,'capacity data'!$E:$E,"PSO",'capacity data'!$B:$B,P132))/SUMIFS('capacity data'!$G:$G,'capacity data'!$E:$E,"PSO",'capacity data'!$B:$B,P132),"")</f>
        <v/>
      </c>
      <c r="S132" s="22" t="str">
        <f t="shared" si="2"/>
        <v/>
      </c>
      <c r="T132" s="223" t="str">
        <f>IFERROR(SUMIFS('capacity data'!$L:$L,'capacity data'!$B:$B,P132,'capacity data'!$E:$E,"PSO")/SUMIFS('capacity data'!$G:$G,'capacity data'!$E:$E,"PSO",'capacity data'!$B:$B,P132),"")</f>
        <v/>
      </c>
      <c r="U132" s="223" t="str">
        <f>IFERROR(SUMIFS('capacity data'!$L:$L,'capacity data'!$B:$B,P132,'capacity data'!$E:$E,"TPO")/SUMIFS('capacity data'!$G:$G,'capacity data'!$E:$E,"TPO",'capacity data'!$B:$B,P132),"")</f>
        <v/>
      </c>
    </row>
    <row r="133" spans="15:21" ht="16" x14ac:dyDescent="0.2">
      <c r="O133" s="23" t="s">
        <v>27</v>
      </c>
      <c r="P133" t="s">
        <v>258</v>
      </c>
      <c r="Q133" s="222" t="str">
        <f>IFERROR(SUM((SUMIFS('capacity data'!$G:$G,'capacity data'!$E:$E,"PO",'capacity data'!$B:$B,P133))-SUMIFS('capacity data'!$H:$H,'capacity data'!$E:$E,"PO",'capacity data'!$B:$B,P133))/SUMIFS('capacity data'!$G:$G,'capacity data'!$E:$E,"PO",'capacity data'!$B:$B,P133),"")</f>
        <v/>
      </c>
      <c r="R133" s="222" t="str">
        <f>IFERROR(SUM((SUMIFS('capacity data'!$G:$G,'capacity data'!$E:$E,"PSO",'capacity data'!$B:$B,P133))-SUMIFS('capacity data'!$H:$H,'capacity data'!$E:$E,"PSO",'capacity data'!$B:$B,P133))/SUMIFS('capacity data'!$G:$G,'capacity data'!$E:$E,"PSO",'capacity data'!$B:$B,P133),"")</f>
        <v/>
      </c>
      <c r="S133" s="22" t="str">
        <f t="shared" si="2"/>
        <v/>
      </c>
      <c r="T133" s="223" t="str">
        <f>IFERROR(SUMIFS('capacity data'!$L:$L,'capacity data'!$B:$B,P133,'capacity data'!$E:$E,"PSO")/SUMIFS('capacity data'!$G:$G,'capacity data'!$E:$E,"PSO",'capacity data'!$B:$B,P133),"")</f>
        <v/>
      </c>
      <c r="U133" s="223" t="str">
        <f>IFERROR(SUMIFS('capacity data'!$L:$L,'capacity data'!$B:$B,P133,'capacity data'!$E:$E,"TPO")/SUMIFS('capacity data'!$G:$G,'capacity data'!$E:$E,"TPO",'capacity data'!$B:$B,P133),"")</f>
        <v/>
      </c>
    </row>
    <row r="134" spans="15:21" ht="16" x14ac:dyDescent="0.2">
      <c r="O134" s="23" t="s">
        <v>28</v>
      </c>
      <c r="P134" t="s">
        <v>40</v>
      </c>
      <c r="Q134" s="222" t="str">
        <f>IFERROR(SUM((SUMIFS('capacity data'!$G:$G,'capacity data'!$E:$E,"PO",'capacity data'!$B:$B,P134))-SUMIFS('capacity data'!$H:$H,'capacity data'!$E:$E,"PO",'capacity data'!$B:$B,P134))/SUMIFS('capacity data'!$G:$G,'capacity data'!$E:$E,"PO",'capacity data'!$B:$B,P134),"")</f>
        <v/>
      </c>
      <c r="R134" s="222" t="str">
        <f>IFERROR(SUM((SUMIFS('capacity data'!$G:$G,'capacity data'!$E:$E,"PSO",'capacity data'!$B:$B,P134))-SUMIFS('capacity data'!$H:$H,'capacity data'!$E:$E,"PSO",'capacity data'!$B:$B,P134))/SUMIFS('capacity data'!$G:$G,'capacity data'!$E:$E,"PSO",'capacity data'!$B:$B,P134),"")</f>
        <v/>
      </c>
      <c r="S134" s="22" t="str">
        <f t="shared" si="2"/>
        <v/>
      </c>
      <c r="T134" s="223" t="str">
        <f>IFERROR(SUMIFS('capacity data'!$L:$L,'capacity data'!$B:$B,P134,'capacity data'!$E:$E,"PSO")/SUMIFS('capacity data'!$G:$G,'capacity data'!$E:$E,"PSO",'capacity data'!$B:$B,P134),"")</f>
        <v/>
      </c>
      <c r="U134" s="223" t="str">
        <f>IFERROR(SUMIFS('capacity data'!$L:$L,'capacity data'!$B:$B,P134,'capacity data'!$E:$E,"TPO")/SUMIFS('capacity data'!$G:$G,'capacity data'!$E:$E,"TPO",'capacity data'!$B:$B,P134),"")</f>
        <v/>
      </c>
    </row>
    <row r="135" spans="15:21" ht="16" x14ac:dyDescent="0.2">
      <c r="O135" s="23" t="s">
        <v>28</v>
      </c>
      <c r="P135" t="s">
        <v>863</v>
      </c>
      <c r="Q135" s="222" t="str">
        <f>IFERROR(SUM((SUMIFS('capacity data'!$G:$G,'capacity data'!$E:$E,"PO",'capacity data'!$B:$B,P135))-SUMIFS('capacity data'!$H:$H,'capacity data'!$E:$E,"PO",'capacity data'!$B:$B,P135))/SUMIFS('capacity data'!$G:$G,'capacity data'!$E:$E,"PO",'capacity data'!$B:$B,P135),"")</f>
        <v/>
      </c>
      <c r="R135" s="222" t="str">
        <f>IFERROR(SUM((SUMIFS('capacity data'!$G:$G,'capacity data'!$E:$E,"PSO",'capacity data'!$B:$B,P135))-SUMIFS('capacity data'!$H:$H,'capacity data'!$E:$E,"PSO",'capacity data'!$B:$B,P135))/SUMIFS('capacity data'!$G:$G,'capacity data'!$E:$E,"PSO",'capacity data'!$B:$B,P135),"")</f>
        <v/>
      </c>
      <c r="S135" s="22" t="str">
        <f t="shared" si="2"/>
        <v/>
      </c>
      <c r="T135" s="223" t="str">
        <f>IFERROR(SUMIFS('capacity data'!$L:$L,'capacity data'!$B:$B,P135,'capacity data'!$E:$E,"PSO")/SUMIFS('capacity data'!$G:$G,'capacity data'!$E:$E,"PSO",'capacity data'!$B:$B,P135),"")</f>
        <v/>
      </c>
      <c r="U135" s="223" t="str">
        <f>IFERROR(SUMIFS('capacity data'!$L:$L,'capacity data'!$B:$B,P135,'capacity data'!$E:$E,"TPO")/SUMIFS('capacity data'!$G:$G,'capacity data'!$E:$E,"TPO",'capacity data'!$B:$B,P135),"")</f>
        <v/>
      </c>
    </row>
    <row r="136" spans="15:21" ht="16" x14ac:dyDescent="0.2">
      <c r="O136" s="23" t="s">
        <v>28</v>
      </c>
      <c r="P136" t="s">
        <v>62</v>
      </c>
      <c r="Q136" s="222" t="str">
        <f>IFERROR(SUM((SUMIFS('capacity data'!$G:$G,'capacity data'!$E:$E,"PO",'capacity data'!$B:$B,P136))-SUMIFS('capacity data'!$H:$H,'capacity data'!$E:$E,"PO",'capacity data'!$B:$B,P136))/SUMIFS('capacity data'!$G:$G,'capacity data'!$E:$E,"PO",'capacity data'!$B:$B,P136),"")</f>
        <v/>
      </c>
      <c r="R136" s="222" t="str">
        <f>IFERROR(SUM((SUMIFS('capacity data'!$G:$G,'capacity data'!$E:$E,"PSO",'capacity data'!$B:$B,P136))-SUMIFS('capacity data'!$H:$H,'capacity data'!$E:$E,"PSO",'capacity data'!$B:$B,P136))/SUMIFS('capacity data'!$G:$G,'capacity data'!$E:$E,"PSO",'capacity data'!$B:$B,P136),"")</f>
        <v/>
      </c>
      <c r="S136" s="22" t="str">
        <f t="shared" si="2"/>
        <v/>
      </c>
      <c r="T136" s="223" t="str">
        <f>IFERROR(SUMIFS('capacity data'!$L:$L,'capacity data'!$B:$B,P136,'capacity data'!$E:$E,"PSO")/SUMIFS('capacity data'!$G:$G,'capacity data'!$E:$E,"PSO",'capacity data'!$B:$B,P136),"")</f>
        <v/>
      </c>
      <c r="U136" s="223" t="str">
        <f>IFERROR(SUMIFS('capacity data'!$L:$L,'capacity data'!$B:$B,P136,'capacity data'!$E:$E,"TPO")/SUMIFS('capacity data'!$G:$G,'capacity data'!$E:$E,"TPO",'capacity data'!$B:$B,P136),"")</f>
        <v/>
      </c>
    </row>
    <row r="137" spans="15:21" ht="16" x14ac:dyDescent="0.2">
      <c r="O137" s="23" t="s">
        <v>28</v>
      </c>
      <c r="P137" t="s">
        <v>83</v>
      </c>
      <c r="Q137" s="222" t="str">
        <f>IFERROR(SUM((SUMIFS('capacity data'!$G:$G,'capacity data'!$E:$E,"PO",'capacity data'!$B:$B,P137))-SUMIFS('capacity data'!$H:$H,'capacity data'!$E:$E,"PO",'capacity data'!$B:$B,P137))/SUMIFS('capacity data'!$G:$G,'capacity data'!$E:$E,"PO",'capacity data'!$B:$B,P137),"")</f>
        <v/>
      </c>
      <c r="R137" s="222" t="str">
        <f>IFERROR(SUM((SUMIFS('capacity data'!$G:$G,'capacity data'!$E:$E,"PSO",'capacity data'!$B:$B,P137))-SUMIFS('capacity data'!$H:$H,'capacity data'!$E:$E,"PSO",'capacity data'!$B:$B,P137))/SUMIFS('capacity data'!$G:$G,'capacity data'!$E:$E,"PSO",'capacity data'!$B:$B,P137),"")</f>
        <v/>
      </c>
      <c r="S137" s="22" t="str">
        <f t="shared" si="2"/>
        <v/>
      </c>
      <c r="T137" s="223" t="str">
        <f>IFERROR(SUMIFS('capacity data'!$L:$L,'capacity data'!$B:$B,P137,'capacity data'!$E:$E,"PSO")/SUMIFS('capacity data'!$G:$G,'capacity data'!$E:$E,"PSO",'capacity data'!$B:$B,P137),"")</f>
        <v/>
      </c>
      <c r="U137" s="223" t="str">
        <f>IFERROR(SUMIFS('capacity data'!$L:$L,'capacity data'!$B:$B,P137,'capacity data'!$E:$E,"TPO")/SUMIFS('capacity data'!$G:$G,'capacity data'!$E:$E,"TPO",'capacity data'!$B:$B,P137),"")</f>
        <v/>
      </c>
    </row>
    <row r="138" spans="15:21" ht="16" x14ac:dyDescent="0.2">
      <c r="O138" s="23" t="s">
        <v>28</v>
      </c>
      <c r="P138" t="s">
        <v>105</v>
      </c>
      <c r="Q138" s="222" t="str">
        <f>IFERROR(SUM((SUMIFS('capacity data'!$G:$G,'capacity data'!$E:$E,"PO",'capacity data'!$B:$B,P138))-SUMIFS('capacity data'!$H:$H,'capacity data'!$E:$E,"PO",'capacity data'!$B:$B,P138))/SUMIFS('capacity data'!$G:$G,'capacity data'!$E:$E,"PO",'capacity data'!$B:$B,P138),"")</f>
        <v/>
      </c>
      <c r="R138" s="222" t="str">
        <f>IFERROR(SUM((SUMIFS('capacity data'!$G:$G,'capacity data'!$E:$E,"PSO",'capacity data'!$B:$B,P138))-SUMIFS('capacity data'!$H:$H,'capacity data'!$E:$E,"PSO",'capacity data'!$B:$B,P138))/SUMIFS('capacity data'!$G:$G,'capacity data'!$E:$E,"PSO",'capacity data'!$B:$B,P138),"")</f>
        <v/>
      </c>
      <c r="S138" s="22" t="str">
        <f t="shared" si="2"/>
        <v/>
      </c>
      <c r="T138" s="223" t="str">
        <f>IFERROR(SUMIFS('capacity data'!$L:$L,'capacity data'!$B:$B,P138,'capacity data'!$E:$E,"PSO")/SUMIFS('capacity data'!$G:$G,'capacity data'!$E:$E,"PSO",'capacity data'!$B:$B,P138),"")</f>
        <v/>
      </c>
      <c r="U138" s="223" t="str">
        <f>IFERROR(SUMIFS('capacity data'!$L:$L,'capacity data'!$B:$B,P138,'capacity data'!$E:$E,"TPO")/SUMIFS('capacity data'!$G:$G,'capacity data'!$E:$E,"TPO",'capacity data'!$B:$B,P138),"")</f>
        <v/>
      </c>
    </row>
    <row r="139" spans="15:21" ht="16" x14ac:dyDescent="0.2">
      <c r="O139" s="23" t="s">
        <v>28</v>
      </c>
      <c r="P139" t="s">
        <v>864</v>
      </c>
      <c r="Q139" s="222" t="str">
        <f>IFERROR(SUM((SUMIFS('capacity data'!$G:$G,'capacity data'!$E:$E,"PO",'capacity data'!$B:$B,P139))-SUMIFS('capacity data'!$H:$H,'capacity data'!$E:$E,"PO",'capacity data'!$B:$B,P139))/SUMIFS('capacity data'!$G:$G,'capacity data'!$E:$E,"PO",'capacity data'!$B:$B,P139),"")</f>
        <v/>
      </c>
      <c r="R139" s="222" t="str">
        <f>IFERROR(SUM((SUMIFS('capacity data'!$G:$G,'capacity data'!$E:$E,"PSO",'capacity data'!$B:$B,P139))-SUMIFS('capacity data'!$H:$H,'capacity data'!$E:$E,"PSO",'capacity data'!$B:$B,P139))/SUMIFS('capacity data'!$G:$G,'capacity data'!$E:$E,"PSO",'capacity data'!$B:$B,P139),"")</f>
        <v/>
      </c>
      <c r="S139" s="22" t="str">
        <f t="shared" si="2"/>
        <v/>
      </c>
      <c r="T139" s="223" t="str">
        <f>IFERROR(SUMIFS('capacity data'!$L:$L,'capacity data'!$B:$B,P139,'capacity data'!$E:$E,"PSO")/SUMIFS('capacity data'!$G:$G,'capacity data'!$E:$E,"PSO",'capacity data'!$B:$B,P139),"")</f>
        <v/>
      </c>
      <c r="U139" s="223" t="str">
        <f>IFERROR(SUMIFS('capacity data'!$L:$L,'capacity data'!$B:$B,P139,'capacity data'!$E:$E,"TPO")/SUMIFS('capacity data'!$G:$G,'capacity data'!$E:$E,"TPO",'capacity data'!$B:$B,P139),"")</f>
        <v/>
      </c>
    </row>
    <row r="140" spans="15:21" ht="16" x14ac:dyDescent="0.2">
      <c r="O140" s="23" t="s">
        <v>28</v>
      </c>
      <c r="P140" t="s">
        <v>127</v>
      </c>
      <c r="Q140" s="222" t="str">
        <f>IFERROR(SUM((SUMIFS('capacity data'!$G:$G,'capacity data'!$E:$E,"PO",'capacity data'!$B:$B,P140))-SUMIFS('capacity data'!$H:$H,'capacity data'!$E:$E,"PO",'capacity data'!$B:$B,P140))/SUMIFS('capacity data'!$G:$G,'capacity data'!$E:$E,"PO",'capacity data'!$B:$B,P140),"")</f>
        <v/>
      </c>
      <c r="R140" s="222" t="str">
        <f>IFERROR(SUM((SUMIFS('capacity data'!$G:$G,'capacity data'!$E:$E,"PSO",'capacity data'!$B:$B,P140))-SUMIFS('capacity data'!$H:$H,'capacity data'!$E:$E,"PSO",'capacity data'!$B:$B,P140))/SUMIFS('capacity data'!$G:$G,'capacity data'!$E:$E,"PSO",'capacity data'!$B:$B,P140),"")</f>
        <v/>
      </c>
      <c r="S140" s="22" t="str">
        <f t="shared" si="2"/>
        <v/>
      </c>
      <c r="T140" s="223" t="str">
        <f>IFERROR(SUMIFS('capacity data'!$L:$L,'capacity data'!$B:$B,P140,'capacity data'!$E:$E,"PSO")/SUMIFS('capacity data'!$G:$G,'capacity data'!$E:$E,"PSO",'capacity data'!$B:$B,P140),"")</f>
        <v/>
      </c>
      <c r="U140" s="223" t="str">
        <f>IFERROR(SUMIFS('capacity data'!$L:$L,'capacity data'!$B:$B,P140,'capacity data'!$E:$E,"TPO")/SUMIFS('capacity data'!$G:$G,'capacity data'!$E:$E,"TPO",'capacity data'!$B:$B,P140),"")</f>
        <v/>
      </c>
    </row>
    <row r="141" spans="15:21" ht="16" x14ac:dyDescent="0.2">
      <c r="O141" s="23" t="s">
        <v>28</v>
      </c>
      <c r="P141" t="s">
        <v>148</v>
      </c>
      <c r="Q141" s="222" t="str">
        <f>IFERROR(SUM((SUMIFS('capacity data'!$G:$G,'capacity data'!$E:$E,"PO",'capacity data'!$B:$B,P141))-SUMIFS('capacity data'!$H:$H,'capacity data'!$E:$E,"PO",'capacity data'!$B:$B,P141))/SUMIFS('capacity data'!$G:$G,'capacity data'!$E:$E,"PO",'capacity data'!$B:$B,P141),"")</f>
        <v/>
      </c>
      <c r="R141" s="222" t="str">
        <f>IFERROR(SUM((SUMIFS('capacity data'!$G:$G,'capacity data'!$E:$E,"PSO",'capacity data'!$B:$B,P141))-SUMIFS('capacity data'!$H:$H,'capacity data'!$E:$E,"PSO",'capacity data'!$B:$B,P141))/SUMIFS('capacity data'!$G:$G,'capacity data'!$E:$E,"PSO",'capacity data'!$B:$B,P141),"")</f>
        <v/>
      </c>
      <c r="S141" s="22" t="str">
        <f t="shared" si="2"/>
        <v/>
      </c>
      <c r="T141" s="223" t="str">
        <f>IFERROR(SUMIFS('capacity data'!$L:$L,'capacity data'!$B:$B,P141,'capacity data'!$E:$E,"PSO")/SUMIFS('capacity data'!$G:$G,'capacity data'!$E:$E,"PSO",'capacity data'!$B:$B,P141),"")</f>
        <v/>
      </c>
      <c r="U141" s="223" t="str">
        <f>IFERROR(SUMIFS('capacity data'!$L:$L,'capacity data'!$B:$B,P141,'capacity data'!$E:$E,"TPO")/SUMIFS('capacity data'!$G:$G,'capacity data'!$E:$E,"TPO",'capacity data'!$B:$B,P141),"")</f>
        <v/>
      </c>
    </row>
    <row r="142" spans="15:21" ht="16" x14ac:dyDescent="0.2">
      <c r="O142" s="23" t="s">
        <v>28</v>
      </c>
      <c r="P142" t="s">
        <v>169</v>
      </c>
      <c r="Q142" s="222" t="str">
        <f>IFERROR(SUM((SUMIFS('capacity data'!$G:$G,'capacity data'!$E:$E,"PO",'capacity data'!$B:$B,P142))-SUMIFS('capacity data'!$H:$H,'capacity data'!$E:$E,"PO",'capacity data'!$B:$B,P142))/SUMIFS('capacity data'!$G:$G,'capacity data'!$E:$E,"PO",'capacity data'!$B:$B,P142),"")</f>
        <v/>
      </c>
      <c r="R142" s="222" t="str">
        <f>IFERROR(SUM((SUMIFS('capacity data'!$G:$G,'capacity data'!$E:$E,"PSO",'capacity data'!$B:$B,P142))-SUMIFS('capacity data'!$H:$H,'capacity data'!$E:$E,"PSO",'capacity data'!$B:$B,P142))/SUMIFS('capacity data'!$G:$G,'capacity data'!$E:$E,"PSO",'capacity data'!$B:$B,P142),"")</f>
        <v/>
      </c>
      <c r="S142" s="22" t="str">
        <f t="shared" si="2"/>
        <v/>
      </c>
      <c r="T142" s="223" t="str">
        <f>IFERROR(SUMIFS('capacity data'!$L:$L,'capacity data'!$B:$B,P142,'capacity data'!$E:$E,"PSO")/SUMIFS('capacity data'!$G:$G,'capacity data'!$E:$E,"PSO",'capacity data'!$B:$B,P142),"")</f>
        <v/>
      </c>
      <c r="U142" s="223" t="str">
        <f>IFERROR(SUMIFS('capacity data'!$L:$L,'capacity data'!$B:$B,P142,'capacity data'!$E:$E,"TPO")/SUMIFS('capacity data'!$G:$G,'capacity data'!$E:$E,"TPO",'capacity data'!$B:$B,P142),"")</f>
        <v/>
      </c>
    </row>
    <row r="143" spans="15:21" ht="16" x14ac:dyDescent="0.2">
      <c r="O143" s="23" t="s">
        <v>28</v>
      </c>
      <c r="P143" t="s">
        <v>189</v>
      </c>
      <c r="Q143" s="222" t="str">
        <f>IFERROR(SUM((SUMIFS('capacity data'!$G:$G,'capacity data'!$E:$E,"PO",'capacity data'!$B:$B,P143))-SUMIFS('capacity data'!$H:$H,'capacity data'!$E:$E,"PO",'capacity data'!$B:$B,P143))/SUMIFS('capacity data'!$G:$G,'capacity data'!$E:$E,"PO",'capacity data'!$B:$B,P143),"")</f>
        <v/>
      </c>
      <c r="R143" s="222" t="str">
        <f>IFERROR(SUM((SUMIFS('capacity data'!$G:$G,'capacity data'!$E:$E,"PSO",'capacity data'!$B:$B,P143))-SUMIFS('capacity data'!$H:$H,'capacity data'!$E:$E,"PSO",'capacity data'!$B:$B,P143))/SUMIFS('capacity data'!$G:$G,'capacity data'!$E:$E,"PSO",'capacity data'!$B:$B,P143),"")</f>
        <v/>
      </c>
      <c r="S143" s="22" t="str">
        <f t="shared" si="2"/>
        <v/>
      </c>
      <c r="T143" s="223" t="str">
        <f>IFERROR(SUMIFS('capacity data'!$L:$L,'capacity data'!$B:$B,P143,'capacity data'!$E:$E,"PSO")/SUMIFS('capacity data'!$G:$G,'capacity data'!$E:$E,"PSO",'capacity data'!$B:$B,P143),"")</f>
        <v/>
      </c>
      <c r="U143" s="223" t="str">
        <f>IFERROR(SUMIFS('capacity data'!$L:$L,'capacity data'!$B:$B,P143,'capacity data'!$E:$E,"TPO")/SUMIFS('capacity data'!$G:$G,'capacity data'!$E:$E,"TPO",'capacity data'!$B:$B,P143),"")</f>
        <v/>
      </c>
    </row>
    <row r="144" spans="15:21" ht="16" x14ac:dyDescent="0.2">
      <c r="O144" s="23" t="s">
        <v>28</v>
      </c>
      <c r="P144" t="s">
        <v>208</v>
      </c>
      <c r="Q144" s="222" t="str">
        <f>IFERROR(SUM((SUMIFS('capacity data'!$G:$G,'capacity data'!$E:$E,"PO",'capacity data'!$B:$B,P144))-SUMIFS('capacity data'!$H:$H,'capacity data'!$E:$E,"PO",'capacity data'!$B:$B,P144))/SUMIFS('capacity data'!$G:$G,'capacity data'!$E:$E,"PO",'capacity data'!$B:$B,P144),"")</f>
        <v/>
      </c>
      <c r="R144" s="222" t="str">
        <f>IFERROR(SUM((SUMIFS('capacity data'!$G:$G,'capacity data'!$E:$E,"PSO",'capacity data'!$B:$B,P144))-SUMIFS('capacity data'!$H:$H,'capacity data'!$E:$E,"PSO",'capacity data'!$B:$B,P144))/SUMIFS('capacity data'!$G:$G,'capacity data'!$E:$E,"PSO",'capacity data'!$B:$B,P144),"")</f>
        <v/>
      </c>
      <c r="S144" s="22" t="str">
        <f t="shared" si="2"/>
        <v/>
      </c>
      <c r="T144" s="223" t="str">
        <f>IFERROR(SUMIFS('capacity data'!$L:$L,'capacity data'!$B:$B,P144,'capacity data'!$E:$E,"PSO")/SUMIFS('capacity data'!$G:$G,'capacity data'!$E:$E,"PSO",'capacity data'!$B:$B,P144),"")</f>
        <v/>
      </c>
      <c r="U144" s="223" t="str">
        <f>IFERROR(SUMIFS('capacity data'!$L:$L,'capacity data'!$B:$B,P144,'capacity data'!$E:$E,"TPO")/SUMIFS('capacity data'!$G:$G,'capacity data'!$E:$E,"TPO",'capacity data'!$B:$B,P144),"")</f>
        <v/>
      </c>
    </row>
    <row r="145" spans="15:21" ht="16" x14ac:dyDescent="0.2">
      <c r="O145" s="23" t="s">
        <v>28</v>
      </c>
      <c r="P145" t="s">
        <v>225</v>
      </c>
      <c r="Q145" s="222" t="str">
        <f>IFERROR(SUM((SUMIFS('capacity data'!$G:$G,'capacity data'!$E:$E,"PO",'capacity data'!$B:$B,P145))-SUMIFS('capacity data'!$H:$H,'capacity data'!$E:$E,"PO",'capacity data'!$B:$B,P145))/SUMIFS('capacity data'!$G:$G,'capacity data'!$E:$E,"PO",'capacity data'!$B:$B,P145),"")</f>
        <v/>
      </c>
      <c r="R145" s="222" t="str">
        <f>IFERROR(SUM((SUMIFS('capacity data'!$G:$G,'capacity data'!$E:$E,"PSO",'capacity data'!$B:$B,P145))-SUMIFS('capacity data'!$H:$H,'capacity data'!$E:$E,"PSO",'capacity data'!$B:$B,P145))/SUMIFS('capacity data'!$G:$G,'capacity data'!$E:$E,"PSO",'capacity data'!$B:$B,P145),"")</f>
        <v/>
      </c>
      <c r="S145" s="22" t="str">
        <f t="shared" si="2"/>
        <v/>
      </c>
      <c r="T145" s="223" t="str">
        <f>IFERROR(SUMIFS('capacity data'!$L:$L,'capacity data'!$B:$B,P145,'capacity data'!$E:$E,"PSO")/SUMIFS('capacity data'!$G:$G,'capacity data'!$E:$E,"PSO",'capacity data'!$B:$B,P145),"")</f>
        <v/>
      </c>
      <c r="U145" s="223" t="str">
        <f>IFERROR(SUMIFS('capacity data'!$L:$L,'capacity data'!$B:$B,P145,'capacity data'!$E:$E,"TPO")/SUMIFS('capacity data'!$G:$G,'capacity data'!$E:$E,"TPO",'capacity data'!$B:$B,P145),"")</f>
        <v/>
      </c>
    </row>
    <row r="146" spans="15:21" ht="16" x14ac:dyDescent="0.2">
      <c r="O146" s="23" t="s">
        <v>28</v>
      </c>
      <c r="P146" t="s">
        <v>243</v>
      </c>
      <c r="Q146" s="222" t="str">
        <f>IFERROR(SUM((SUMIFS('capacity data'!$G:$G,'capacity data'!$E:$E,"PO",'capacity data'!$B:$B,P146))-SUMIFS('capacity data'!$H:$H,'capacity data'!$E:$E,"PO",'capacity data'!$B:$B,P146))/SUMIFS('capacity data'!$G:$G,'capacity data'!$E:$E,"PO",'capacity data'!$B:$B,P146),"")</f>
        <v/>
      </c>
      <c r="R146" s="222" t="str">
        <f>IFERROR(SUM((SUMIFS('capacity data'!$G:$G,'capacity data'!$E:$E,"PSO",'capacity data'!$B:$B,P146))-SUMIFS('capacity data'!$H:$H,'capacity data'!$E:$E,"PSO",'capacity data'!$B:$B,P146))/SUMIFS('capacity data'!$G:$G,'capacity data'!$E:$E,"PSO",'capacity data'!$B:$B,P146),"")</f>
        <v/>
      </c>
      <c r="S146" s="22" t="str">
        <f t="shared" si="2"/>
        <v/>
      </c>
      <c r="T146" s="223" t="str">
        <f>IFERROR(SUMIFS('capacity data'!$L:$L,'capacity data'!$B:$B,P146,'capacity data'!$E:$E,"PSO")/SUMIFS('capacity data'!$G:$G,'capacity data'!$E:$E,"PSO",'capacity data'!$B:$B,P146),"")</f>
        <v/>
      </c>
      <c r="U146" s="223" t="str">
        <f>IFERROR(SUMIFS('capacity data'!$L:$L,'capacity data'!$B:$B,P146,'capacity data'!$E:$E,"TPO")/SUMIFS('capacity data'!$G:$G,'capacity data'!$E:$E,"TPO",'capacity data'!$B:$B,P146),"")</f>
        <v/>
      </c>
    </row>
    <row r="147" spans="15:21" ht="16" x14ac:dyDescent="0.2">
      <c r="O147" s="23" t="s">
        <v>28</v>
      </c>
      <c r="P147" t="s">
        <v>865</v>
      </c>
      <c r="Q147" s="222" t="str">
        <f>IFERROR(SUM((SUMIFS('capacity data'!$G:$G,'capacity data'!$E:$E,"PO",'capacity data'!$B:$B,P147))-SUMIFS('capacity data'!$H:$H,'capacity data'!$E:$E,"PO",'capacity data'!$B:$B,P147))/SUMIFS('capacity data'!$G:$G,'capacity data'!$E:$E,"PO",'capacity data'!$B:$B,P147),"")</f>
        <v/>
      </c>
      <c r="R147" s="222" t="str">
        <f>IFERROR(SUM((SUMIFS('capacity data'!$G:$G,'capacity data'!$E:$E,"PSO",'capacity data'!$B:$B,P147))-SUMIFS('capacity data'!$H:$H,'capacity data'!$E:$E,"PSO",'capacity data'!$B:$B,P147))/SUMIFS('capacity data'!$G:$G,'capacity data'!$E:$E,"PSO",'capacity data'!$B:$B,P147),"")</f>
        <v/>
      </c>
      <c r="S147" s="22" t="str">
        <f t="shared" si="2"/>
        <v/>
      </c>
      <c r="T147" s="223" t="str">
        <f>IFERROR(SUMIFS('capacity data'!$L:$L,'capacity data'!$B:$B,P147,'capacity data'!$E:$E,"PSO")/SUMIFS('capacity data'!$G:$G,'capacity data'!$E:$E,"PSO",'capacity data'!$B:$B,P147),"")</f>
        <v/>
      </c>
      <c r="U147" s="223" t="str">
        <f>IFERROR(SUMIFS('capacity data'!$L:$L,'capacity data'!$B:$B,P147,'capacity data'!$E:$E,"TPO")/SUMIFS('capacity data'!$G:$G,'capacity data'!$E:$E,"TPO",'capacity data'!$B:$B,P147),"")</f>
        <v/>
      </c>
    </row>
    <row r="148" spans="15:21" ht="16" x14ac:dyDescent="0.2">
      <c r="O148" s="23" t="s">
        <v>28</v>
      </c>
      <c r="P148" t="s">
        <v>259</v>
      </c>
      <c r="Q148" s="222" t="str">
        <f>IFERROR(SUM((SUMIFS('capacity data'!$G:$G,'capacity data'!$E:$E,"PO",'capacity data'!$B:$B,P148))-SUMIFS('capacity data'!$H:$H,'capacity data'!$E:$E,"PO",'capacity data'!$B:$B,P148))/SUMIFS('capacity data'!$G:$G,'capacity data'!$E:$E,"PO",'capacity data'!$B:$B,P148),"")</f>
        <v/>
      </c>
      <c r="R148" s="222" t="str">
        <f>IFERROR(SUM((SUMIFS('capacity data'!$G:$G,'capacity data'!$E:$E,"PSO",'capacity data'!$B:$B,P148))-SUMIFS('capacity data'!$H:$H,'capacity data'!$E:$E,"PSO",'capacity data'!$B:$B,P148))/SUMIFS('capacity data'!$G:$G,'capacity data'!$E:$E,"PSO",'capacity data'!$B:$B,P148),"")</f>
        <v/>
      </c>
      <c r="S148" s="22" t="str">
        <f t="shared" si="2"/>
        <v/>
      </c>
      <c r="T148" s="223" t="str">
        <f>IFERROR(SUMIFS('capacity data'!$L:$L,'capacity data'!$B:$B,P148,'capacity data'!$E:$E,"PSO")/SUMIFS('capacity data'!$G:$G,'capacity data'!$E:$E,"PSO",'capacity data'!$B:$B,P148),"")</f>
        <v/>
      </c>
      <c r="U148" s="223" t="str">
        <f>IFERROR(SUMIFS('capacity data'!$L:$L,'capacity data'!$B:$B,P148,'capacity data'!$E:$E,"TPO")/SUMIFS('capacity data'!$G:$G,'capacity data'!$E:$E,"TPO",'capacity data'!$B:$B,P148),"")</f>
        <v/>
      </c>
    </row>
    <row r="149" spans="15:21" ht="16" x14ac:dyDescent="0.2">
      <c r="O149" s="23" t="s">
        <v>28</v>
      </c>
      <c r="P149" t="s">
        <v>272</v>
      </c>
      <c r="Q149" s="222" t="str">
        <f>IFERROR(SUM((SUMIFS('capacity data'!$G:$G,'capacity data'!$E:$E,"PO",'capacity data'!$B:$B,P149))-SUMIFS('capacity data'!$H:$H,'capacity data'!$E:$E,"PO",'capacity data'!$B:$B,P149))/SUMIFS('capacity data'!$G:$G,'capacity data'!$E:$E,"PO",'capacity data'!$B:$B,P149),"")</f>
        <v/>
      </c>
      <c r="R149" s="222" t="str">
        <f>IFERROR(SUM((SUMIFS('capacity data'!$G:$G,'capacity data'!$E:$E,"PSO",'capacity data'!$B:$B,P149))-SUMIFS('capacity data'!$H:$H,'capacity data'!$E:$E,"PSO",'capacity data'!$B:$B,P149))/SUMIFS('capacity data'!$G:$G,'capacity data'!$E:$E,"PSO",'capacity data'!$B:$B,P149),"")</f>
        <v/>
      </c>
      <c r="S149" s="22" t="str">
        <f t="shared" si="2"/>
        <v/>
      </c>
      <c r="T149" s="223" t="str">
        <f>IFERROR(SUMIFS('capacity data'!$L:$L,'capacity data'!$B:$B,P149,'capacity data'!$E:$E,"PSO")/SUMIFS('capacity data'!$G:$G,'capacity data'!$E:$E,"PSO",'capacity data'!$B:$B,P149),"")</f>
        <v/>
      </c>
      <c r="U149" s="223" t="str">
        <f>IFERROR(SUMIFS('capacity data'!$L:$L,'capacity data'!$B:$B,P149,'capacity data'!$E:$E,"TPO")/SUMIFS('capacity data'!$G:$G,'capacity data'!$E:$E,"TPO",'capacity data'!$B:$B,P149),"")</f>
        <v/>
      </c>
    </row>
    <row r="150" spans="15:21" ht="16" x14ac:dyDescent="0.2">
      <c r="O150" s="23" t="s">
        <v>28</v>
      </c>
      <c r="P150" t="s">
        <v>287</v>
      </c>
      <c r="Q150" s="222" t="str">
        <f>IFERROR(SUM((SUMIFS('capacity data'!$G:$G,'capacity data'!$E:$E,"PO",'capacity data'!$B:$B,P150))-SUMIFS('capacity data'!$H:$H,'capacity data'!$E:$E,"PO",'capacity data'!$B:$B,P150))/SUMIFS('capacity data'!$G:$G,'capacity data'!$E:$E,"PO",'capacity data'!$B:$B,P150),"")</f>
        <v/>
      </c>
      <c r="R150" s="222" t="str">
        <f>IFERROR(SUM((SUMIFS('capacity data'!$G:$G,'capacity data'!$E:$E,"PSO",'capacity data'!$B:$B,P150))-SUMIFS('capacity data'!$H:$H,'capacity data'!$E:$E,"PSO",'capacity data'!$B:$B,P150))/SUMIFS('capacity data'!$G:$G,'capacity data'!$E:$E,"PSO",'capacity data'!$B:$B,P150),"")</f>
        <v/>
      </c>
      <c r="S150" s="22" t="str">
        <f t="shared" si="2"/>
        <v/>
      </c>
      <c r="T150" s="223" t="str">
        <f>IFERROR(SUMIFS('capacity data'!$L:$L,'capacity data'!$B:$B,P150,'capacity data'!$E:$E,"PSO")/SUMIFS('capacity data'!$G:$G,'capacity data'!$E:$E,"PSO",'capacity data'!$B:$B,P150),"")</f>
        <v/>
      </c>
      <c r="U150" s="223" t="str">
        <f>IFERROR(SUMIFS('capacity data'!$L:$L,'capacity data'!$B:$B,P150,'capacity data'!$E:$E,"TPO")/SUMIFS('capacity data'!$G:$G,'capacity data'!$E:$E,"TPO",'capacity data'!$B:$B,P150),"")</f>
        <v/>
      </c>
    </row>
    <row r="151" spans="15:21" ht="16" x14ac:dyDescent="0.2">
      <c r="O151" s="23" t="s">
        <v>28</v>
      </c>
      <c r="P151" t="s">
        <v>302</v>
      </c>
      <c r="Q151" s="222" t="str">
        <f>IFERROR(SUM((SUMIFS('capacity data'!$G:$G,'capacity data'!$E:$E,"PO",'capacity data'!$B:$B,P151))-SUMIFS('capacity data'!$H:$H,'capacity data'!$E:$E,"PO",'capacity data'!$B:$B,P151))/SUMIFS('capacity data'!$G:$G,'capacity data'!$E:$E,"PO",'capacity data'!$B:$B,P151),"")</f>
        <v/>
      </c>
      <c r="R151" s="222" t="str">
        <f>IFERROR(SUM((SUMIFS('capacity data'!$G:$G,'capacity data'!$E:$E,"PSO",'capacity data'!$B:$B,P151))-SUMIFS('capacity data'!$H:$H,'capacity data'!$E:$E,"PSO",'capacity data'!$B:$B,P151))/SUMIFS('capacity data'!$G:$G,'capacity data'!$E:$E,"PSO",'capacity data'!$B:$B,P151),"")</f>
        <v/>
      </c>
      <c r="S151" s="22" t="str">
        <f t="shared" si="2"/>
        <v/>
      </c>
      <c r="T151" s="223" t="str">
        <f>IFERROR(SUMIFS('capacity data'!$L:$L,'capacity data'!$B:$B,P151,'capacity data'!$E:$E,"PSO")/SUMIFS('capacity data'!$G:$G,'capacity data'!$E:$E,"PSO",'capacity data'!$B:$B,P151),"")</f>
        <v/>
      </c>
      <c r="U151" s="223" t="str">
        <f>IFERROR(SUMIFS('capacity data'!$L:$L,'capacity data'!$B:$B,P151,'capacity data'!$E:$E,"TPO")/SUMIFS('capacity data'!$G:$G,'capacity data'!$E:$E,"TPO",'capacity data'!$B:$B,P151),"")</f>
        <v/>
      </c>
    </row>
    <row r="152" spans="15:21" ht="16" x14ac:dyDescent="0.2">
      <c r="O152" s="23" t="s">
        <v>28</v>
      </c>
      <c r="P152" t="s">
        <v>315</v>
      </c>
      <c r="Q152" s="222" t="str">
        <f>IFERROR(SUM((SUMIFS('capacity data'!$G:$G,'capacity data'!$E:$E,"PO",'capacity data'!$B:$B,P152))-SUMIFS('capacity data'!$H:$H,'capacity data'!$E:$E,"PO",'capacity data'!$B:$B,P152))/SUMIFS('capacity data'!$G:$G,'capacity data'!$E:$E,"PO",'capacity data'!$B:$B,P152),"")</f>
        <v/>
      </c>
      <c r="R152" s="222" t="str">
        <f>IFERROR(SUM((SUMIFS('capacity data'!$G:$G,'capacity data'!$E:$E,"PSO",'capacity data'!$B:$B,P152))-SUMIFS('capacity data'!$H:$H,'capacity data'!$E:$E,"PSO",'capacity data'!$B:$B,P152))/SUMIFS('capacity data'!$G:$G,'capacity data'!$E:$E,"PSO",'capacity data'!$B:$B,P152),"")</f>
        <v/>
      </c>
      <c r="S152" s="22" t="str">
        <f t="shared" si="2"/>
        <v/>
      </c>
      <c r="T152" s="223" t="str">
        <f>IFERROR(SUMIFS('capacity data'!$L:$L,'capacity data'!$B:$B,P152,'capacity data'!$E:$E,"PSO")/SUMIFS('capacity data'!$G:$G,'capacity data'!$E:$E,"PSO",'capacity data'!$B:$B,P152),"")</f>
        <v/>
      </c>
      <c r="U152" s="223" t="str">
        <f>IFERROR(SUMIFS('capacity data'!$L:$L,'capacity data'!$B:$B,P152,'capacity data'!$E:$E,"TPO")/SUMIFS('capacity data'!$G:$G,'capacity data'!$E:$E,"TPO",'capacity data'!$B:$B,P152),"")</f>
        <v/>
      </c>
    </row>
    <row r="153" spans="15:21" ht="16" x14ac:dyDescent="0.2">
      <c r="O153" s="23" t="s">
        <v>28</v>
      </c>
      <c r="P153" t="s">
        <v>329</v>
      </c>
      <c r="Q153" s="222" t="str">
        <f>IFERROR(SUM((SUMIFS('capacity data'!$G:$G,'capacity data'!$E:$E,"PO",'capacity data'!$B:$B,P153))-SUMIFS('capacity data'!$H:$H,'capacity data'!$E:$E,"PO",'capacity data'!$B:$B,P153))/SUMIFS('capacity data'!$G:$G,'capacity data'!$E:$E,"PO",'capacity data'!$B:$B,P153),"")</f>
        <v/>
      </c>
      <c r="R153" s="222" t="str">
        <f>IFERROR(SUM((SUMIFS('capacity data'!$G:$G,'capacity data'!$E:$E,"PSO",'capacity data'!$B:$B,P153))-SUMIFS('capacity data'!$H:$H,'capacity data'!$E:$E,"PSO",'capacity data'!$B:$B,P153))/SUMIFS('capacity data'!$G:$G,'capacity data'!$E:$E,"PSO",'capacity data'!$B:$B,P153),"")</f>
        <v/>
      </c>
      <c r="S153" s="22" t="str">
        <f t="shared" si="2"/>
        <v/>
      </c>
      <c r="T153" s="223" t="str">
        <f>IFERROR(SUMIFS('capacity data'!$L:$L,'capacity data'!$B:$B,P153,'capacity data'!$E:$E,"PSO")/SUMIFS('capacity data'!$G:$G,'capacity data'!$E:$E,"PSO",'capacity data'!$B:$B,P153),"")</f>
        <v/>
      </c>
      <c r="U153" s="223" t="str">
        <f>IFERROR(SUMIFS('capacity data'!$L:$L,'capacity data'!$B:$B,P153,'capacity data'!$E:$E,"TPO")/SUMIFS('capacity data'!$G:$G,'capacity data'!$E:$E,"TPO",'capacity data'!$B:$B,P153),"")</f>
        <v/>
      </c>
    </row>
  </sheetData>
  <sheetProtection selectLockedCells="1" selectUnlockedCells="1"/>
  <autoFilter ref="A1:U3732" xr:uid="{FB14D664-1DC0-4031-91B2-C77D3171EFF4}"/>
  <conditionalFormatting sqref="P94:P101">
    <cfRule type="duplicateValues" dxfId="6338" priority="3"/>
  </conditionalFormatting>
  <conditionalFormatting sqref="P114:P119 P121">
    <cfRule type="duplicateValues" dxfId="6337" priority="2"/>
  </conditionalFormatting>
  <conditionalFormatting sqref="P134:P146">
    <cfRule type="duplicateValues" dxfId="6336"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A2" sqref="A2:V1639"/>
    </sheetView>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38" t="s">
        <v>843</v>
      </c>
      <c r="B1" s="38" t="s">
        <v>866</v>
      </c>
      <c r="C1" s="38" t="s">
        <v>867</v>
      </c>
      <c r="D1" s="38" t="s">
        <v>868</v>
      </c>
      <c r="E1" s="38" t="s">
        <v>869</v>
      </c>
      <c r="F1" s="38" t="s">
        <v>870</v>
      </c>
      <c r="G1" s="38" t="s">
        <v>871</v>
      </c>
      <c r="H1" s="38" t="s">
        <v>872</v>
      </c>
      <c r="I1" s="38" t="s">
        <v>873</v>
      </c>
      <c r="J1" s="38" t="s">
        <v>874</v>
      </c>
      <c r="K1" s="38" t="s">
        <v>875</v>
      </c>
      <c r="L1" s="38" t="s">
        <v>876</v>
      </c>
      <c r="M1" s="38" t="s">
        <v>877</v>
      </c>
      <c r="N1" s="38" t="s">
        <v>878</v>
      </c>
      <c r="O1" s="38" t="s">
        <v>879</v>
      </c>
      <c r="P1" s="38" t="s">
        <v>880</v>
      </c>
      <c r="Q1" s="38" t="s">
        <v>881</v>
      </c>
      <c r="R1" s="38" t="s">
        <v>882</v>
      </c>
      <c r="S1" s="38" t="s">
        <v>883</v>
      </c>
      <c r="T1" s="38" t="s">
        <v>884</v>
      </c>
      <c r="U1" s="38" t="s">
        <v>885</v>
      </c>
      <c r="V1" s="38" t="s">
        <v>886</v>
      </c>
    </row>
  </sheetData>
  <autoFilter ref="A1:X1636" xr:uid="{C6EF8DC2-A903-4871-892C-37BFFE8ED2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9" width="9.1640625" customWidth="1"/>
    <col min="10" max="10" width="13.33203125" customWidth="1"/>
    <col min="11" max="11" width="9.1640625" customWidth="1"/>
    <col min="12" max="12" width="255.5" bestFit="1" customWidth="1"/>
    <col min="13" max="16384" width="9.1640625" style="3"/>
  </cols>
  <sheetData>
    <row r="1" spans="1:12" ht="30" x14ac:dyDescent="0.15">
      <c r="A1" s="20" t="s">
        <v>843</v>
      </c>
      <c r="B1" s="20" t="s">
        <v>844</v>
      </c>
      <c r="C1" s="20" t="s">
        <v>845</v>
      </c>
      <c r="D1" s="20" t="s">
        <v>846</v>
      </c>
      <c r="E1" s="20" t="s">
        <v>868</v>
      </c>
      <c r="F1" s="20" t="s">
        <v>851</v>
      </c>
      <c r="G1" s="20" t="s">
        <v>887</v>
      </c>
      <c r="H1" s="20" t="s">
        <v>888</v>
      </c>
      <c r="I1" s="20" t="s">
        <v>889</v>
      </c>
      <c r="J1" s="20" t="s">
        <v>890</v>
      </c>
      <c r="K1" s="20" t="s">
        <v>891</v>
      </c>
      <c r="L1" s="20" t="s">
        <v>892</v>
      </c>
    </row>
  </sheetData>
  <sheetProtection selectLockedCells="1" selectUnlockedCells="1"/>
  <autoFilter ref="A1:L5156"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zoomScaleNormal="100" workbookViewId="0">
      <selection activeCell="C51" sqref="C51"/>
    </sheetView>
  </sheetViews>
  <sheetFormatPr baseColWidth="10" defaultColWidth="8.83203125" defaultRowHeight="14" x14ac:dyDescent="0.15"/>
  <cols>
    <col min="1" max="1" width="43.5" style="8" customWidth="1"/>
    <col min="2" max="2" width="9.1640625" style="8"/>
    <col min="3" max="3" width="64.5" style="8" customWidth="1"/>
    <col min="4" max="4" width="5.5" style="27" customWidth="1"/>
    <col min="5" max="5" width="10" style="27" customWidth="1"/>
    <col min="6" max="6" width="9.1640625" style="8"/>
    <col min="7" max="7" width="51.1640625" style="8" customWidth="1"/>
    <col min="8" max="8" width="33.1640625" style="27" customWidth="1"/>
    <col min="9" max="9" width="32.83203125" style="27" customWidth="1"/>
    <col min="10" max="10" width="32.83203125" style="8" customWidth="1"/>
    <col min="11" max="11" width="9.1640625" style="8"/>
  </cols>
  <sheetData>
    <row r="4" spans="1:9" ht="16" x14ac:dyDescent="0.2">
      <c r="C4" s="13" t="s">
        <v>893</v>
      </c>
      <c r="D4" s="24"/>
      <c r="E4" s="32"/>
      <c r="G4" s="25" t="s">
        <v>894</v>
      </c>
      <c r="H4" s="212" t="s">
        <v>895</v>
      </c>
      <c r="I4" s="212" t="s">
        <v>896</v>
      </c>
    </row>
    <row r="5" spans="1:9" ht="16" x14ac:dyDescent="0.2">
      <c r="C5" s="13"/>
      <c r="D5" s="24"/>
      <c r="E5" s="32"/>
      <c r="G5" s="25"/>
      <c r="H5" s="212"/>
      <c r="I5" s="212"/>
    </row>
    <row r="6" spans="1:9" ht="16" x14ac:dyDescent="0.2">
      <c r="A6" s="23" t="s">
        <v>897</v>
      </c>
      <c r="C6" s="15" t="s">
        <v>897</v>
      </c>
      <c r="D6" s="35">
        <f>COUNTIF('reductions data'!G:G,'reductions workings'!C6)</f>
        <v>0</v>
      </c>
      <c r="E6" s="35">
        <f>D6+0.0001</f>
        <v>1E-4</v>
      </c>
      <c r="G6" s="15" t="s">
        <v>897</v>
      </c>
      <c r="H6" s="28">
        <f>SUMIF('reductions data'!$G:$G,'reductions workings'!$G6,'reductions data'!$H:$H)</f>
        <v>0</v>
      </c>
      <c r="I6" s="22" t="e">
        <f>H6/H55</f>
        <v>#DIV/0!</v>
      </c>
    </row>
    <row r="7" spans="1:9" ht="16" x14ac:dyDescent="0.2">
      <c r="A7" s="23" t="s">
        <v>899</v>
      </c>
      <c r="C7" s="15" t="s">
        <v>899</v>
      </c>
      <c r="D7" s="35">
        <f>COUNTIF('reductions data'!G:G,'reductions workings'!C8)</f>
        <v>0</v>
      </c>
      <c r="E7" s="35">
        <f>D7+0.0003</f>
        <v>2.9999999999999997E-4</v>
      </c>
      <c r="G7" s="15" t="s">
        <v>899</v>
      </c>
      <c r="H7" s="28">
        <f>SUMIF('reductions data'!$G:$G,'reductions workings'!$G7,'reductions data'!$H:$H)</f>
        <v>0</v>
      </c>
      <c r="I7" s="22" t="e">
        <f>H7/H55</f>
        <v>#DIV/0!</v>
      </c>
    </row>
    <row r="8" spans="1:9" ht="16" x14ac:dyDescent="0.2">
      <c r="A8" s="23" t="s">
        <v>898</v>
      </c>
      <c r="C8" s="15" t="s">
        <v>898</v>
      </c>
      <c r="D8" s="35">
        <f>COUNTIF('reductions data'!G:G,'reductions workings'!C7)</f>
        <v>0</v>
      </c>
      <c r="E8" s="35">
        <f>D8+0.0002</f>
        <v>2.0000000000000001E-4</v>
      </c>
      <c r="G8" s="15" t="s">
        <v>898</v>
      </c>
      <c r="H8" s="28">
        <f>SUMIF('reductions data'!$G:$G,'reductions workings'!$G8,'reductions data'!$H:$H)</f>
        <v>0</v>
      </c>
      <c r="I8" s="22" t="e">
        <f>H8/H55</f>
        <v>#DIV/0!</v>
      </c>
    </row>
    <row r="9" spans="1:9" ht="16" x14ac:dyDescent="0.2">
      <c r="A9" s="23" t="s">
        <v>900</v>
      </c>
      <c r="C9" s="15" t="s">
        <v>900</v>
      </c>
      <c r="D9" s="35">
        <f>COUNTIF('reductions data'!G:G,'reductions workings'!C9)</f>
        <v>0</v>
      </c>
      <c r="E9" s="35">
        <f>D9+0.0004</f>
        <v>4.0000000000000002E-4</v>
      </c>
      <c r="G9" s="15" t="s">
        <v>900</v>
      </c>
      <c r="H9" s="28">
        <f>SUMIF('reductions data'!$G:$G,'reductions workings'!$G9,'reductions data'!$H:$H)</f>
        <v>0</v>
      </c>
      <c r="I9" s="22" t="e">
        <f>H9/H55</f>
        <v>#DIV/0!</v>
      </c>
    </row>
    <row r="10" spans="1:9" ht="16" x14ac:dyDescent="0.2">
      <c r="A10" s="23" t="s">
        <v>901</v>
      </c>
      <c r="C10" s="15" t="s">
        <v>901</v>
      </c>
      <c r="D10" s="35">
        <f>COUNTIF('reductions data'!G:G,'reductions workings'!C10)</f>
        <v>0</v>
      </c>
      <c r="E10" s="35">
        <f>D10+0.0005</f>
        <v>5.0000000000000001E-4</v>
      </c>
      <c r="G10" s="15" t="s">
        <v>901</v>
      </c>
      <c r="H10" s="28">
        <f>SUMIF('reductions data'!$G:$G,'reductions workings'!$G10,'reductions data'!$H:$H)</f>
        <v>0</v>
      </c>
      <c r="I10" s="22" t="e">
        <f>H10/H55</f>
        <v>#DIV/0!</v>
      </c>
    </row>
    <row r="11" spans="1:9" ht="16" x14ac:dyDescent="0.2">
      <c r="A11" s="23" t="s">
        <v>902</v>
      </c>
      <c r="C11" s="15" t="s">
        <v>902</v>
      </c>
      <c r="D11" s="35">
        <f>COUNTIF('reductions data'!G:G,'reductions workings'!C11)</f>
        <v>0</v>
      </c>
      <c r="E11" s="35">
        <f>D11+0.0006</f>
        <v>5.9999999999999995E-4</v>
      </c>
      <c r="G11" s="15" t="s">
        <v>902</v>
      </c>
      <c r="H11" s="28">
        <f>SUMIF('reductions data'!$G:$G,'reductions workings'!$G11,'reductions data'!$H:$H)</f>
        <v>0</v>
      </c>
      <c r="I11" s="22" t="e">
        <f>H11/H55</f>
        <v>#DIV/0!</v>
      </c>
    </row>
    <row r="12" spans="1:9" ht="16" x14ac:dyDescent="0.2">
      <c r="A12" s="23" t="s">
        <v>903</v>
      </c>
      <c r="C12" s="15" t="s">
        <v>903</v>
      </c>
      <c r="D12" s="35">
        <f>COUNTIF('reductions data'!G:G,'reductions workings'!C12)</f>
        <v>0</v>
      </c>
      <c r="E12" s="35">
        <f>D12+0.0006</f>
        <v>5.9999999999999995E-4</v>
      </c>
      <c r="G12" s="15" t="s">
        <v>903</v>
      </c>
      <c r="H12" s="28">
        <f>SUMIF('reductions data'!$G:$G,'reductions workings'!$G12,'reductions data'!$H:$H)</f>
        <v>0</v>
      </c>
      <c r="I12" s="22" t="e">
        <f>H12/H55</f>
        <v>#DIV/0!</v>
      </c>
    </row>
    <row r="13" spans="1:9" ht="16" x14ac:dyDescent="0.2">
      <c r="A13" s="23" t="s">
        <v>1262</v>
      </c>
      <c r="C13" s="15" t="s">
        <v>1262</v>
      </c>
      <c r="D13" s="35">
        <f>COUNTIF('reductions data'!G:G,'reductions workings'!C14)</f>
        <v>0</v>
      </c>
      <c r="E13" s="35">
        <f>D13+0.0008</f>
        <v>8.0000000000000004E-4</v>
      </c>
      <c r="G13" s="15" t="s">
        <v>1262</v>
      </c>
      <c r="H13" s="28">
        <f>SUMIF('reductions data'!$G:$G,'reductions workings'!$G14,'reductions data'!$H:$H)</f>
        <v>0</v>
      </c>
      <c r="I13" s="22" t="e">
        <f>H13/H54</f>
        <v>#DIV/0!</v>
      </c>
    </row>
    <row r="14" spans="1:9" ht="16" x14ac:dyDescent="0.2">
      <c r="A14" s="23" t="s">
        <v>904</v>
      </c>
      <c r="C14" s="15" t="s">
        <v>904</v>
      </c>
      <c r="D14" s="318">
        <f>COUNTIF('reductions data'!G:G,'reductions workings'!C13)</f>
        <v>0</v>
      </c>
      <c r="E14" s="318">
        <f>D14+0.0008</f>
        <v>8.0000000000000004E-4</v>
      </c>
      <c r="G14" s="15" t="s">
        <v>904</v>
      </c>
      <c r="H14" s="28">
        <f>SUMIF('reductions data'!$G:$G,'reductions workings'!$G13,'reductions data'!$H:$H)</f>
        <v>0</v>
      </c>
      <c r="I14" s="22" t="e">
        <f>H14/H56</f>
        <v>#DIV/0!</v>
      </c>
    </row>
    <row r="15" spans="1:9" ht="16" x14ac:dyDescent="0.2">
      <c r="A15" s="23" t="s">
        <v>905</v>
      </c>
      <c r="C15" s="15" t="s">
        <v>905</v>
      </c>
      <c r="D15" s="35">
        <f>COUNTIF('reductions data'!G:G,'reductions workings'!C15)</f>
        <v>0</v>
      </c>
      <c r="E15" s="35">
        <f>D15+0.0009</f>
        <v>8.9999999999999998E-4</v>
      </c>
      <c r="G15" s="15" t="s">
        <v>905</v>
      </c>
      <c r="H15" s="28">
        <f>SUMIF('reductions data'!$G:$G,'reductions workings'!$G15,'reductions data'!$H:$H)</f>
        <v>0</v>
      </c>
      <c r="I15" s="22" t="e">
        <f>H15/H55</f>
        <v>#DIV/0!</v>
      </c>
    </row>
    <row r="16" spans="1:9" ht="16" x14ac:dyDescent="0.2">
      <c r="A16" s="23" t="s">
        <v>906</v>
      </c>
      <c r="C16" s="15" t="s">
        <v>906</v>
      </c>
      <c r="D16" s="35">
        <f>COUNTIF('reductions data'!G:G,'reductions workings'!C16)</f>
        <v>0</v>
      </c>
      <c r="E16" s="35">
        <f>D16+0.0009</f>
        <v>8.9999999999999998E-4</v>
      </c>
      <c r="G16" s="15" t="s">
        <v>906</v>
      </c>
      <c r="H16" s="28">
        <f>SUMIF('reductions data'!$G:$G,'reductions workings'!$G16,'reductions data'!$H:$H)</f>
        <v>0</v>
      </c>
      <c r="I16" s="22" t="e">
        <f>H16/H55</f>
        <v>#DIV/0!</v>
      </c>
    </row>
    <row r="17" spans="1:9" ht="16" x14ac:dyDescent="0.2">
      <c r="A17" s="23" t="s">
        <v>907</v>
      </c>
      <c r="C17" s="15" t="s">
        <v>907</v>
      </c>
      <c r="D17" s="35">
        <f>COUNTIF('reductions data'!G:G,'reductions workings'!C17)</f>
        <v>0</v>
      </c>
      <c r="E17" s="35">
        <f>D17+0.00011</f>
        <v>1.1E-4</v>
      </c>
      <c r="G17" s="15" t="s">
        <v>907</v>
      </c>
      <c r="H17" s="28">
        <f>SUMIF('reductions data'!$G:$G,'reductions workings'!$G17,'reductions data'!$H:$H)</f>
        <v>0</v>
      </c>
      <c r="I17" s="22" t="e">
        <f>H17/H55</f>
        <v>#DIV/0!</v>
      </c>
    </row>
    <row r="18" spans="1:9" ht="16" x14ac:dyDescent="0.2">
      <c r="A18" s="23" t="s">
        <v>911</v>
      </c>
      <c r="C18" s="15" t="s">
        <v>908</v>
      </c>
      <c r="D18" s="35">
        <f>COUNTIF('reductions data'!G:G,'reductions workings'!C18)</f>
        <v>0</v>
      </c>
      <c r="E18" s="35">
        <f>D18+0.00012</f>
        <v>1.2E-4</v>
      </c>
      <c r="G18" s="15" t="s">
        <v>908</v>
      </c>
      <c r="H18" s="28">
        <f>SUMIF('reductions data'!$G:$G,'reductions workings'!$G18,'reductions data'!$H:$H)</f>
        <v>0</v>
      </c>
      <c r="I18" s="22" t="e">
        <f>H18/H55</f>
        <v>#DIV/0!</v>
      </c>
    </row>
    <row r="19" spans="1:9" ht="16" x14ac:dyDescent="0.2">
      <c r="A19" s="23" t="s">
        <v>908</v>
      </c>
      <c r="C19" s="15" t="s">
        <v>910</v>
      </c>
      <c r="D19" s="35">
        <f>COUNTIF('reductions data'!G:G,'reductions workings'!C20)</f>
        <v>0</v>
      </c>
      <c r="E19" s="35">
        <f>D19+0.00014</f>
        <v>1.3999999999999999E-4</v>
      </c>
      <c r="G19" s="15" t="s">
        <v>910</v>
      </c>
      <c r="H19" s="28">
        <f>SUMIF('reductions data'!$G:$G,'reductions workings'!$G19,'reductions data'!$H:$H)</f>
        <v>0</v>
      </c>
      <c r="I19" s="22" t="e">
        <f>H19/H55</f>
        <v>#DIV/0!</v>
      </c>
    </row>
    <row r="20" spans="1:9" ht="16" x14ac:dyDescent="0.2">
      <c r="A20" s="23" t="s">
        <v>910</v>
      </c>
      <c r="C20" s="15" t="s">
        <v>913</v>
      </c>
      <c r="D20" s="35">
        <f>COUNTIF('reductions data'!G:G,'reductions workings'!C22)</f>
        <v>0</v>
      </c>
      <c r="E20" s="35">
        <f>D20+0.00016</f>
        <v>1.6000000000000001E-4</v>
      </c>
      <c r="G20" s="15" t="s">
        <v>913</v>
      </c>
      <c r="H20" s="28">
        <f>SUMIF('reductions data'!$G:$G,'reductions workings'!$G20,'reductions data'!$H:$H)</f>
        <v>0</v>
      </c>
      <c r="I20" s="22" t="e">
        <f>H20/H55</f>
        <v>#DIV/0!</v>
      </c>
    </row>
    <row r="21" spans="1:9" ht="16" x14ac:dyDescent="0.2">
      <c r="A21" s="23" t="s">
        <v>913</v>
      </c>
      <c r="C21" s="15" t="s">
        <v>909</v>
      </c>
      <c r="D21" s="35">
        <f>COUNTIF('reductions data'!G:G,'reductions workings'!C19)</f>
        <v>0</v>
      </c>
      <c r="E21" s="35">
        <f>D21+0.00013</f>
        <v>1.2999999999999999E-4</v>
      </c>
      <c r="G21" s="15" t="s">
        <v>909</v>
      </c>
      <c r="H21" s="28">
        <f>SUMIF('reductions data'!$G:$G,'reductions workings'!$G21,'reductions data'!$H:$H)</f>
        <v>0</v>
      </c>
      <c r="I21" s="22" t="e">
        <f>H21/H55</f>
        <v>#DIV/0!</v>
      </c>
    </row>
    <row r="22" spans="1:9" ht="16" x14ac:dyDescent="0.2">
      <c r="A22" s="23" t="s">
        <v>909</v>
      </c>
      <c r="C22" s="15" t="s">
        <v>912</v>
      </c>
      <c r="D22" s="35">
        <f>COUNTIF('reductions data'!G:G,'reductions workings'!C21)</f>
        <v>0</v>
      </c>
      <c r="E22" s="35">
        <f>D22+0.00015</f>
        <v>1.4999999999999999E-4</v>
      </c>
      <c r="G22" s="15" t="s">
        <v>912</v>
      </c>
      <c r="H22" s="28">
        <f>SUMIF('reductions data'!$G:$G,'reductions workings'!$G22,'reductions data'!$H:$H)</f>
        <v>0</v>
      </c>
      <c r="I22" s="22" t="e">
        <f>H22/H55</f>
        <v>#DIV/0!</v>
      </c>
    </row>
    <row r="23" spans="1:9" ht="16" x14ac:dyDescent="0.2">
      <c r="A23" s="23" t="s">
        <v>914</v>
      </c>
      <c r="C23" s="15" t="s">
        <v>914</v>
      </c>
      <c r="D23" s="35">
        <f>COUNTIF('reductions data'!G:G,'reductions workings'!C23)</f>
        <v>0</v>
      </c>
      <c r="E23" s="35">
        <f>D23+0.00017</f>
        <v>1.7000000000000001E-4</v>
      </c>
      <c r="G23" s="15" t="s">
        <v>914</v>
      </c>
      <c r="H23" s="28">
        <f>SUMIF('reductions data'!$G:$G,'reductions workings'!$G23,'reductions data'!$H:$H)</f>
        <v>0</v>
      </c>
      <c r="I23" s="22" t="e">
        <f>H23/H55</f>
        <v>#DIV/0!</v>
      </c>
    </row>
    <row r="24" spans="1:9" ht="16" x14ac:dyDescent="0.2">
      <c r="A24" s="23" t="s">
        <v>915</v>
      </c>
      <c r="C24" s="15" t="s">
        <v>915</v>
      </c>
      <c r="D24" s="35">
        <f>COUNTIF('reductions data'!G:G,'reductions workings'!C24)</f>
        <v>0</v>
      </c>
      <c r="E24" s="35">
        <f>D24+0.00018</f>
        <v>1.8000000000000001E-4</v>
      </c>
      <c r="G24" s="15" t="s">
        <v>915</v>
      </c>
      <c r="H24" s="28">
        <f>SUMIF('reductions data'!$G:$G,'reductions workings'!$G24,'reductions data'!$H:$H)</f>
        <v>0</v>
      </c>
      <c r="I24" s="22" t="e">
        <f>H24/H55</f>
        <v>#DIV/0!</v>
      </c>
    </row>
    <row r="25" spans="1:9" ht="16" x14ac:dyDescent="0.2">
      <c r="A25" s="23" t="s">
        <v>916</v>
      </c>
      <c r="C25" s="15" t="s">
        <v>916</v>
      </c>
      <c r="D25" s="35">
        <f>COUNTIF('reductions data'!G:G,'reductions workings'!C25)</f>
        <v>0</v>
      </c>
      <c r="E25" s="35">
        <f>D25+0.00019</f>
        <v>1.9000000000000001E-4</v>
      </c>
      <c r="G25" s="15" t="s">
        <v>916</v>
      </c>
      <c r="H25" s="28">
        <f>SUMIF('reductions data'!$G:$G,'reductions workings'!$G25,'reductions data'!$H:$H)</f>
        <v>0</v>
      </c>
      <c r="I25" s="22" t="e">
        <f>H25/H55</f>
        <v>#DIV/0!</v>
      </c>
    </row>
    <row r="26" spans="1:9" ht="16" x14ac:dyDescent="0.2">
      <c r="A26" s="23" t="s">
        <v>917</v>
      </c>
      <c r="C26" s="15" t="s">
        <v>917</v>
      </c>
      <c r="D26" s="35">
        <f>COUNTIF('reductions data'!G:G,'reductions workings'!C26)</f>
        <v>0</v>
      </c>
      <c r="E26" s="35">
        <f>D26+0.00021</f>
        <v>2.1000000000000001E-4</v>
      </c>
      <c r="G26" s="15" t="s">
        <v>917</v>
      </c>
      <c r="H26" s="28">
        <f>SUMIF('reductions data'!$G:$G,'reductions workings'!$G26,'reductions data'!$H:$H)</f>
        <v>0</v>
      </c>
      <c r="I26" s="22" t="e">
        <f>H26/H55</f>
        <v>#DIV/0!</v>
      </c>
    </row>
    <row r="27" spans="1:9" ht="16" x14ac:dyDescent="0.2">
      <c r="A27" s="23" t="s">
        <v>918</v>
      </c>
      <c r="C27" s="15" t="s">
        <v>918</v>
      </c>
      <c r="D27" s="35">
        <f>COUNTIF('reductions data'!G:G,'reductions workings'!C27)</f>
        <v>0</v>
      </c>
      <c r="E27" s="35">
        <f>D27+0.00022</f>
        <v>2.2000000000000001E-4</v>
      </c>
      <c r="G27" s="15" t="s">
        <v>918</v>
      </c>
      <c r="H27" s="28">
        <f>SUMIF('reductions data'!$G:$G,'reductions workings'!$G27,'reductions data'!$H:$H)</f>
        <v>0</v>
      </c>
      <c r="I27" s="22" t="e">
        <f>H27/H55</f>
        <v>#DIV/0!</v>
      </c>
    </row>
    <row r="28" spans="1:9" ht="16" x14ac:dyDescent="0.2">
      <c r="A28" s="23" t="s">
        <v>919</v>
      </c>
      <c r="C28" s="15" t="s">
        <v>919</v>
      </c>
      <c r="D28" s="35">
        <f>COUNTIF('reductions data'!G:G,'reductions workings'!C28)</f>
        <v>0</v>
      </c>
      <c r="E28" s="35">
        <f>D28+0.00023</f>
        <v>2.3000000000000001E-4</v>
      </c>
      <c r="G28" s="15" t="s">
        <v>919</v>
      </c>
      <c r="H28" s="28">
        <f>SUMIF('reductions data'!$G:$G,'reductions workings'!$G28,'reductions data'!$H:$H)</f>
        <v>0</v>
      </c>
      <c r="I28" s="22" t="e">
        <f>H28/H55</f>
        <v>#DIV/0!</v>
      </c>
    </row>
    <row r="29" spans="1:9" ht="16" x14ac:dyDescent="0.2">
      <c r="A29" s="23" t="s">
        <v>920</v>
      </c>
      <c r="C29" s="15" t="s">
        <v>920</v>
      </c>
      <c r="D29" s="35">
        <f>COUNTIF('reductions data'!G:G,'reductions workings'!C29)</f>
        <v>0</v>
      </c>
      <c r="E29" s="35">
        <f>D29+0.00024</f>
        <v>2.4000000000000001E-4</v>
      </c>
      <c r="G29" s="15" t="s">
        <v>920</v>
      </c>
      <c r="H29" s="28">
        <f>SUMIF('reductions data'!$G:$G,'reductions workings'!$G29,'reductions data'!$H:$H)</f>
        <v>0</v>
      </c>
      <c r="I29" s="22" t="e">
        <f>H29/H55</f>
        <v>#DIV/0!</v>
      </c>
    </row>
    <row r="30" spans="1:9" ht="16" x14ac:dyDescent="0.2">
      <c r="A30" s="23" t="s">
        <v>1255</v>
      </c>
      <c r="C30" s="320" t="s">
        <v>1255</v>
      </c>
      <c r="D30" s="396">
        <f>COUNTIF('reductions data'!G:G,'reductions workings'!C34)</f>
        <v>0</v>
      </c>
      <c r="E30" s="35">
        <f t="shared" ref="E30:E36" si="0">D30+0.00032</f>
        <v>3.2000000000000003E-4</v>
      </c>
      <c r="G30" s="320" t="s">
        <v>1255</v>
      </c>
      <c r="H30" s="28">
        <f>SUMIF('reductions data'!$G:$G,'reductions workings'!$G30,'reductions data'!$H:$H)</f>
        <v>0</v>
      </c>
      <c r="I30" s="22" t="e">
        <f>H30/H55</f>
        <v>#DIV/0!</v>
      </c>
    </row>
    <row r="31" spans="1:9" ht="16" x14ac:dyDescent="0.2">
      <c r="A31" s="23" t="s">
        <v>1256</v>
      </c>
      <c r="C31" s="320" t="s">
        <v>1256</v>
      </c>
      <c r="D31" s="321">
        <f>COUNTIF('reductions data'!G:G,'reductions workings'!C35)</f>
        <v>0</v>
      </c>
      <c r="E31" s="315">
        <f t="shared" si="0"/>
        <v>3.2000000000000003E-4</v>
      </c>
      <c r="G31" s="320" t="s">
        <v>1256</v>
      </c>
      <c r="H31" s="28">
        <f>SUMIF('reductions data'!$G:$G,'reductions workings'!$G31,'reductions data'!$H:$H)</f>
        <v>0</v>
      </c>
      <c r="I31" s="22" t="e">
        <f>H31/H55</f>
        <v>#DIV/0!</v>
      </c>
    </row>
    <row r="32" spans="1:9" ht="16" x14ac:dyDescent="0.2">
      <c r="A32" s="23" t="s">
        <v>1253</v>
      </c>
      <c r="C32" s="320" t="s">
        <v>1253</v>
      </c>
      <c r="D32" s="321">
        <f>COUNTIF('reductions data'!G:G,'reductions workings'!C31)</f>
        <v>0</v>
      </c>
      <c r="E32" s="315">
        <f t="shared" si="0"/>
        <v>3.2000000000000003E-4</v>
      </c>
      <c r="G32" s="320" t="s">
        <v>1253</v>
      </c>
      <c r="H32" s="28">
        <f>SUMIF('reductions data'!$G:$G,'reductions workings'!$G32,'reductions data'!$H:$H)</f>
        <v>0</v>
      </c>
      <c r="I32" s="22" t="e">
        <f>H32/H55</f>
        <v>#DIV/0!</v>
      </c>
    </row>
    <row r="33" spans="1:9" ht="16" x14ac:dyDescent="0.2">
      <c r="A33" s="23" t="s">
        <v>1254</v>
      </c>
      <c r="C33" s="320" t="s">
        <v>1254</v>
      </c>
      <c r="D33" s="321">
        <f>COUNTIF('reductions data'!G:G,'reductions workings'!C32)</f>
        <v>0</v>
      </c>
      <c r="E33" s="315">
        <f t="shared" si="0"/>
        <v>3.2000000000000003E-4</v>
      </c>
      <c r="G33" s="320" t="s">
        <v>1254</v>
      </c>
      <c r="H33" s="28">
        <f>SUMIF('reductions data'!$G:$G,'reductions workings'!$G33,'reductions data'!$H:$H)</f>
        <v>0</v>
      </c>
      <c r="I33" s="22" t="e">
        <f>H33/H55</f>
        <v>#DIV/0!</v>
      </c>
    </row>
    <row r="34" spans="1:9" ht="16" x14ac:dyDescent="0.2">
      <c r="A34" s="23" t="s">
        <v>1263</v>
      </c>
      <c r="C34" s="320" t="s">
        <v>1263</v>
      </c>
      <c r="D34" s="321">
        <f>COUNTIF('reductions data'!G:G,'reductions workings'!C33)</f>
        <v>0</v>
      </c>
      <c r="E34" s="315">
        <f t="shared" si="0"/>
        <v>3.2000000000000003E-4</v>
      </c>
      <c r="G34" s="320" t="s">
        <v>1263</v>
      </c>
      <c r="H34" s="28">
        <f>SUMIF('reductions data'!$G:$G,'reductions workings'!$G34,'reductions data'!$H:$H)</f>
        <v>0</v>
      </c>
      <c r="I34" s="22" t="e">
        <f>H34/H55</f>
        <v>#DIV/0!</v>
      </c>
    </row>
    <row r="35" spans="1:9" ht="16" x14ac:dyDescent="0.2">
      <c r="A35" s="23" t="s">
        <v>1257</v>
      </c>
      <c r="C35" s="320" t="s">
        <v>1257</v>
      </c>
      <c r="D35" s="321">
        <f>COUNTIF('reductions data'!G:G,'reductions workings'!C39)</f>
        <v>0</v>
      </c>
      <c r="E35" s="315">
        <f t="shared" si="0"/>
        <v>3.2000000000000003E-4</v>
      </c>
      <c r="G35" s="320" t="s">
        <v>1257</v>
      </c>
      <c r="H35" s="28">
        <f>SUMIF('reductions data'!$G:$G,'reductions workings'!$G35,'reductions data'!$H:$H)</f>
        <v>0</v>
      </c>
      <c r="I35" s="22" t="e">
        <f>H35/H55</f>
        <v>#DIV/0!</v>
      </c>
    </row>
    <row r="36" spans="1:9" ht="16" x14ac:dyDescent="0.2">
      <c r="A36" s="23" t="s">
        <v>1258</v>
      </c>
      <c r="C36" s="320" t="s">
        <v>1258</v>
      </c>
      <c r="D36" s="321">
        <f>COUNTIF('reductions data'!G:G,'reductions workings'!C40)</f>
        <v>0</v>
      </c>
      <c r="E36" s="315">
        <f t="shared" si="0"/>
        <v>3.2000000000000003E-4</v>
      </c>
      <c r="G36" s="320" t="s">
        <v>1258</v>
      </c>
      <c r="H36" s="28">
        <f>SUMIF('reductions data'!$G:$G,'reductions workings'!$G36,'reductions data'!$H:$H)</f>
        <v>0</v>
      </c>
      <c r="I36" s="22" t="e">
        <f>H36/H55</f>
        <v>#DIV/0!</v>
      </c>
    </row>
    <row r="37" spans="1:9" ht="16" x14ac:dyDescent="0.2">
      <c r="A37" s="23" t="s">
        <v>922</v>
      </c>
      <c r="C37" s="15" t="s">
        <v>922</v>
      </c>
      <c r="D37" s="321">
        <f>COUNTIF('reductions data'!G:G,'reductions workings'!C41)</f>
        <v>0</v>
      </c>
      <c r="E37" s="315">
        <f>D37+0.00033</f>
        <v>3.3E-4</v>
      </c>
      <c r="G37" s="15" t="s">
        <v>922</v>
      </c>
      <c r="H37" s="28">
        <f>SUMIF('reductions data'!$G:$G,'reductions workings'!$G37,'reductions data'!$H:$H)</f>
        <v>0</v>
      </c>
      <c r="I37" s="22" t="e">
        <f>H37/H55</f>
        <v>#DIV/0!</v>
      </c>
    </row>
    <row r="38" spans="1:9" ht="16" x14ac:dyDescent="0.2">
      <c r="A38" s="23" t="s">
        <v>923</v>
      </c>
      <c r="C38" s="15" t="s">
        <v>923</v>
      </c>
      <c r="D38" s="321">
        <f>COUNTIF('reductions data'!G:G,'reductions workings'!C42)</f>
        <v>0</v>
      </c>
      <c r="E38" s="315">
        <f>D38+0.00033</f>
        <v>3.3E-4</v>
      </c>
      <c r="G38" s="15" t="s">
        <v>923</v>
      </c>
      <c r="H38" s="28">
        <f>SUMIF('reductions data'!$G:$G,'reductions workings'!$G38,'reductions data'!$H:$H)</f>
        <v>0</v>
      </c>
      <c r="I38" s="22" t="e">
        <f>H38/H55</f>
        <v>#DIV/0!</v>
      </c>
    </row>
    <row r="39" spans="1:9" ht="16" x14ac:dyDescent="0.2">
      <c r="A39" s="23" t="s">
        <v>924</v>
      </c>
      <c r="C39" s="15" t="s">
        <v>924</v>
      </c>
      <c r="D39" s="321">
        <f>COUNTIF('reductions data'!G:G,'reductions workings'!C43)</f>
        <v>0</v>
      </c>
      <c r="E39" s="315">
        <f>D39+0.00033</f>
        <v>3.3E-4</v>
      </c>
      <c r="G39" s="15" t="s">
        <v>924</v>
      </c>
      <c r="H39" s="28">
        <f>SUMIF('reductions data'!$G:$G,'reductions workings'!$G39,'reductions data'!$H:$H)</f>
        <v>0</v>
      </c>
      <c r="I39" s="22" t="e">
        <f>H39/H55</f>
        <v>#DIV/0!</v>
      </c>
    </row>
    <row r="40" spans="1:9" ht="16" x14ac:dyDescent="0.2">
      <c r="A40" s="23" t="s">
        <v>1259</v>
      </c>
      <c r="C40" s="320" t="s">
        <v>1259</v>
      </c>
      <c r="D40" s="321">
        <f>COUNTIF('reductions data'!G:G,'reductions workings'!C36)</f>
        <v>0</v>
      </c>
      <c r="E40" s="315">
        <f>D40+0.00032</f>
        <v>3.2000000000000003E-4</v>
      </c>
      <c r="G40" s="320" t="s">
        <v>1259</v>
      </c>
      <c r="H40" s="28">
        <f>SUMIF('reductions data'!$G:$G,'reductions workings'!$G43,'reductions data'!$H:$H)</f>
        <v>0</v>
      </c>
      <c r="I40" s="22" t="e">
        <f>H40/H52</f>
        <v>#DIV/0!</v>
      </c>
    </row>
    <row r="41" spans="1:9" ht="16" x14ac:dyDescent="0.2">
      <c r="A41" s="23" t="s">
        <v>1260</v>
      </c>
      <c r="C41" s="320" t="s">
        <v>1260</v>
      </c>
      <c r="D41" s="396">
        <f>COUNTIF('reductions data'!G:G,'reductions workings'!C37)</f>
        <v>0</v>
      </c>
      <c r="E41" s="35">
        <f>D41+0.00032</f>
        <v>3.2000000000000003E-4</v>
      </c>
      <c r="G41" s="320" t="s">
        <v>1260</v>
      </c>
      <c r="H41" s="28">
        <f>SUMIF('reductions data'!$G:$G,'reductions workings'!$G44,'reductions data'!$H:$H)</f>
        <v>0</v>
      </c>
      <c r="I41" s="22" t="e">
        <f>H41/H52</f>
        <v>#DIV/0!</v>
      </c>
    </row>
    <row r="42" spans="1:9" ht="16" x14ac:dyDescent="0.2">
      <c r="A42" s="23" t="s">
        <v>1261</v>
      </c>
      <c r="C42" s="320" t="s">
        <v>1264</v>
      </c>
      <c r="D42" s="396">
        <f>COUNTIF('reductions data'!G:G,'reductions workings'!C38)</f>
        <v>0</v>
      </c>
      <c r="E42" s="35">
        <f>D42+0.00032</f>
        <v>3.2000000000000003E-4</v>
      </c>
      <c r="G42" s="320" t="s">
        <v>1264</v>
      </c>
      <c r="H42" s="28">
        <f>SUMIF('reductions data'!$G:$G,'reductions workings'!$G45,'reductions data'!$H:$H)</f>
        <v>0</v>
      </c>
      <c r="I42" s="22" t="e">
        <f>H42/H52</f>
        <v>#DIV/0!</v>
      </c>
    </row>
    <row r="43" spans="1:9" ht="16" x14ac:dyDescent="0.2">
      <c r="A43" s="23" t="s">
        <v>925</v>
      </c>
      <c r="C43" s="15" t="s">
        <v>925</v>
      </c>
      <c r="D43" s="35">
        <f>COUNTIF('reductions data'!G:G,'reductions workings'!C44)</f>
        <v>0</v>
      </c>
      <c r="E43" s="35">
        <f>D43+0.00033</f>
        <v>3.3E-4</v>
      </c>
      <c r="G43" s="15" t="s">
        <v>925</v>
      </c>
      <c r="H43" s="28">
        <f>SUMIF('reductions data'!$G:$G,'reductions workings'!$G40,'reductions data'!$H:$H)</f>
        <v>0</v>
      </c>
      <c r="I43" s="22" t="e">
        <f>H43/H58</f>
        <v>#DIV/0!</v>
      </c>
    </row>
    <row r="44" spans="1:9" ht="16" x14ac:dyDescent="0.2">
      <c r="A44" s="23" t="s">
        <v>926</v>
      </c>
      <c r="C44" s="15" t="s">
        <v>926</v>
      </c>
      <c r="D44" s="35">
        <f>COUNTIF('reductions data'!G:G,'reductions workings'!C45)</f>
        <v>0</v>
      </c>
      <c r="E44" s="35">
        <f>D44+0.00033</f>
        <v>3.3E-4</v>
      </c>
      <c r="G44" s="15" t="s">
        <v>926</v>
      </c>
      <c r="H44" s="28">
        <f>SUMIF('reductions data'!$G:$G,'reductions workings'!$G41,'reductions data'!$H:$H)</f>
        <v>0</v>
      </c>
      <c r="I44" s="22" t="e">
        <f>H44/H58</f>
        <v>#DIV/0!</v>
      </c>
    </row>
    <row r="45" spans="1:9" ht="16" x14ac:dyDescent="0.2">
      <c r="A45" s="23" t="s">
        <v>927</v>
      </c>
      <c r="C45" s="15" t="s">
        <v>927</v>
      </c>
      <c r="D45" s="35">
        <f>COUNTIF('reductions data'!G:G,'reductions workings'!C46)</f>
        <v>0</v>
      </c>
      <c r="E45" s="35">
        <f>D45+0.00033</f>
        <v>3.3E-4</v>
      </c>
      <c r="G45" s="15" t="s">
        <v>927</v>
      </c>
      <c r="H45" s="28">
        <f>SUMIF('reductions data'!$G:$G,'reductions workings'!$G42,'reductions data'!$H:$H)</f>
        <v>0</v>
      </c>
      <c r="I45" s="22" t="e">
        <f>H45/H58</f>
        <v>#DIV/0!</v>
      </c>
    </row>
    <row r="46" spans="1:9" ht="16" x14ac:dyDescent="0.2">
      <c r="A46" s="23" t="s">
        <v>921</v>
      </c>
      <c r="C46" s="15" t="s">
        <v>921</v>
      </c>
      <c r="D46" s="35">
        <f>COUNTIF('reductions data'!G:G,'reductions workings'!C30)</f>
        <v>0</v>
      </c>
      <c r="E46" s="35">
        <f>D46+0.00026</f>
        <v>2.5999999999999998E-4</v>
      </c>
      <c r="G46" s="15" t="s">
        <v>921</v>
      </c>
      <c r="H46" s="28">
        <f>SUMIF('reductions data'!$G:$G,'reductions workings'!$G46,'reductions data'!$H:$H)</f>
        <v>0</v>
      </c>
      <c r="I46" s="22" t="e">
        <f>H46/H55</f>
        <v>#DIV/0!</v>
      </c>
    </row>
    <row r="47" spans="1:9" ht="16" x14ac:dyDescent="0.2">
      <c r="A47" s="23" t="s">
        <v>928</v>
      </c>
      <c r="C47" s="15" t="s">
        <v>928</v>
      </c>
      <c r="D47" s="35">
        <f>COUNTIF('reductions data'!G:G,'reductions workings'!C47)</f>
        <v>0</v>
      </c>
      <c r="E47" s="35">
        <f>D47+0.00034</f>
        <v>3.4000000000000002E-4</v>
      </c>
      <c r="G47" s="15" t="s">
        <v>928</v>
      </c>
      <c r="H47" s="28">
        <f>SUMIF('reductions data'!$G:$G,'reductions workings'!$G47,'reductions data'!$H:$H)</f>
        <v>0</v>
      </c>
      <c r="I47" s="22" t="e">
        <f>H47/H55</f>
        <v>#DIV/0!</v>
      </c>
    </row>
    <row r="48" spans="1:9" ht="16" x14ac:dyDescent="0.2">
      <c r="A48" s="23" t="s">
        <v>929</v>
      </c>
      <c r="C48" s="15" t="s">
        <v>929</v>
      </c>
      <c r="D48" s="35">
        <f>COUNTIF('reductions data'!G:G,'reductions workings'!C48)</f>
        <v>0</v>
      </c>
      <c r="E48" s="35">
        <f>D48+0.00035</f>
        <v>3.5E-4</v>
      </c>
      <c r="G48" s="15" t="s">
        <v>929</v>
      </c>
      <c r="H48" s="28">
        <f>SUMIF('reductions data'!$G:$G,'reductions workings'!$G48,'reductions data'!$H:$H)</f>
        <v>0</v>
      </c>
      <c r="I48" s="22" t="e">
        <f>H48/H55</f>
        <v>#DIV/0!</v>
      </c>
    </row>
    <row r="49" spans="1:9" ht="16" x14ac:dyDescent="0.2">
      <c r="A49" s="23" t="s">
        <v>930</v>
      </c>
      <c r="C49" s="15" t="s">
        <v>930</v>
      </c>
      <c r="D49" s="35">
        <f>COUNTIF('reductions data'!G:G,'reductions workings'!C49)</f>
        <v>0</v>
      </c>
      <c r="E49" s="35">
        <f>D49+0.00036</f>
        <v>3.6000000000000002E-4</v>
      </c>
      <c r="G49" s="15" t="s">
        <v>930</v>
      </c>
      <c r="H49" s="28">
        <f>SUMIF('reductions data'!$G:$G,'reductions workings'!$G49,'reductions data'!$H:$H)</f>
        <v>0</v>
      </c>
      <c r="I49" s="22" t="e">
        <f>H49/H55</f>
        <v>#DIV/0!</v>
      </c>
    </row>
    <row r="50" spans="1:9" ht="16" x14ac:dyDescent="0.2">
      <c r="A50" s="23" t="s">
        <v>931</v>
      </c>
      <c r="C50" s="15" t="s">
        <v>931</v>
      </c>
      <c r="D50" s="35">
        <f>COUNTIF('reductions data'!G:G,'reductions workings'!C50)</f>
        <v>0</v>
      </c>
      <c r="E50" s="35">
        <f>D50+0.00037</f>
        <v>3.6999999999999999E-4</v>
      </c>
      <c r="G50" s="15" t="s">
        <v>931</v>
      </c>
      <c r="H50" s="28">
        <f>SUMIF('reductions data'!$G:$G,'reductions workings'!$G50,'reductions data'!$H:$H)</f>
        <v>0</v>
      </c>
      <c r="I50" s="22" t="e">
        <f>H50/H55</f>
        <v>#DIV/0!</v>
      </c>
    </row>
    <row r="51" spans="1:9" ht="16" x14ac:dyDescent="0.2">
      <c r="A51" s="23" t="s">
        <v>932</v>
      </c>
      <c r="C51" s="15" t="s">
        <v>932</v>
      </c>
      <c r="D51" s="35">
        <f>COUNTIF('reductions data'!G:G,'reductions workings'!C51)</f>
        <v>0</v>
      </c>
      <c r="E51" s="35">
        <f>D51+0.00038</f>
        <v>3.8000000000000002E-4</v>
      </c>
      <c r="G51" s="15" t="s">
        <v>932</v>
      </c>
      <c r="H51" s="28">
        <f>SUMIF('reductions data'!$G:$G,'reductions workings'!$G51,'reductions data'!$H:$H)</f>
        <v>0</v>
      </c>
      <c r="I51" s="22" t="e">
        <f>H51/H55</f>
        <v>#DIV/0!</v>
      </c>
    </row>
    <row r="52" spans="1:9" ht="16" x14ac:dyDescent="0.2">
      <c r="A52" s="23" t="s">
        <v>933</v>
      </c>
      <c r="C52" s="15" t="s">
        <v>933</v>
      </c>
      <c r="D52" s="35">
        <f>COUNTIF('reductions data'!G:G,'reductions workings'!C52)</f>
        <v>0</v>
      </c>
      <c r="E52" s="35">
        <f>D52+0.00039</f>
        <v>3.8999999999999999E-4</v>
      </c>
      <c r="G52" s="15" t="s">
        <v>933</v>
      </c>
      <c r="H52" s="28">
        <f>SUMIF('reductions data'!$G:$G,'reductions workings'!$G52,'reductions data'!$H:$H)</f>
        <v>0</v>
      </c>
      <c r="I52" s="22" t="e">
        <f>H52/H55</f>
        <v>#DIV/0!</v>
      </c>
    </row>
    <row r="53" spans="1:9" ht="16" x14ac:dyDescent="0.2">
      <c r="A53" s="23" t="s">
        <v>934</v>
      </c>
      <c r="C53" s="15" t="s">
        <v>934</v>
      </c>
      <c r="D53" s="35">
        <f>COUNTIF('reductions data'!G:G,'reductions workings'!C53)</f>
        <v>0</v>
      </c>
      <c r="E53" s="35">
        <f>D53+0.00039</f>
        <v>3.8999999999999999E-4</v>
      </c>
      <c r="G53" s="15" t="s">
        <v>934</v>
      </c>
      <c r="H53" s="28">
        <f>SUMIF('reductions data'!$G:$G,'reductions workings'!$G53,'reductions data'!$H:$H)</f>
        <v>0</v>
      </c>
      <c r="I53" s="22" t="e">
        <f>H53/H55</f>
        <v>#DIV/0!</v>
      </c>
    </row>
    <row r="54" spans="1:9" ht="16" x14ac:dyDescent="0.2">
      <c r="A54" s="23" t="s">
        <v>935</v>
      </c>
      <c r="C54" s="15" t="s">
        <v>935</v>
      </c>
      <c r="D54" s="35">
        <f>COUNTIF('reductions data'!G:G,'reductions workings'!C54)</f>
        <v>0</v>
      </c>
      <c r="E54" s="35">
        <f>D54+0.00041</f>
        <v>4.0999999999999999E-4</v>
      </c>
      <c r="G54" s="15" t="s">
        <v>935</v>
      </c>
      <c r="H54" s="28">
        <f>SUMIF('reductions data'!$G:$G,'reductions workings'!$G54,'reductions data'!$H:$H)</f>
        <v>0</v>
      </c>
      <c r="I54" s="22" t="e">
        <f>H54/H55</f>
        <v>#DIV/0!</v>
      </c>
    </row>
    <row r="55" spans="1:9" ht="18" x14ac:dyDescent="0.2">
      <c r="C55" s="26" t="s">
        <v>936</v>
      </c>
      <c r="D55" s="402">
        <f>SUM(D6:D54)</f>
        <v>0</v>
      </c>
      <c r="E55" s="403"/>
      <c r="G55" s="26" t="s">
        <v>937</v>
      </c>
      <c r="H55" s="404">
        <f>SUM(H6:H54)</f>
        <v>0</v>
      </c>
      <c r="I55" s="405"/>
    </row>
    <row r="93" spans="4:9" x14ac:dyDescent="0.15">
      <c r="D93" s="8"/>
      <c r="E93" s="8"/>
      <c r="H93" s="8"/>
      <c r="I93" s="8"/>
    </row>
    <row r="94" spans="4:9" x14ac:dyDescent="0.15">
      <c r="D94" s="8"/>
      <c r="E94" s="8"/>
      <c r="H94" s="8"/>
      <c r="I94" s="8"/>
    </row>
    <row r="95" spans="4:9" x14ac:dyDescent="0.15">
      <c r="D95" s="8"/>
      <c r="E95" s="8"/>
      <c r="H95" s="8"/>
      <c r="I95" s="8"/>
    </row>
    <row r="96" spans="4:9" x14ac:dyDescent="0.15">
      <c r="D96" s="8"/>
      <c r="E96" s="8"/>
      <c r="H96" s="8"/>
      <c r="I96" s="8"/>
    </row>
    <row r="97" spans="4:9" x14ac:dyDescent="0.15">
      <c r="D97" s="8"/>
      <c r="E97" s="8"/>
      <c r="H97" s="8"/>
      <c r="I97" s="8"/>
    </row>
    <row r="98" spans="4:9" x14ac:dyDescent="0.15">
      <c r="D98" s="8"/>
      <c r="E98" s="8"/>
      <c r="H98" s="8"/>
      <c r="I98" s="8"/>
    </row>
    <row r="99" spans="4:9" x14ac:dyDescent="0.15">
      <c r="D99" s="8"/>
      <c r="E99" s="8"/>
      <c r="H99" s="8"/>
      <c r="I99" s="8"/>
    </row>
    <row r="100" spans="4:9" x14ac:dyDescent="0.15">
      <c r="D100" s="8"/>
      <c r="E100" s="8"/>
      <c r="H100" s="8"/>
      <c r="I100" s="8"/>
    </row>
    <row r="101" spans="4:9" x14ac:dyDescent="0.15">
      <c r="D101" s="8"/>
      <c r="E101" s="8"/>
      <c r="H101" s="8"/>
      <c r="I101" s="8"/>
    </row>
    <row r="102" spans="4:9" x14ac:dyDescent="0.15">
      <c r="D102" s="8"/>
      <c r="E102" s="8"/>
      <c r="H102" s="8"/>
      <c r="I102" s="8"/>
    </row>
    <row r="103" spans="4:9" x14ac:dyDescent="0.15">
      <c r="D103" s="8"/>
      <c r="E103" s="8"/>
      <c r="H103" s="8"/>
      <c r="I103" s="8"/>
    </row>
    <row r="104" spans="4:9" x14ac:dyDescent="0.15">
      <c r="D104" s="8"/>
      <c r="E104" s="8"/>
      <c r="H104" s="8"/>
      <c r="I104" s="8"/>
    </row>
    <row r="105" spans="4:9" x14ac:dyDescent="0.15">
      <c r="D105" s="8"/>
      <c r="E105" s="8"/>
      <c r="H105" s="8"/>
      <c r="I105" s="8"/>
    </row>
    <row r="106" spans="4:9" x14ac:dyDescent="0.15">
      <c r="D106" s="8"/>
      <c r="E106" s="8"/>
      <c r="H106" s="8"/>
      <c r="I106" s="8"/>
    </row>
    <row r="121" spans="1:9" x14ac:dyDescent="0.15">
      <c r="A121" s="29"/>
      <c r="C121" s="29"/>
      <c r="D121" s="30"/>
      <c r="E121" s="30"/>
      <c r="G121" s="29"/>
      <c r="H121" s="30"/>
      <c r="I121" s="30"/>
    </row>
    <row r="131" spans="2:11" x14ac:dyDescent="0.15">
      <c r="B131" s="29"/>
      <c r="F131" s="29"/>
      <c r="J131" s="29"/>
      <c r="K131" s="29"/>
    </row>
  </sheetData>
  <sheetProtection selectLockedCells="1" selectUnlockedCells="1"/>
  <sortState xmlns:xlrd2="http://schemas.microsoft.com/office/spreadsheetml/2017/richdata2" ref="G6:I54">
    <sortCondition ref="G6"/>
  </sortState>
  <mergeCells count="2">
    <mergeCell ref="D55:E55"/>
    <mergeCell ref="H55:I5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showGridLines="0" showRowColHeaders="0" workbookViewId="0">
      <selection sqref="A1:Q1"/>
    </sheetView>
  </sheetViews>
  <sheetFormatPr baseColWidth="10" defaultColWidth="8.83203125" defaultRowHeight="14" x14ac:dyDescent="0.15"/>
  <sheetData>
    <row r="1" spans="1:19" ht="40.5" customHeight="1" x14ac:dyDescent="0.3">
      <c r="A1" s="406" t="s">
        <v>938</v>
      </c>
      <c r="B1" s="406"/>
      <c r="C1" s="406"/>
      <c r="D1" s="406"/>
      <c r="E1" s="406"/>
      <c r="F1" s="406"/>
      <c r="G1" s="406"/>
      <c r="H1" s="406"/>
      <c r="I1" s="406"/>
      <c r="J1" s="406"/>
      <c r="K1" s="406"/>
      <c r="L1" s="406"/>
      <c r="M1" s="406"/>
      <c r="N1" s="406"/>
      <c r="O1" s="406"/>
      <c r="P1" s="406"/>
      <c r="Q1" s="406"/>
      <c r="R1" s="278"/>
      <c r="S1" s="278"/>
    </row>
    <row r="30" spans="1:1" x14ac:dyDescent="0.15">
      <c r="A30" t="s">
        <v>1203</v>
      </c>
    </row>
  </sheetData>
  <mergeCells count="1">
    <mergeCell ref="A1:Q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5"/>
  <sheetViews>
    <sheetView showGridLines="0" topLeftCell="A94" zoomScale="70" zoomScaleNormal="70" workbookViewId="0">
      <selection activeCell="F33" sqref="F33"/>
    </sheetView>
  </sheetViews>
  <sheetFormatPr baseColWidth="10" defaultColWidth="9.1640625" defaultRowHeight="14" x14ac:dyDescent="0.15"/>
  <cols>
    <col min="2" max="2" width="46.5" customWidth="1"/>
    <col min="3" max="3" width="14.5" bestFit="1" customWidth="1"/>
    <col min="4" max="4" width="17.5" customWidth="1"/>
    <col min="5" max="5" width="14.83203125" customWidth="1"/>
    <col min="6" max="6" width="20.1640625" customWidth="1"/>
    <col min="7" max="7" width="17.5" customWidth="1"/>
    <col min="8" max="8" width="19.5" customWidth="1"/>
    <col min="9" max="9" width="16.5" customWidth="1"/>
    <col min="10" max="10" width="15.5" customWidth="1"/>
    <col min="11" max="11" width="18" customWidth="1"/>
    <col min="12" max="12" width="16" customWidth="1"/>
    <col min="13" max="13" width="15.5" customWidth="1"/>
    <col min="21" max="21" width="43.5" bestFit="1" customWidth="1"/>
  </cols>
  <sheetData>
    <row r="1" spans="1:19" ht="52.5" customHeight="1" x14ac:dyDescent="0.15">
      <c r="A1" s="413" t="s">
        <v>939</v>
      </c>
      <c r="B1" s="413"/>
      <c r="C1" s="413"/>
      <c r="D1" s="413"/>
      <c r="E1" s="413"/>
      <c r="F1" s="413"/>
      <c r="G1" s="413"/>
      <c r="H1" s="413"/>
      <c r="I1" s="413"/>
      <c r="J1" s="413"/>
      <c r="K1" s="413"/>
      <c r="L1" s="413"/>
      <c r="M1" s="413"/>
      <c r="N1" s="240"/>
      <c r="O1" s="240"/>
      <c r="P1" s="240"/>
      <c r="Q1" s="240"/>
      <c r="R1" s="240"/>
      <c r="S1" s="240"/>
    </row>
    <row r="2" spans="1:19" ht="28.5" customHeight="1" x14ac:dyDescent="0.15">
      <c r="A2" s="424"/>
      <c r="B2" s="424"/>
      <c r="C2" s="424"/>
      <c r="D2" s="424"/>
      <c r="E2" s="424"/>
      <c r="F2" s="424"/>
      <c r="G2" s="424"/>
      <c r="H2" s="424"/>
      <c r="I2" s="424"/>
      <c r="J2" s="424"/>
      <c r="K2" s="424"/>
      <c r="L2" s="424"/>
      <c r="M2" s="259"/>
      <c r="N2" s="241"/>
      <c r="O2" s="241"/>
      <c r="P2" s="241"/>
      <c r="Q2" s="241"/>
      <c r="R2" s="241"/>
      <c r="S2" s="241"/>
    </row>
    <row r="4" spans="1:19" ht="36" customHeight="1" x14ac:dyDescent="0.15">
      <c r="B4" s="36" t="s">
        <v>940</v>
      </c>
    </row>
    <row r="5" spans="1:19" ht="39" customHeight="1" x14ac:dyDescent="0.15">
      <c r="B5" s="243" t="s">
        <v>17</v>
      </c>
      <c r="C5" s="40"/>
    </row>
    <row r="6" spans="1:19" x14ac:dyDescent="0.15">
      <c r="H6" s="49"/>
    </row>
    <row r="7" spans="1:19" ht="25" x14ac:dyDescent="0.15">
      <c r="B7" s="280" t="s">
        <v>941</v>
      </c>
      <c r="C7" s="281"/>
      <c r="D7" s="281"/>
      <c r="E7" s="281"/>
      <c r="F7" s="282"/>
    </row>
    <row r="8" spans="1:19" ht="78.75" customHeight="1" x14ac:dyDescent="0.15">
      <c r="B8" s="62"/>
      <c r="C8" s="219" t="s">
        <v>942</v>
      </c>
      <c r="D8" s="63" t="s">
        <v>943</v>
      </c>
      <c r="E8" s="63" t="s">
        <v>944</v>
      </c>
      <c r="F8" s="63" t="s">
        <v>945</v>
      </c>
      <c r="G8" s="64"/>
      <c r="H8" s="219" t="s">
        <v>946</v>
      </c>
      <c r="I8" s="219" t="s">
        <v>947</v>
      </c>
      <c r="J8" s="64"/>
      <c r="K8" s="219" t="s">
        <v>948</v>
      </c>
      <c r="L8" s="219" t="s">
        <v>949</v>
      </c>
    </row>
    <row r="9" spans="1:19" x14ac:dyDescent="0.15">
      <c r="B9" s="65" t="str">
        <f>B5</f>
        <v>East Midlands Region</v>
      </c>
      <c r="C9" s="66" t="e">
        <f>SUM((SUMIFS('capacity data'!$G:$G,'capacity data'!$E:$E,"PO",'capacity data'!$A:$A,B5))-SUMIFS('capacity data'!$H:$H,'capacity data'!$E:$E,"PO",'capacity data'!$A:$A,B5))/SUMIFS('capacity data'!$G:$G,'capacity data'!$E:$E,"PO",'capacity data'!$A:$A,B5)</f>
        <v>#DIV/0!</v>
      </c>
      <c r="D9" s="67" t="e">
        <f>SUM((SUMIFS('capacity data'!$G:$G,'capacity data'!$E:$E,"PSO",'capacity data'!$A:$A,B5))-SUMIFS('capacity data'!$H:$H,'capacity data'!$E:$E,"PSO",'capacity data'!$A:$A,B5))/SUMIFS('capacity data'!$G:$G,'capacity data'!$E:$E,"PSO",'capacity data'!$A:$A,B5)</f>
        <v>#DIV/0!</v>
      </c>
      <c r="E9" s="67" t="e">
        <f>SUM((SUMIFS('capacity data'!$G:$G,'capacity data'!$E:$E,"TPO",'capacity data'!$A:$A,B5))-SUMIFS('capacity data'!$H:$H,'capacity data'!$E:$E,"TPO",'capacity data'!$A:$A,B5))/SUMIFS('capacity data'!$G:$G,'capacity data'!$E:$E,"TPO",'capacity data'!$A:$A,B5)</f>
        <v>#DIV/0!</v>
      </c>
      <c r="F9" s="66" t="e">
        <f>SUM((SUMIFS('capacity data'!G:G,'capacity data'!A:A,B5))-SUMIFS('capacity data'!H:H,'capacity data'!A:A,B5))/SUMIFS('capacity data'!G:G,'capacity data'!A:A,B5)</f>
        <v>#DIV/0!</v>
      </c>
      <c r="G9" s="64"/>
      <c r="H9" s="66" t="e">
        <f>SUMIFS('capacity data'!$L:$L,'capacity data'!$A:$A,$B$5,'capacity data'!$E:$E,"PSO")/SUM((SUMIFS('capacity data'!$G:$G,'capacity data'!$E:$E,"PSO",'capacity data'!$A:$A,$B$5))-SUMIFS('capacity data'!$H:$H,'capacity data'!$E:$E,"PSO",'capacity data'!$A:$A,$B$5))</f>
        <v>#DIV/0!</v>
      </c>
      <c r="I9" s="66" t="e">
        <f>SUMIFS('capacity data'!$L:$L,'capacity data'!$A:$A,$B$5,'capacity data'!$E:$E,"PSO")/SUMIFS('capacity data'!$G:$G,'capacity data'!$E:$E,"PSO",'capacity data'!$A:$A,$B$5)</f>
        <v>#DIV/0!</v>
      </c>
      <c r="J9" s="64"/>
      <c r="K9" s="66" t="e">
        <f>SUMIFS('capacity data'!$L:$L,'capacity data'!$A:$A,$B$5,'capacity data'!$E:$E,"TPO")/SUM((SUMIFS('capacity data'!$G:$G,'capacity data'!$E:$E,"TPO",'capacity data'!$A:$A,$B$5))-SUMIFS('capacity data'!$H:$H,'capacity data'!$E:$E,"TPO",'capacity data'!$A:$A,$B$5))</f>
        <v>#DIV/0!</v>
      </c>
      <c r="L9" s="66" t="e">
        <f>SUMIFS('capacity data'!$L:$L,'capacity data'!$A:$A,$B$5,'capacity data'!$E:$E,"TPO")/SUMIFS('capacity data'!$G:$G,'capacity data'!$E:$E,"TPO",'capacity data'!$A:$A,$B$5)</f>
        <v>#DIV/0!</v>
      </c>
    </row>
    <row r="10" spans="1:19" x14ac:dyDescent="0.15">
      <c r="B10" s="229" t="s">
        <v>950</v>
      </c>
      <c r="C10" s="82" t="e">
        <f>SUM((SUMIF('capacity data'!E:E,"PO",'capacity data'!G:G))-SUMIF('capacity data'!E:E,"PO",'capacity data'!H:H))/SUMIF('capacity data'!E:E,"PO",'capacity data'!G:G)</f>
        <v>#DIV/0!</v>
      </c>
      <c r="D10" s="107" t="e">
        <f>SUM((SUMIF('capacity data'!E:E,"PSO",'capacity data'!G:G))-SUMIF('capacity data'!E:E,"PSO",'capacity data'!H:H))/SUMIF('capacity data'!E:E,"PSO",'capacity data'!G:G)</f>
        <v>#DIV/0!</v>
      </c>
      <c r="E10" s="107" t="e">
        <f>SUM((SUMIF('capacity data'!E:E,"TPO",'capacity data'!G:G))-SUMIF('capacity data'!E:E,"TPO",'capacity data'!H:H))/SUMIF('capacity data'!E:E,"TPO",'capacity data'!G:G)</f>
        <v>#DIV/0!</v>
      </c>
      <c r="F10" s="82" t="e">
        <f>SUM((SUM('capacity data'!G:G)-SUM('capacity data'!H:H))/SUM('capacity data'!G:G))</f>
        <v>#DIV/0!</v>
      </c>
      <c r="G10" s="64"/>
      <c r="H10" s="82" t="e">
        <f>SUMIF('capacity data'!$E:$E,"PSO",'capacity data'!$L:$L)/SUM(SUMIF('capacity data'!$E:$E,"PSO",'capacity data'!$G:$G)-SUMIF('capacity data'!$E:$E,"PSO",'capacity data'!$H:$H))</f>
        <v>#DIV/0!</v>
      </c>
      <c r="I10" s="82" t="e">
        <f>SUMIF('capacity data'!$E:$E,"PSO",'capacity data'!$L:$L)/SUMIF('capacity data'!$E:$E,"PSO",'capacity data'!$G:$G)</f>
        <v>#DIV/0!</v>
      </c>
      <c r="J10" s="64"/>
      <c r="K10" s="82" t="e">
        <f>SUMIF('capacity data'!$E:$E,"TPO",'capacity data'!$L:$L)/SUM(SUMIF('capacity data'!$E:$E,"TPO",'capacity data'!$G:$G)-SUMIF('capacity data'!$E:$E,"TPO",'capacity data'!$H:$H))</f>
        <v>#DIV/0!</v>
      </c>
      <c r="L10" s="82" t="e">
        <f>SUMIF('capacity data'!$E:$E,"TPO",'capacity data'!$L:$L)/SUMIF('capacity data'!$E:$E,"TPO",'capacity data'!$G:$G)</f>
        <v>#DIV/0!</v>
      </c>
    </row>
    <row r="11" spans="1:19" x14ac:dyDescent="0.15">
      <c r="B11" s="68" t="s">
        <v>951</v>
      </c>
      <c r="C11" s="102" t="e">
        <f>+C9-C10</f>
        <v>#DIV/0!</v>
      </c>
      <c r="D11" s="103" t="e">
        <f>+D9-D10</f>
        <v>#DIV/0!</v>
      </c>
      <c r="E11" s="103" t="e">
        <f>+E9-E10</f>
        <v>#DIV/0!</v>
      </c>
      <c r="F11" s="102" t="e">
        <f>+F9-F10</f>
        <v>#DIV/0!</v>
      </c>
      <c r="G11" s="64"/>
      <c r="H11" s="102" t="e">
        <f>+H9-H10</f>
        <v>#DIV/0!</v>
      </c>
      <c r="I11" s="99" t="e">
        <f>+I9-I10</f>
        <v>#DIV/0!</v>
      </c>
      <c r="J11" s="64"/>
      <c r="K11" s="102" t="e">
        <f>+K9-K10</f>
        <v>#DIV/0!</v>
      </c>
      <c r="L11" s="99" t="e">
        <f>+L9-L10</f>
        <v>#DIV/0!</v>
      </c>
    </row>
    <row r="13" spans="1:19" ht="23" x14ac:dyDescent="0.15">
      <c r="B13" s="411" t="s">
        <v>952</v>
      </c>
      <c r="C13" s="412"/>
      <c r="D13" s="412"/>
      <c r="E13" s="412"/>
      <c r="F13" s="412"/>
      <c r="G13" s="412"/>
      <c r="H13" s="412"/>
      <c r="I13" s="412"/>
      <c r="J13" s="412"/>
      <c r="K13" s="412"/>
      <c r="L13" s="412"/>
      <c r="M13" s="412"/>
    </row>
    <row r="14" spans="1:19" ht="63.75" customHeight="1" x14ac:dyDescent="0.15">
      <c r="B14" s="69"/>
      <c r="C14" s="70" t="s">
        <v>953</v>
      </c>
      <c r="D14" s="70" t="s">
        <v>954</v>
      </c>
      <c r="E14" s="70" t="s">
        <v>955</v>
      </c>
      <c r="F14" s="70" t="s">
        <v>956</v>
      </c>
      <c r="G14" s="70" t="s">
        <v>957</v>
      </c>
      <c r="H14" s="70" t="s">
        <v>958</v>
      </c>
      <c r="I14" s="70" t="s">
        <v>959</v>
      </c>
      <c r="J14" s="71" t="s">
        <v>960</v>
      </c>
      <c r="K14" s="70" t="s">
        <v>961</v>
      </c>
      <c r="L14" s="70" t="s">
        <v>962</v>
      </c>
      <c r="M14" s="70" t="s">
        <v>963</v>
      </c>
    </row>
    <row r="15" spans="1:19" ht="20.25" customHeight="1" x14ac:dyDescent="0.15">
      <c r="B15" s="72" t="str">
        <f>B5</f>
        <v>East Midlands Region</v>
      </c>
      <c r="C15" s="213">
        <f>COUNTIFS('capacity data'!A:A,B5,'capacity data'!E:E,"PO")</f>
        <v>0</v>
      </c>
      <c r="D15" s="213">
        <f>COUNTIFS('capacity data'!A:A,B5,'capacity data'!E:E,"PO",'capacity data'!F:F,"&gt;110%")</f>
        <v>0</v>
      </c>
      <c r="E15" s="73" t="e">
        <f>D15/C15</f>
        <v>#DIV/0!</v>
      </c>
      <c r="F15" s="213">
        <f>COUNTIFS('capacity data'!A:A,'divisional &amp; regional overview'!B5,'capacity data'!E:E,"PSO")</f>
        <v>0</v>
      </c>
      <c r="G15" s="213">
        <f>COUNTIFS('capacity data'!A:A,B5,'capacity data'!E:E,"PSO",'capacity data'!F:F,"&gt;110%")</f>
        <v>0</v>
      </c>
      <c r="H15" s="74" t="e">
        <f>G15/F15</f>
        <v>#DIV/0!</v>
      </c>
      <c r="I15" s="213">
        <f>COUNTIFS('capacity data'!A:A,B5,'capacity data'!E:E,"PSO",'capacity data'!F:F,"&lt;90%")</f>
        <v>0</v>
      </c>
      <c r="J15" s="74" t="e">
        <f>I15/F15</f>
        <v>#DIV/0!</v>
      </c>
      <c r="K15" s="213">
        <f>COUNTIFS('capacity data'!A:A,'divisional &amp; regional overview'!B5,'capacity data'!E:E,"TPO")</f>
        <v>0</v>
      </c>
      <c r="L15" s="213">
        <f>COUNTIFS('capacity data'!A:A,B5,'capacity data'!E:E,"TPO",'capacity data'!F:F,"&gt;110%")</f>
        <v>0</v>
      </c>
      <c r="M15" s="67" t="e">
        <f>L15/K15</f>
        <v>#DIV/0!</v>
      </c>
    </row>
    <row r="16" spans="1:19" x14ac:dyDescent="0.15">
      <c r="B16" s="229" t="s">
        <v>964</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62" t="s">
        <v>951</v>
      </c>
      <c r="C17" s="100" t="s">
        <v>965</v>
      </c>
      <c r="D17" s="100" t="s">
        <v>965</v>
      </c>
      <c r="E17" s="101" t="e">
        <f>+E15-E16</f>
        <v>#DIV/0!</v>
      </c>
      <c r="F17" s="100" t="s">
        <v>965</v>
      </c>
      <c r="G17" s="100" t="s">
        <v>965</v>
      </c>
      <c r="H17" s="101" t="e">
        <f>+H15-H16</f>
        <v>#DIV/0!</v>
      </c>
      <c r="I17" s="100" t="s">
        <v>965</v>
      </c>
      <c r="J17" s="101" t="e">
        <f>+J15-J16</f>
        <v>#DIV/0!</v>
      </c>
      <c r="K17" s="100" t="s">
        <v>965</v>
      </c>
      <c r="L17" s="100" t="s">
        <v>965</v>
      </c>
      <c r="M17" s="101" t="e">
        <f>+M15-M16</f>
        <v>#DIV/0!</v>
      </c>
    </row>
    <row r="19" spans="2:13" ht="23" x14ac:dyDescent="0.25">
      <c r="B19" s="407" t="s">
        <v>966</v>
      </c>
      <c r="C19" s="408"/>
      <c r="D19" s="408"/>
      <c r="E19" s="408"/>
      <c r="F19" s="408"/>
      <c r="G19" s="409"/>
      <c r="H19" s="410"/>
    </row>
    <row r="20" spans="2:13" ht="42" x14ac:dyDescent="0.15">
      <c r="B20" s="76"/>
      <c r="C20" s="63" t="s">
        <v>967</v>
      </c>
      <c r="D20" s="63" t="s">
        <v>968</v>
      </c>
      <c r="E20" s="63" t="s">
        <v>969</v>
      </c>
      <c r="F20" s="63" t="s">
        <v>970</v>
      </c>
      <c r="G20" s="219" t="s">
        <v>971</v>
      </c>
      <c r="H20" s="219" t="s">
        <v>972</v>
      </c>
    </row>
    <row r="21" spans="2:13" x14ac:dyDescent="0.15">
      <c r="B21" s="62" t="str">
        <f>B5</f>
        <v>East Midlands Region</v>
      </c>
      <c r="C21" s="75">
        <f>SUMIFS('capacity data'!K:K,'capacity data'!A:A,'divisional &amp; regional overview'!B5,'capacity data'!E:E,"SPO")</f>
        <v>0</v>
      </c>
      <c r="D21" s="75">
        <f>SUMIFS('capacity data'!K:K,'capacity data'!A:A,'divisional &amp; regional overview'!B21,'capacity data'!E:E,"DMY")</f>
        <v>0</v>
      </c>
      <c r="E21" s="75">
        <f>SUM(C21:D21)</f>
        <v>0</v>
      </c>
      <c r="F21" s="77">
        <f>SUMIF('capacity data'!A:A,B21,'capacity data'!K:K)</f>
        <v>0</v>
      </c>
      <c r="G21" s="66" t="e">
        <f>E21/F21</f>
        <v>#DIV/0!</v>
      </c>
      <c r="H21" s="78">
        <f>SUMIF('caseload data'!A:A,'divisional &amp; regional overview'!B99,'caseload data'!U:U)</f>
        <v>0</v>
      </c>
    </row>
    <row r="22" spans="2:13" x14ac:dyDescent="0.15">
      <c r="B22" s="230" t="s">
        <v>964</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83" t="s">
        <v>951</v>
      </c>
      <c r="C23" s="100" t="s">
        <v>965</v>
      </c>
      <c r="D23" s="100" t="s">
        <v>965</v>
      </c>
      <c r="E23" s="100" t="s">
        <v>965</v>
      </c>
      <c r="F23" s="104" t="s">
        <v>965</v>
      </c>
      <c r="G23" s="104" t="e">
        <f>+G21-G22</f>
        <v>#DIV/0!</v>
      </c>
      <c r="H23" s="100" t="s">
        <v>965</v>
      </c>
    </row>
    <row r="26" spans="2:13" ht="23" x14ac:dyDescent="0.25">
      <c r="B26" s="420" t="s">
        <v>973</v>
      </c>
      <c r="C26" s="420"/>
      <c r="D26" s="420"/>
      <c r="E26" s="420"/>
      <c r="F26" s="420"/>
      <c r="G26" s="420"/>
      <c r="H26" s="420"/>
      <c r="I26" s="420"/>
      <c r="J26" s="420"/>
      <c r="K26" s="420"/>
    </row>
    <row r="27" spans="2:13" ht="83.25" customHeight="1" x14ac:dyDescent="0.15">
      <c r="B27" s="84"/>
      <c r="C27" s="219" t="s">
        <v>974</v>
      </c>
      <c r="D27" s="219" t="s">
        <v>975</v>
      </c>
      <c r="E27" s="219" t="s">
        <v>976</v>
      </c>
      <c r="F27" s="219" t="s">
        <v>977</v>
      </c>
      <c r="G27" s="219" t="s">
        <v>978</v>
      </c>
      <c r="H27" s="219" t="s">
        <v>979</v>
      </c>
      <c r="I27" s="219" t="s">
        <v>980</v>
      </c>
      <c r="J27" s="219" t="s">
        <v>981</v>
      </c>
      <c r="K27" s="219" t="s">
        <v>982</v>
      </c>
    </row>
    <row r="28" spans="2:13" x14ac:dyDescent="0.15">
      <c r="B28" s="62" t="str">
        <f>B5</f>
        <v>East Midlands Region</v>
      </c>
      <c r="C28" s="85">
        <f>SUMIFS('capacity data'!I:I,'capacity data'!A:A,B28,'capacity data'!E:E,"PO")</f>
        <v>0</v>
      </c>
      <c r="D28" s="86">
        <f>SUMIFS('capacity data'!J:J,'capacity data'!A:A,B28,'capacity data'!E:E,"PO")</f>
        <v>0</v>
      </c>
      <c r="E28" s="87" t="e">
        <f>D28/C28</f>
        <v>#DIV/0!</v>
      </c>
      <c r="F28" s="86">
        <f>SUMIFS('capacity data'!I:I,'capacity data'!A:A,B28,'capacity data'!E:E,"PSO")</f>
        <v>0</v>
      </c>
      <c r="G28" s="86">
        <f>SUMIFS('capacity data'!J:J,'capacity data'!A:A,B28,'capacity data'!E:E,"PSO")</f>
        <v>0</v>
      </c>
      <c r="H28" s="87" t="e">
        <f>G28/F28</f>
        <v>#DIV/0!</v>
      </c>
      <c r="I28" s="86">
        <f>SUMIFS('capacity data'!I:I,'capacity data'!A:A,B28,'capacity data'!E:E,"TPO")</f>
        <v>0</v>
      </c>
      <c r="J28" s="88">
        <f>SUMIFS('capacity data'!J:J,'capacity data'!A:A,B28,'capacity data'!E:E,"TPO")</f>
        <v>0</v>
      </c>
      <c r="K28" s="87" t="e">
        <f>J28/I28</f>
        <v>#DIV/0!</v>
      </c>
    </row>
    <row r="29" spans="2:13" x14ac:dyDescent="0.15">
      <c r="B29" s="229" t="s">
        <v>983</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951</v>
      </c>
      <c r="C30" s="100" t="s">
        <v>965</v>
      </c>
      <c r="D30" s="100" t="s">
        <v>965</v>
      </c>
      <c r="E30" s="99" t="e">
        <f>+E28-E29</f>
        <v>#DIV/0!</v>
      </c>
      <c r="F30" s="100" t="s">
        <v>965</v>
      </c>
      <c r="G30" s="100" t="s">
        <v>965</v>
      </c>
      <c r="H30" s="99" t="e">
        <f>+H28-H29</f>
        <v>#DIV/0!</v>
      </c>
      <c r="I30" s="100" t="s">
        <v>965</v>
      </c>
      <c r="J30" s="100" t="s">
        <v>965</v>
      </c>
      <c r="K30" s="99" t="e">
        <f>+K28-K29</f>
        <v>#DIV/0!</v>
      </c>
    </row>
    <row r="32" spans="2:13" ht="37.5" customHeight="1" x14ac:dyDescent="0.2">
      <c r="B32" s="421" t="s">
        <v>984</v>
      </c>
      <c r="C32" s="422"/>
      <c r="D32" s="422"/>
      <c r="F32" s="423" t="s">
        <v>985</v>
      </c>
      <c r="G32" s="423"/>
    </row>
    <row r="33" spans="2:7" ht="88.5" customHeight="1" x14ac:dyDescent="0.15">
      <c r="B33" s="76" t="s">
        <v>986</v>
      </c>
      <c r="C33" s="219" t="s">
        <v>987</v>
      </c>
      <c r="D33" s="219" t="s">
        <v>988</v>
      </c>
      <c r="E33" s="64"/>
      <c r="F33" s="215" t="s">
        <v>989</v>
      </c>
      <c r="G33" s="214">
        <f>COUNTIF('reductions data'!A:A,'divisional &amp; regional overview'!B5)</f>
        <v>0</v>
      </c>
    </row>
    <row r="34" spans="2:7" ht="28" x14ac:dyDescent="0.15">
      <c r="B34" s="112" t="s">
        <v>897</v>
      </c>
      <c r="C34" s="89">
        <f>COUNTIFS('reductions data'!$A:$A,'divisional &amp; regional overview'!$B$5,'reductions data'!$G:$G,'divisional &amp; regional overview'!B34)</f>
        <v>0</v>
      </c>
      <c r="D34" s="90">
        <f>SUMIFS('reductions data'!$H:$H,'reductions data'!$A:$A,$B$5,'reductions data'!$G:$G,'divisional &amp; regional overview'!B34)</f>
        <v>0</v>
      </c>
      <c r="E34" s="64"/>
      <c r="F34" s="215" t="s">
        <v>990</v>
      </c>
      <c r="G34" s="214">
        <f>SUMIF('reductions data'!A:A,B5,'reductions data'!H:H)</f>
        <v>0</v>
      </c>
    </row>
    <row r="35" spans="2:7" ht="28" x14ac:dyDescent="0.15">
      <c r="B35" s="113" t="s">
        <v>899</v>
      </c>
      <c r="C35" s="89">
        <f>COUNTIFS('reductions data'!$A:$A,'divisional &amp; regional overview'!$B$5,'reductions data'!$G:$G,'divisional &amp; regional overview'!B35)</f>
        <v>0</v>
      </c>
      <c r="D35" s="90">
        <f>SUMIFS('reductions data'!$H:$H,'reductions data'!$A:$A,$B$5,'reductions data'!$G:$G,'divisional &amp; regional overview'!B35)</f>
        <v>0</v>
      </c>
      <c r="E35" s="64"/>
      <c r="F35" s="213" t="s">
        <v>991</v>
      </c>
      <c r="G35" s="214">
        <f>SUMIF('capacity data'!A:A,B5,'capacity data'!I:I)</f>
        <v>0</v>
      </c>
    </row>
    <row r="36" spans="2:7" ht="28" x14ac:dyDescent="0.15">
      <c r="B36" s="113" t="s">
        <v>898</v>
      </c>
      <c r="C36" s="89">
        <f>COUNTIFS('reductions data'!$A:$A,'divisional &amp; regional overview'!$B$5,'reductions data'!$G:$G,'divisional &amp; regional overview'!B36)</f>
        <v>0</v>
      </c>
      <c r="D36" s="90">
        <f>SUMIFS('reductions data'!$H:$H,'reductions data'!$A:$A,$B$5,'reductions data'!$G:$G,'divisional &amp; regional overview'!B36)</f>
        <v>0</v>
      </c>
      <c r="E36" s="91"/>
      <c r="F36" s="213" t="s">
        <v>992</v>
      </c>
      <c r="G36" s="92" t="e">
        <f>G34/G35</f>
        <v>#DIV/0!</v>
      </c>
    </row>
    <row r="37" spans="2:7" x14ac:dyDescent="0.15">
      <c r="B37" s="113" t="s">
        <v>900</v>
      </c>
      <c r="C37" s="89">
        <f>COUNTIFS('reductions data'!$A:$A,'divisional &amp; regional overview'!$B$5,'reductions data'!$G:$G,'divisional &amp; regional overview'!B37)</f>
        <v>0</v>
      </c>
      <c r="D37" s="90">
        <f>SUMIFS('reductions data'!$H:$H,'reductions data'!$A:$A,$B$5,'reductions data'!$G:$G,'divisional &amp; regional overview'!B37)</f>
        <v>0</v>
      </c>
      <c r="E37" s="91"/>
      <c r="F37" s="416" t="s">
        <v>993</v>
      </c>
      <c r="G37" s="419" t="e">
        <f>+G36-'div &amp; regional reduction hours'!N18</f>
        <v>#DIV/0!</v>
      </c>
    </row>
    <row r="38" spans="2:7" ht="24" customHeight="1" x14ac:dyDescent="0.15">
      <c r="B38" s="113" t="s">
        <v>901</v>
      </c>
      <c r="C38" s="89">
        <f>COUNTIFS('reductions data'!$A:$A,'divisional &amp; regional overview'!$B$5,'reductions data'!$G:$G,'divisional &amp; regional overview'!B38)</f>
        <v>0</v>
      </c>
      <c r="D38" s="90">
        <f>SUMIFS('reductions data'!$H:$H,'reductions data'!$A:$A,$B$5,'reductions data'!$G:$G,'divisional &amp; regional overview'!B38)</f>
        <v>0</v>
      </c>
      <c r="E38" s="91"/>
      <c r="F38" s="417"/>
      <c r="G38" s="418"/>
    </row>
    <row r="39" spans="2:7" x14ac:dyDescent="0.15">
      <c r="B39" s="113" t="s">
        <v>902</v>
      </c>
      <c r="C39" s="89">
        <f>COUNTIFS('reductions data'!$A:$A,'divisional &amp; regional overview'!$B$5,'reductions data'!$G:$G,'divisional &amp; regional overview'!B39)</f>
        <v>0</v>
      </c>
      <c r="D39" s="90">
        <f>SUMIFS('reductions data'!$H:$H,'reductions data'!$A:$A,$B$5,'reductions data'!$G:$G,'divisional &amp; regional overview'!B39)</f>
        <v>0</v>
      </c>
      <c r="E39" s="91"/>
      <c r="F39" s="418"/>
      <c r="G39" s="418"/>
    </row>
    <row r="40" spans="2:7" x14ac:dyDescent="0.15">
      <c r="B40" s="113" t="s">
        <v>903</v>
      </c>
      <c r="C40" s="89">
        <f>COUNTIFS('reductions data'!$A:$A,'divisional &amp; regional overview'!$B$5,'reductions data'!$G:$G,'divisional &amp; regional overview'!B40)</f>
        <v>0</v>
      </c>
      <c r="D40" s="90">
        <f>SUMIFS('reductions data'!$H:$H,'reductions data'!$A:$A,$B$5,'reductions data'!$G:$G,'divisional &amp; regional overview'!B40)</f>
        <v>0</v>
      </c>
      <c r="E40" s="91"/>
      <c r="F40" s="418"/>
      <c r="G40" s="418"/>
    </row>
    <row r="41" spans="2:7" x14ac:dyDescent="0.15">
      <c r="B41" s="113" t="s">
        <v>904</v>
      </c>
      <c r="C41" s="89">
        <f>COUNTIFS('reductions data'!$A:$A,'divisional &amp; regional overview'!$B$5,'reductions data'!$G:$G,'divisional &amp; regional overview'!B41)</f>
        <v>0</v>
      </c>
      <c r="D41" s="90">
        <f>SUMIFS('reductions data'!$H:$H,'reductions data'!$A:$A,$B$5,'reductions data'!$G:$G,'divisional &amp; regional overview'!B41)</f>
        <v>0</v>
      </c>
      <c r="E41" s="91"/>
      <c r="F41" s="91"/>
      <c r="G41" s="64"/>
    </row>
    <row r="42" spans="2:7" x14ac:dyDescent="0.15">
      <c r="B42" s="113" t="s">
        <v>1262</v>
      </c>
      <c r="C42" s="89">
        <f>COUNTIFS('reductions data'!$A:$A,'divisional &amp; regional overview'!$B$5,'reductions data'!$G:$G,'divisional &amp; regional overview'!B42)</f>
        <v>0</v>
      </c>
      <c r="D42" s="90">
        <f>SUMIFS('reductions data'!$H:$H,'reductions data'!$A:$A,$B$5,'reductions data'!$G:$G,'divisional &amp; regional overview'!B42)</f>
        <v>0</v>
      </c>
      <c r="E42" s="91"/>
      <c r="F42" s="91"/>
      <c r="G42" s="64"/>
    </row>
    <row r="43" spans="2:7" x14ac:dyDescent="0.15">
      <c r="B43" s="113" t="s">
        <v>905</v>
      </c>
      <c r="C43" s="89">
        <f>COUNTIFS('reductions data'!$A:$A,'divisional &amp; regional overview'!$B$5,'reductions data'!$G:$G,'divisional &amp; regional overview'!B43)</f>
        <v>0</v>
      </c>
      <c r="D43" s="90">
        <f>SUMIFS('reductions data'!$H:$H,'reductions data'!$A:$A,$B$5,'reductions data'!$G:$G,'divisional &amp; regional overview'!B43)</f>
        <v>0</v>
      </c>
      <c r="E43" s="91"/>
      <c r="F43" s="91"/>
      <c r="G43" s="64"/>
    </row>
    <row r="44" spans="2:7" x14ac:dyDescent="0.15">
      <c r="B44" s="113" t="s">
        <v>906</v>
      </c>
      <c r="C44" s="89">
        <f>COUNTIFS('reductions data'!$A:$A,'divisional &amp; regional overview'!$B$5,'reductions data'!$G:$G,'divisional &amp; regional overview'!B44)</f>
        <v>0</v>
      </c>
      <c r="D44" s="90">
        <f>SUMIFS('reductions data'!$H:$H,'reductions data'!$A:$A,$B$5,'reductions data'!$G:$G,'divisional &amp; regional overview'!B44)</f>
        <v>0</v>
      </c>
      <c r="E44" s="91"/>
      <c r="F44" s="91"/>
      <c r="G44" s="64"/>
    </row>
    <row r="45" spans="2:7" x14ac:dyDescent="0.15">
      <c r="B45" s="113" t="s">
        <v>907</v>
      </c>
      <c r="C45" s="89">
        <f>COUNTIFS('reductions data'!$A:$A,'divisional &amp; regional overview'!$B$5,'reductions data'!$G:$G,'divisional &amp; regional overview'!B45)</f>
        <v>0</v>
      </c>
      <c r="D45" s="90">
        <f>SUMIFS('reductions data'!$H:$H,'reductions data'!$A:$A,$B$5,'reductions data'!$G:$G,'divisional &amp; regional overview'!B45)</f>
        <v>0</v>
      </c>
      <c r="E45" s="91"/>
      <c r="F45" s="91"/>
      <c r="G45" s="64"/>
    </row>
    <row r="46" spans="2:7" x14ac:dyDescent="0.15">
      <c r="B46" s="113" t="s">
        <v>908</v>
      </c>
      <c r="C46" s="89">
        <f>COUNTIFS('reductions data'!$A:$A,'divisional &amp; regional overview'!$B$5,'reductions data'!$G:$G,'divisional &amp; regional overview'!B46)</f>
        <v>0</v>
      </c>
      <c r="D46" s="90">
        <f>SUMIFS('reductions data'!$H:$H,'reductions data'!$A:$A,$B$5,'reductions data'!$G:$G,'divisional &amp; regional overview'!B46)</f>
        <v>0</v>
      </c>
      <c r="E46" s="91"/>
      <c r="F46" s="91"/>
      <c r="G46" s="64"/>
    </row>
    <row r="47" spans="2:7" x14ac:dyDescent="0.15">
      <c r="B47" s="113" t="s">
        <v>910</v>
      </c>
      <c r="C47" s="89">
        <f>COUNTIFS('reductions data'!$A:$A,'divisional &amp; regional overview'!$B$5,'reductions data'!$G:$G,'divisional &amp; regional overview'!B47)</f>
        <v>0</v>
      </c>
      <c r="D47" s="90">
        <f>SUMIFS('reductions data'!$H:$H,'reductions data'!$A:$A,$B$5,'reductions data'!$G:$G,'divisional &amp; regional overview'!B47)</f>
        <v>0</v>
      </c>
      <c r="E47" s="91"/>
      <c r="F47" s="91"/>
      <c r="G47" s="64"/>
    </row>
    <row r="48" spans="2:7" x14ac:dyDescent="0.15">
      <c r="B48" s="113" t="s">
        <v>913</v>
      </c>
      <c r="C48" s="89">
        <f>COUNTIFS('reductions data'!$A:$A,'divisional &amp; regional overview'!$B$5,'reductions data'!$G:$G,'divisional &amp; regional overview'!B48)</f>
        <v>0</v>
      </c>
      <c r="D48" s="90">
        <f>SUMIFS('reductions data'!$H:$H,'reductions data'!$A:$A,$B$5,'reductions data'!$G:$G,'divisional &amp; regional overview'!B48)</f>
        <v>0</v>
      </c>
      <c r="E48" s="91"/>
      <c r="F48" s="91"/>
      <c r="G48" s="64"/>
    </row>
    <row r="49" spans="2:7" x14ac:dyDescent="0.15">
      <c r="B49" s="113" t="s">
        <v>909</v>
      </c>
      <c r="C49" s="89">
        <f>COUNTIFS('reductions data'!$A:$A,'divisional &amp; regional overview'!$B$5,'reductions data'!$G:$G,'divisional &amp; regional overview'!B49)</f>
        <v>0</v>
      </c>
      <c r="D49" s="90">
        <f>SUMIFS('reductions data'!$H:$H,'reductions data'!$A:$A,$B$5,'reductions data'!$G:$G,'divisional &amp; regional overview'!B49)</f>
        <v>0</v>
      </c>
      <c r="E49" s="91"/>
      <c r="F49" s="91"/>
      <c r="G49" s="64"/>
    </row>
    <row r="50" spans="2:7" x14ac:dyDescent="0.15">
      <c r="B50" s="113" t="s">
        <v>994</v>
      </c>
      <c r="C50" s="89">
        <f>COUNTIFS('reductions data'!$A:$A,'divisional &amp; regional overview'!$B$5,'reductions data'!$G:$G,'divisional &amp; regional overview'!B50)</f>
        <v>0</v>
      </c>
      <c r="D50" s="90">
        <f>SUMIFS('reductions data'!$H:$H,'reductions data'!$A:$A,$B$5,'reductions data'!$G:$G,'divisional &amp; regional overview'!B50)</f>
        <v>0</v>
      </c>
      <c r="E50" s="91"/>
      <c r="F50" s="91"/>
      <c r="G50" s="64"/>
    </row>
    <row r="51" spans="2:7" x14ac:dyDescent="0.15">
      <c r="B51" s="113" t="s">
        <v>914</v>
      </c>
      <c r="C51" s="89">
        <f>COUNTIFS('reductions data'!$A:$A,'divisional &amp; regional overview'!$B$5,'reductions data'!$G:$G,'divisional &amp; regional overview'!B51)</f>
        <v>0</v>
      </c>
      <c r="D51" s="90">
        <f>SUMIFS('reductions data'!$H:$H,'reductions data'!$A:$A,$B$5,'reductions data'!$G:$G,'divisional &amp; regional overview'!B51)</f>
        <v>0</v>
      </c>
      <c r="E51" s="91"/>
      <c r="F51" s="91"/>
      <c r="G51" s="64"/>
    </row>
    <row r="52" spans="2:7" x14ac:dyDescent="0.15">
      <c r="B52" s="113" t="s">
        <v>915</v>
      </c>
      <c r="C52" s="89">
        <f>COUNTIFS('reductions data'!$A:$A,'divisional &amp; regional overview'!$B$5,'reductions data'!$G:$G,'divisional &amp; regional overview'!B52)</f>
        <v>0</v>
      </c>
      <c r="D52" s="90">
        <f>SUMIFS('reductions data'!$H:$H,'reductions data'!$A:$A,$B$5,'reductions data'!$G:$G,'divisional &amp; regional overview'!B52)</f>
        <v>0</v>
      </c>
      <c r="E52" s="91"/>
      <c r="F52" s="91"/>
      <c r="G52" s="64"/>
    </row>
    <row r="53" spans="2:7" x14ac:dyDescent="0.15">
      <c r="B53" s="113" t="s">
        <v>916</v>
      </c>
      <c r="C53" s="89">
        <f>COUNTIFS('reductions data'!$A:$A,'divisional &amp; regional overview'!$B$5,'reductions data'!$G:$G,'divisional &amp; regional overview'!B53)</f>
        <v>0</v>
      </c>
      <c r="D53" s="90">
        <f>SUMIFS('reductions data'!$H:$H,'reductions data'!$A:$A,$B$5,'reductions data'!$G:$G,'divisional &amp; regional overview'!B53)</f>
        <v>0</v>
      </c>
      <c r="E53" s="91"/>
      <c r="F53" s="91"/>
      <c r="G53" s="64"/>
    </row>
    <row r="54" spans="2:7" x14ac:dyDescent="0.15">
      <c r="B54" s="113" t="s">
        <v>917</v>
      </c>
      <c r="C54" s="89">
        <f>COUNTIFS('reductions data'!$A:$A,'divisional &amp; regional overview'!$B$5,'reductions data'!$G:$G,'divisional &amp; regional overview'!B54)</f>
        <v>0</v>
      </c>
      <c r="D54" s="90">
        <f>SUMIFS('reductions data'!$H:$H,'reductions data'!$A:$A,$B$5,'reductions data'!$G:$G,'divisional &amp; regional overview'!B54)</f>
        <v>0</v>
      </c>
      <c r="E54" s="91"/>
      <c r="F54" s="91"/>
      <c r="G54" s="64"/>
    </row>
    <row r="55" spans="2:7" x14ac:dyDescent="0.15">
      <c r="B55" s="113" t="s">
        <v>918</v>
      </c>
      <c r="C55" s="89">
        <f>COUNTIFS('reductions data'!$A:$A,'divisional &amp; regional overview'!$B$5,'reductions data'!$G:$G,'divisional &amp; regional overview'!B55)</f>
        <v>0</v>
      </c>
      <c r="D55" s="90">
        <f>SUMIFS('reductions data'!$H:$H,'reductions data'!$A:$A,$B$5,'reductions data'!$G:$G,'divisional &amp; regional overview'!B55)</f>
        <v>0</v>
      </c>
      <c r="E55" s="91"/>
      <c r="F55" s="91"/>
      <c r="G55" s="64"/>
    </row>
    <row r="56" spans="2:7" x14ac:dyDescent="0.15">
      <c r="B56" s="113" t="s">
        <v>919</v>
      </c>
      <c r="C56" s="89">
        <f>COUNTIFS('reductions data'!$A:$A,'divisional &amp; regional overview'!$B$5,'reductions data'!$G:$G,'divisional &amp; regional overview'!B56)</f>
        <v>0</v>
      </c>
      <c r="D56" s="90">
        <f>SUMIFS('reductions data'!$H:$H,'reductions data'!$A:$A,$B$5,'reductions data'!$G:$G,'divisional &amp; regional overview'!B56)</f>
        <v>0</v>
      </c>
      <c r="E56" s="91"/>
      <c r="F56" s="91"/>
      <c r="G56" s="64"/>
    </row>
    <row r="57" spans="2:7" x14ac:dyDescent="0.15">
      <c r="B57" s="113" t="s">
        <v>920</v>
      </c>
      <c r="C57" s="89">
        <f>COUNTIFS('reductions data'!$A:$A,'divisional &amp; regional overview'!$B$5,'reductions data'!$G:$G,'divisional &amp; regional overview'!B57)</f>
        <v>0</v>
      </c>
      <c r="D57" s="90">
        <f>SUMIFS('reductions data'!$H:$H,'reductions data'!$A:$A,$B$5,'reductions data'!$G:$G,'divisional &amp; regional overview'!B57)</f>
        <v>0</v>
      </c>
      <c r="E57" s="91"/>
      <c r="F57" s="91"/>
      <c r="G57" s="64"/>
    </row>
    <row r="58" spans="2:7" x14ac:dyDescent="0.15">
      <c r="B58" s="113" t="s">
        <v>1255</v>
      </c>
      <c r="C58" s="89">
        <f>COUNTIFS('reductions data'!$A:$A,'divisional &amp; regional overview'!$B$5,'reductions data'!$G:$G,'divisional &amp; regional overview'!B58)</f>
        <v>0</v>
      </c>
      <c r="D58" s="90">
        <f>SUMIFS('reductions data'!$H:$H,'reductions data'!$A:$A,$B$5,'reductions data'!$G:$G,'divisional &amp; regional overview'!B58)</f>
        <v>0</v>
      </c>
      <c r="E58" s="91"/>
      <c r="F58" s="91"/>
      <c r="G58" s="64"/>
    </row>
    <row r="59" spans="2:7" x14ac:dyDescent="0.15">
      <c r="B59" s="113" t="s">
        <v>1256</v>
      </c>
      <c r="C59" s="89">
        <f>COUNTIFS('reductions data'!$A:$A,'divisional &amp; regional overview'!$B$5,'reductions data'!$G:$G,'divisional &amp; regional overview'!B59)</f>
        <v>0</v>
      </c>
      <c r="D59" s="90">
        <f>SUMIFS('reductions data'!$H:$H,'reductions data'!$A:$A,$B$5,'reductions data'!$G:$G,'divisional &amp; regional overview'!B59)</f>
        <v>0</v>
      </c>
      <c r="E59" s="91"/>
      <c r="F59" s="91"/>
      <c r="G59" s="64"/>
    </row>
    <row r="60" spans="2:7" x14ac:dyDescent="0.15">
      <c r="B60" s="322" t="s">
        <v>1253</v>
      </c>
      <c r="C60" s="89">
        <f>COUNTIFS('reductions data'!$A:$A,'divisional &amp; regional overview'!$B$5,'reductions data'!$G:$G,'divisional &amp; regional overview'!B60)</f>
        <v>0</v>
      </c>
      <c r="D60" s="90">
        <f>SUMIFS('reductions data'!$H:$H,'reductions data'!$A:$A,$B$5,'reductions data'!$G:$G,'divisional &amp; regional overview'!B60)</f>
        <v>0</v>
      </c>
      <c r="E60" s="91"/>
      <c r="F60" s="91"/>
      <c r="G60" s="64"/>
    </row>
    <row r="61" spans="2:7" x14ac:dyDescent="0.15">
      <c r="B61" s="322" t="s">
        <v>1254</v>
      </c>
      <c r="C61" s="89">
        <f>COUNTIFS('reductions data'!$A:$A,'divisional &amp; regional overview'!$B$5,'reductions data'!$G:$G,'divisional &amp; regional overview'!B61)</f>
        <v>0</v>
      </c>
      <c r="D61" s="90">
        <f>SUMIFS('reductions data'!$H:$H,'reductions data'!$A:$A,$B$5,'reductions data'!$G:$G,'divisional &amp; regional overview'!B61)</f>
        <v>0</v>
      </c>
      <c r="E61" s="91"/>
      <c r="F61" s="91"/>
      <c r="G61" s="64"/>
    </row>
    <row r="62" spans="2:7" x14ac:dyDescent="0.15">
      <c r="B62" s="322" t="s">
        <v>1263</v>
      </c>
      <c r="C62" s="89">
        <f>COUNTIFS('reductions data'!$A:$A,'divisional &amp; regional overview'!$B$5,'reductions data'!$G:$G,'divisional &amp; regional overview'!B62)</f>
        <v>0</v>
      </c>
      <c r="D62" s="90">
        <f>SUMIFS('reductions data'!$H:$H,'reductions data'!$A:$A,$B$5,'reductions data'!$G:$G,'divisional &amp; regional overview'!B62)</f>
        <v>0</v>
      </c>
      <c r="E62" s="91"/>
      <c r="F62" s="91"/>
      <c r="G62" s="64"/>
    </row>
    <row r="63" spans="2:7" x14ac:dyDescent="0.15">
      <c r="B63" s="322" t="s">
        <v>1259</v>
      </c>
      <c r="C63" s="89">
        <f>COUNTIFS('reductions data'!$A:$A,'divisional &amp; regional overview'!$B$5,'reductions data'!$G:$G,'divisional &amp; regional overview'!B63)</f>
        <v>0</v>
      </c>
      <c r="D63" s="90">
        <f>SUMIFS('reductions data'!$H:$H,'reductions data'!$A:$A,$B$5,'reductions data'!$G:$G,'divisional &amp; regional overview'!B63)</f>
        <v>0</v>
      </c>
      <c r="E63" s="91"/>
      <c r="F63" s="91"/>
      <c r="G63" s="64"/>
    </row>
    <row r="64" spans="2:7" x14ac:dyDescent="0.15">
      <c r="B64" s="322" t="s">
        <v>1260</v>
      </c>
      <c r="C64" s="89">
        <f>COUNTIFS('reductions data'!$A:$A,'divisional &amp; regional overview'!$B$5,'reductions data'!$G:$G,'divisional &amp; regional overview'!B64)</f>
        <v>0</v>
      </c>
      <c r="D64" s="90">
        <f>SUMIFS('reductions data'!$H:$H,'reductions data'!$A:$A,$B$5,'reductions data'!$G:$G,'divisional &amp; regional overview'!B64)</f>
        <v>0</v>
      </c>
      <c r="E64" s="91"/>
      <c r="F64" s="91"/>
      <c r="G64" s="64"/>
    </row>
    <row r="65" spans="2:7" x14ac:dyDescent="0.15">
      <c r="B65" s="322" t="s">
        <v>1264</v>
      </c>
      <c r="C65" s="89">
        <f>COUNTIFS('reductions data'!$A:$A,'divisional &amp; regional overview'!$B$5,'reductions data'!$G:$G,'divisional &amp; regional overview'!B65)</f>
        <v>0</v>
      </c>
      <c r="D65" s="90">
        <f>SUMIFS('reductions data'!$H:$H,'reductions data'!$A:$A,$B$5,'reductions data'!$G:$G,'divisional &amp; regional overview'!B65)</f>
        <v>0</v>
      </c>
      <c r="E65" s="91"/>
      <c r="F65" s="91"/>
      <c r="G65" s="64"/>
    </row>
    <row r="66" spans="2:7" x14ac:dyDescent="0.15">
      <c r="B66" s="113" t="s">
        <v>1257</v>
      </c>
      <c r="C66" s="89">
        <f>COUNTIFS('reductions data'!$A:$A,'divisional &amp; regional overview'!$B$5,'reductions data'!$G:$G,'divisional &amp; regional overview'!B66)</f>
        <v>0</v>
      </c>
      <c r="D66" s="90">
        <f>SUMIFS('reductions data'!$H:$H,'reductions data'!$A:$A,$B$5,'reductions data'!$G:$G,'divisional &amp; regional overview'!B66)</f>
        <v>0</v>
      </c>
      <c r="E66" s="91"/>
      <c r="F66" s="91"/>
      <c r="G66" s="64"/>
    </row>
    <row r="67" spans="2:7" x14ac:dyDescent="0.15">
      <c r="B67" s="113" t="s">
        <v>1258</v>
      </c>
      <c r="C67" s="89">
        <f>COUNTIFS('reductions data'!$A:$A,'divisional &amp; regional overview'!$B$5,'reductions data'!$G:$G,'divisional &amp; regional overview'!B67)</f>
        <v>0</v>
      </c>
      <c r="D67" s="90">
        <f>SUMIFS('reductions data'!$H:$H,'reductions data'!$A:$A,$B$5,'reductions data'!$G:$G,'divisional &amp; regional overview'!B67)</f>
        <v>0</v>
      </c>
      <c r="E67" s="91"/>
      <c r="F67" s="91"/>
      <c r="G67" s="64"/>
    </row>
    <row r="68" spans="2:7" x14ac:dyDescent="0.15">
      <c r="B68" s="113" t="s">
        <v>922</v>
      </c>
      <c r="C68" s="89">
        <f>COUNTIFS('reductions data'!$A:$A,'divisional &amp; regional overview'!$B$5,'reductions data'!$G:$G,'divisional &amp; regional overview'!B68)</f>
        <v>0</v>
      </c>
      <c r="D68" s="90">
        <f>SUMIFS('reductions data'!$H:$H,'reductions data'!$A:$A,$B$5,'reductions data'!$G:$G,'divisional &amp; regional overview'!B68)</f>
        <v>0</v>
      </c>
      <c r="E68" s="91"/>
      <c r="F68" s="91"/>
      <c r="G68" s="64"/>
    </row>
    <row r="69" spans="2:7" x14ac:dyDescent="0.15">
      <c r="B69" s="113" t="s">
        <v>923</v>
      </c>
      <c r="C69" s="89">
        <f>COUNTIFS('reductions data'!$A:$A,'divisional &amp; regional overview'!$B$5,'reductions data'!$G:$G,'divisional &amp; regional overview'!B69)</f>
        <v>0</v>
      </c>
      <c r="D69" s="90">
        <f>SUMIFS('reductions data'!$H:$H,'reductions data'!$A:$A,$B$5,'reductions data'!$G:$G,'divisional &amp; regional overview'!B69)</f>
        <v>0</v>
      </c>
      <c r="E69" s="91"/>
      <c r="F69" s="91"/>
      <c r="G69" s="64"/>
    </row>
    <row r="70" spans="2:7" x14ac:dyDescent="0.15">
      <c r="B70" s="113" t="s">
        <v>924</v>
      </c>
      <c r="C70" s="89">
        <f>COUNTIFS('reductions data'!$A:$A,'divisional &amp; regional overview'!$B$5,'reductions data'!$G:$G,'divisional &amp; regional overview'!B70)</f>
        <v>0</v>
      </c>
      <c r="D70" s="90">
        <f>SUMIFS('reductions data'!$H:$H,'reductions data'!$A:$A,$B$5,'reductions data'!$G:$G,'divisional &amp; regional overview'!B70)</f>
        <v>0</v>
      </c>
      <c r="E70" s="91"/>
      <c r="F70" s="91"/>
      <c r="G70" s="64"/>
    </row>
    <row r="71" spans="2:7" x14ac:dyDescent="0.15">
      <c r="B71" s="113" t="s">
        <v>925</v>
      </c>
      <c r="C71" s="89">
        <f>COUNTIFS('reductions data'!$A:$A,'divisional &amp; regional overview'!$B$5,'reductions data'!$G:$G,'divisional &amp; regional overview'!B71)</f>
        <v>0</v>
      </c>
      <c r="D71" s="90">
        <f>SUMIFS('reductions data'!$H:$H,'reductions data'!$A:$A,$B$5,'reductions data'!$G:$G,'divisional &amp; regional overview'!B71)</f>
        <v>0</v>
      </c>
      <c r="E71" s="91"/>
      <c r="F71" s="91"/>
      <c r="G71" s="64"/>
    </row>
    <row r="72" spans="2:7" x14ac:dyDescent="0.15">
      <c r="B72" s="113" t="s">
        <v>926</v>
      </c>
      <c r="C72" s="89">
        <f>COUNTIFS('reductions data'!$A:$A,'divisional &amp; regional overview'!$B$5,'reductions data'!$G:$G,'divisional &amp; regional overview'!B72)</f>
        <v>0</v>
      </c>
      <c r="D72" s="90">
        <f>SUMIFS('reductions data'!$H:$H,'reductions data'!$A:$A,$B$5,'reductions data'!$G:$G,'divisional &amp; regional overview'!B72)</f>
        <v>0</v>
      </c>
      <c r="E72" s="91"/>
      <c r="F72" s="91"/>
      <c r="G72" s="64"/>
    </row>
    <row r="73" spans="2:7" x14ac:dyDescent="0.15">
      <c r="B73" s="113" t="s">
        <v>927</v>
      </c>
      <c r="C73" s="89">
        <f>COUNTIFS('reductions data'!$A:$A,'divisional &amp; regional overview'!$B$5,'reductions data'!$G:$G,'divisional &amp; regional overview'!B73)</f>
        <v>0</v>
      </c>
      <c r="D73" s="90">
        <f>SUMIFS('reductions data'!$H:$H,'reductions data'!$A:$A,$B$5,'reductions data'!$G:$G,'divisional &amp; regional overview'!B73)</f>
        <v>0</v>
      </c>
      <c r="E73" s="91"/>
      <c r="F73" s="91"/>
      <c r="G73" s="64"/>
    </row>
    <row r="74" spans="2:7" x14ac:dyDescent="0.15">
      <c r="B74" s="113" t="s">
        <v>921</v>
      </c>
      <c r="C74" s="89">
        <f>COUNTIFS('reductions data'!$A:$A,'divisional &amp; regional overview'!$B$5,'reductions data'!$G:$G,'divisional &amp; regional overview'!B74)</f>
        <v>0</v>
      </c>
      <c r="D74" s="90">
        <f>SUMIFS('reductions data'!$H:$H,'reductions data'!$A:$A,$B$5,'reductions data'!$G:$G,'divisional &amp; regional overview'!B74)</f>
        <v>0</v>
      </c>
      <c r="E74" s="91"/>
      <c r="F74" s="91"/>
      <c r="G74" s="64"/>
    </row>
    <row r="75" spans="2:7" x14ac:dyDescent="0.15">
      <c r="B75" s="113" t="s">
        <v>928</v>
      </c>
      <c r="C75" s="89">
        <f>COUNTIFS('reductions data'!$A:$A,'divisional &amp; regional overview'!$B$5,'reductions data'!$G:$G,'divisional &amp; regional overview'!B75)</f>
        <v>0</v>
      </c>
      <c r="D75" s="90">
        <f>SUMIFS('reductions data'!$H:$H,'reductions data'!$A:$A,$B$5,'reductions data'!$G:$G,'divisional &amp; regional overview'!B75)</f>
        <v>0</v>
      </c>
      <c r="E75" s="91"/>
      <c r="F75" s="91"/>
      <c r="G75" s="64"/>
    </row>
    <row r="76" spans="2:7" x14ac:dyDescent="0.15">
      <c r="B76" s="113" t="s">
        <v>929</v>
      </c>
      <c r="C76" s="89">
        <f>COUNTIFS('reductions data'!$A:$A,'divisional &amp; regional overview'!$B$5,'reductions data'!$G:$G,'divisional &amp; regional overview'!B76)</f>
        <v>0</v>
      </c>
      <c r="D76" s="90">
        <f>SUMIFS('reductions data'!$H:$H,'reductions data'!$A:$A,$B$5,'reductions data'!$G:$G,'divisional &amp; regional overview'!B76)</f>
        <v>0</v>
      </c>
      <c r="E76" s="91"/>
      <c r="F76" s="91"/>
      <c r="G76" s="64"/>
    </row>
    <row r="77" spans="2:7" x14ac:dyDescent="0.15">
      <c r="B77" s="113" t="s">
        <v>930</v>
      </c>
      <c r="C77" s="89">
        <f>COUNTIFS('reductions data'!$A:$A,'divisional &amp; regional overview'!$B$5,'reductions data'!$G:$G,'divisional &amp; regional overview'!B77)</f>
        <v>0</v>
      </c>
      <c r="D77" s="90">
        <f>SUMIFS('reductions data'!$H:$H,'reductions data'!$A:$A,$B$5,'reductions data'!$G:$G,'divisional &amp; regional overview'!B77)</f>
        <v>0</v>
      </c>
      <c r="E77" s="91"/>
      <c r="F77" s="91"/>
      <c r="G77" s="64"/>
    </row>
    <row r="78" spans="2:7" x14ac:dyDescent="0.15">
      <c r="B78" s="113" t="s">
        <v>931</v>
      </c>
      <c r="C78" s="89">
        <f>COUNTIFS('reductions data'!$A:$A,'divisional &amp; regional overview'!$B$5,'reductions data'!$G:$G,'divisional &amp; regional overview'!B78)</f>
        <v>0</v>
      </c>
      <c r="D78" s="90">
        <f>SUMIFS('reductions data'!$H:$H,'reductions data'!$A:$A,$B$5,'reductions data'!$G:$G,'divisional &amp; regional overview'!B78)</f>
        <v>0</v>
      </c>
      <c r="E78" s="91"/>
      <c r="F78" s="91"/>
      <c r="G78" s="64"/>
    </row>
    <row r="79" spans="2:7" x14ac:dyDescent="0.15">
      <c r="B79" s="113" t="s">
        <v>932</v>
      </c>
      <c r="C79" s="89">
        <f>COUNTIFS('reductions data'!$A:$A,'divisional &amp; regional overview'!$B$5,'reductions data'!$G:$G,'divisional &amp; regional overview'!B79)</f>
        <v>0</v>
      </c>
      <c r="D79" s="90">
        <f>SUMIFS('reductions data'!$H:$H,'reductions data'!$A:$A,$B$5,'reductions data'!$G:$G,'divisional &amp; regional overview'!B79)</f>
        <v>0</v>
      </c>
      <c r="E79" s="91"/>
      <c r="F79" s="91"/>
      <c r="G79" s="64"/>
    </row>
    <row r="80" spans="2:7" x14ac:dyDescent="0.15">
      <c r="B80" s="113" t="s">
        <v>933</v>
      </c>
      <c r="C80" s="89">
        <f>COUNTIFS('reductions data'!$A:$A,'divisional &amp; regional overview'!$B$5,'reductions data'!$G:$G,'divisional &amp; regional overview'!B80)</f>
        <v>0</v>
      </c>
      <c r="D80" s="90">
        <f>SUMIFS('reductions data'!$H:$H,'reductions data'!$A:$A,$B$5,'reductions data'!$G:$G,'divisional &amp; regional overview'!B80)</f>
        <v>0</v>
      </c>
      <c r="E80" s="91"/>
      <c r="F80" s="91"/>
      <c r="G80" s="64"/>
    </row>
    <row r="81" spans="2:19" x14ac:dyDescent="0.15">
      <c r="B81" s="113" t="s">
        <v>934</v>
      </c>
      <c r="C81" s="89">
        <f>COUNTIFS('reductions data'!$A:$A,'divisional &amp; regional overview'!$B$5,'reductions data'!$G:$G,'divisional &amp; regional overview'!B81)</f>
        <v>0</v>
      </c>
      <c r="D81" s="90">
        <f>SUMIFS('reductions data'!$H:$H,'reductions data'!$A:$A,$B$5,'reductions data'!$G:$G,'divisional &amp; regional overview'!B81)</f>
        <v>0</v>
      </c>
      <c r="E81" s="91"/>
      <c r="F81" s="91"/>
      <c r="G81" s="64"/>
    </row>
    <row r="82" spans="2:19" ht="16" x14ac:dyDescent="0.2">
      <c r="B82" s="113" t="s">
        <v>935</v>
      </c>
      <c r="C82" s="89">
        <f>COUNTIFS('reductions data'!$A:$A,'divisional &amp; regional overview'!$B$5,'reductions data'!$G:$G,'divisional &amp; regional overview'!B82)</f>
        <v>0</v>
      </c>
      <c r="D82" s="90">
        <f>SUMIFS('reductions data'!$H:$H,'reductions data'!$A:$A,$B$5,'reductions data'!$G:$G,'divisional &amp; regional overview'!B82)</f>
        <v>0</v>
      </c>
      <c r="E82" s="1"/>
      <c r="F82" s="1"/>
    </row>
    <row r="83" spans="2:19" ht="16" x14ac:dyDescent="0.2">
      <c r="B83" s="323"/>
      <c r="C83" s="324"/>
      <c r="D83" s="325"/>
      <c r="E83" s="1"/>
      <c r="F83" s="1"/>
    </row>
    <row r="84" spans="2:19" ht="16" x14ac:dyDescent="0.2">
      <c r="B84" s="323"/>
      <c r="C84" s="324"/>
      <c r="D84" s="325"/>
      <c r="E84" s="1"/>
      <c r="F84" s="1"/>
    </row>
    <row r="85" spans="2:19" ht="27" customHeight="1" x14ac:dyDescent="0.15">
      <c r="B85" s="21"/>
      <c r="C85" s="425" t="s">
        <v>995</v>
      </c>
      <c r="D85" s="426"/>
      <c r="E85" s="426"/>
      <c r="F85" s="426"/>
      <c r="G85" s="426"/>
      <c r="H85" s="426"/>
      <c r="I85" s="426"/>
      <c r="J85" s="426"/>
      <c r="K85" s="426"/>
      <c r="L85" s="426"/>
      <c r="M85" s="426"/>
      <c r="N85" s="426"/>
      <c r="O85" s="426"/>
      <c r="P85" s="426"/>
      <c r="Q85" s="426"/>
      <c r="R85" s="426"/>
      <c r="S85" s="426"/>
    </row>
    <row r="86" spans="2:19" x14ac:dyDescent="0.15">
      <c r="B86" s="93" t="str">
        <f>B5</f>
        <v>East Midlands Region</v>
      </c>
      <c r="C86" s="38" t="s">
        <v>869</v>
      </c>
      <c r="D86" s="38" t="s">
        <v>870</v>
      </c>
      <c r="E86" s="38" t="s">
        <v>871</v>
      </c>
      <c r="F86" s="38" t="s">
        <v>872</v>
      </c>
      <c r="G86" s="38" t="s">
        <v>873</v>
      </c>
      <c r="H86" s="38" t="s">
        <v>874</v>
      </c>
      <c r="I86" s="38" t="s">
        <v>875</v>
      </c>
      <c r="J86" s="38" t="s">
        <v>876</v>
      </c>
      <c r="K86" s="38" t="s">
        <v>877</v>
      </c>
      <c r="L86" s="38" t="s">
        <v>878</v>
      </c>
      <c r="M86" s="38" t="s">
        <v>879</v>
      </c>
      <c r="N86" s="38" t="s">
        <v>880</v>
      </c>
      <c r="O86" s="38" t="s">
        <v>881</v>
      </c>
      <c r="P86" s="38" t="s">
        <v>882</v>
      </c>
      <c r="Q86" s="38" t="s">
        <v>883</v>
      </c>
      <c r="R86" s="38" t="s">
        <v>884</v>
      </c>
      <c r="S86" s="38" t="s">
        <v>886</v>
      </c>
    </row>
    <row r="87" spans="2:19" x14ac:dyDescent="0.15">
      <c r="B87" s="75" t="s">
        <v>996</v>
      </c>
      <c r="C87" s="94">
        <f>SUMIFS('caseload data'!E:E,'caseload data'!$B:$B,"custody",'caseload data'!$A:$A,$B$86)</f>
        <v>0</v>
      </c>
      <c r="D87" s="94">
        <f>SUMIFS('caseload data'!F:F,'caseload data'!$B:$B,"custody",'caseload data'!$A:$A,$B$86)</f>
        <v>0</v>
      </c>
      <c r="E87" s="94">
        <f>SUMIFS('caseload data'!G:G,'caseload data'!$B:$B,"custody",'caseload data'!$A:$A,$B$86)</f>
        <v>0</v>
      </c>
      <c r="F87" s="94">
        <f>SUMIFS('caseload data'!H:H,'caseload data'!$B:$B,"custody",'caseload data'!$A:$A,$B$86)</f>
        <v>0</v>
      </c>
      <c r="G87" s="94">
        <f>SUMIFS('caseload data'!I:I,'caseload data'!$B:$B,"custody",'caseload data'!$A:$A,$B$86)</f>
        <v>0</v>
      </c>
      <c r="H87" s="94">
        <f>SUMIFS('caseload data'!J:J,'caseload data'!$B:$B,"custody",'caseload data'!$A:$A,$B$86)</f>
        <v>0</v>
      </c>
      <c r="I87" s="94">
        <f>SUMIFS('caseload data'!K:K,'caseload data'!$B:$B,"custody",'caseload data'!$A:$A,$B$86)</f>
        <v>0</v>
      </c>
      <c r="J87" s="94">
        <f>SUMIFS('caseload data'!L:L,'caseload data'!$B:$B,"custody",'caseload data'!$A:$A,$B$86)</f>
        <v>0</v>
      </c>
      <c r="K87" s="94">
        <f>SUMIFS('caseload data'!M:M,'caseload data'!$B:$B,"custody",'caseload data'!$A:$A,$B$86)</f>
        <v>0</v>
      </c>
      <c r="L87" s="94">
        <f>SUMIFS('caseload data'!N:N,'caseload data'!$B:$B,"custody",'caseload data'!$A:$A,$B$86)</f>
        <v>0</v>
      </c>
      <c r="M87" s="94">
        <f>SUMIFS('caseload data'!O:O,'caseload data'!$B:$B,"custody",'caseload data'!$A:$A,$B$86)</f>
        <v>0</v>
      </c>
      <c r="N87" s="94">
        <f>SUMIFS('caseload data'!P:P,'caseload data'!$B:$B,"custody",'caseload data'!$A:$A,$B$86)</f>
        <v>0</v>
      </c>
      <c r="O87" s="94">
        <f>SUMIFS('caseload data'!Q:Q,'caseload data'!$B:$B,"custody",'caseload data'!$A:$A,$B$86)</f>
        <v>0</v>
      </c>
      <c r="P87" s="94">
        <f>SUMIFS('caseload data'!R:R,'caseload data'!$B:$B,"custody",'caseload data'!$A:$A,$B$86)</f>
        <v>0</v>
      </c>
      <c r="Q87" s="94">
        <f>SUMIFS('caseload data'!S:S,'caseload data'!$B:$B,"custody",'caseload data'!$A:$A,$B$86)</f>
        <v>0</v>
      </c>
      <c r="R87" s="94">
        <f>SUMIFS('caseload data'!T:T,'caseload data'!$B:$B,"custody",'caseload data'!$A:$A,$B$86)</f>
        <v>0</v>
      </c>
      <c r="S87" s="94">
        <f>SUMIFS('caseload data'!V:V,'caseload data'!A:A,B86,'caseload data'!B:B,"custody")</f>
        <v>0</v>
      </c>
    </row>
    <row r="88" spans="2:19" x14ac:dyDescent="0.15">
      <c r="B88" s="75" t="s">
        <v>997</v>
      </c>
      <c r="C88" s="75">
        <f>SUMIFS('caseload data'!E:E,'caseload data'!$B:$B,"licence",'caseload data'!$A:$A,$B$86)</f>
        <v>0</v>
      </c>
      <c r="D88" s="75">
        <f>SUMIFS('caseload data'!F:F,'caseload data'!$B:$B,"licence",'caseload data'!$A:$A,$B$86)</f>
        <v>0</v>
      </c>
      <c r="E88" s="75">
        <f>SUMIFS('caseload data'!G:G,'caseload data'!$B:$B,"licence",'caseload data'!$A:$A,$B$86)</f>
        <v>0</v>
      </c>
      <c r="F88" s="75">
        <f>SUMIFS('caseload data'!H:H,'caseload data'!$B:$B,"licence",'caseload data'!$A:$A,$B$86)</f>
        <v>0</v>
      </c>
      <c r="G88" s="75">
        <f>SUMIFS('caseload data'!I:I,'caseload data'!$B:$B,"licence",'caseload data'!$A:$A,$B$86)</f>
        <v>0</v>
      </c>
      <c r="H88" s="75">
        <f>SUMIFS('caseload data'!J:J,'caseload data'!$B:$B,"licence",'caseload data'!$A:$A,$B$86)</f>
        <v>0</v>
      </c>
      <c r="I88" s="75">
        <f>SUMIFS('caseload data'!K:K,'caseload data'!$B:$B,"licence",'caseload data'!$A:$A,$B$86)</f>
        <v>0</v>
      </c>
      <c r="J88" s="75">
        <f>SUMIFS('caseload data'!L:L,'caseload data'!$B:$B,"licence",'caseload data'!$A:$A,$B$86)</f>
        <v>0</v>
      </c>
      <c r="K88" s="75">
        <f>SUMIFS('caseload data'!M:M,'caseload data'!$B:$B,"licence",'caseload data'!$A:$A,$B$86)</f>
        <v>0</v>
      </c>
      <c r="L88" s="75">
        <f>SUMIFS('caseload data'!N:N,'caseload data'!$B:$B,"licence",'caseload data'!$A:$A,$B$86)</f>
        <v>0</v>
      </c>
      <c r="M88" s="75">
        <f>SUMIFS('caseload data'!O:O,'caseload data'!$B:$B,"licence",'caseload data'!$A:$A,$B$86)</f>
        <v>0</v>
      </c>
      <c r="N88" s="75">
        <f>SUMIFS('caseload data'!P:P,'caseload data'!$B:$B,"licence",'caseload data'!$A:$A,$B$86)</f>
        <v>0</v>
      </c>
      <c r="O88" s="75">
        <f>SUMIFS('caseload data'!Q:Q,'caseload data'!$B:$B,"licence",'caseload data'!$A:$A,$B$86)</f>
        <v>0</v>
      </c>
      <c r="P88" s="75">
        <f>SUMIFS('caseload data'!R:R,'caseload data'!$B:$B,"licence",'caseload data'!$A:$A,$B$86)</f>
        <v>0</v>
      </c>
      <c r="Q88" s="75">
        <f>SUMIFS('caseload data'!S:S,'caseload data'!$B:$B,"licence",'caseload data'!$A:$A,$B$86)</f>
        <v>0</v>
      </c>
      <c r="R88" s="75">
        <f>SUMIFS('caseload data'!T:T,'caseload data'!$B:$B,"licence",'caseload data'!$A:$A,$B$86)</f>
        <v>0</v>
      </c>
      <c r="S88" s="75">
        <f>SUMIFS('caseload data'!V:V,'caseload data'!A:A,B86,'caseload data'!B:B,"licence")</f>
        <v>0</v>
      </c>
    </row>
    <row r="89" spans="2:19" x14ac:dyDescent="0.15">
      <c r="B89" s="75" t="s">
        <v>998</v>
      </c>
      <c r="C89" s="75">
        <f>SUMIFS('caseload data'!E:E,'caseload data'!$B:$B,"community",'caseload data'!$A:$A,$B$86)</f>
        <v>0</v>
      </c>
      <c r="D89" s="75">
        <f>SUMIFS('caseload data'!F:F,'caseload data'!$B:$B,"community",'caseload data'!$A:$A,$B$86)</f>
        <v>0</v>
      </c>
      <c r="E89" s="75">
        <f>SUMIFS('caseload data'!G:G,'caseload data'!$B:$B,"community",'caseload data'!$A:$A,$B$86)</f>
        <v>0</v>
      </c>
      <c r="F89" s="75">
        <f>SUMIFS('caseload data'!H:H,'caseload data'!$B:$B,"community",'caseload data'!$A:$A,$B$86)</f>
        <v>0</v>
      </c>
      <c r="G89" s="75">
        <f>SUMIFS('caseload data'!I:I,'caseload data'!$B:$B,"community",'caseload data'!$A:$A,$B$86)</f>
        <v>0</v>
      </c>
      <c r="H89" s="75">
        <f>SUMIFS('caseload data'!J:J,'caseload data'!$B:$B,"community",'caseload data'!$A:$A,$B$86)</f>
        <v>0</v>
      </c>
      <c r="I89" s="75">
        <f>SUMIFS('caseload data'!K:K,'caseload data'!$B:$B,"community",'caseload data'!$A:$A,$B$86)</f>
        <v>0</v>
      </c>
      <c r="J89" s="75">
        <f>SUMIFS('caseload data'!L:L,'caseload data'!$B:$B,"community",'caseload data'!$A:$A,$B$86)</f>
        <v>0</v>
      </c>
      <c r="K89" s="75">
        <f>SUMIFS('caseload data'!M:M,'caseload data'!$B:$B,"community",'caseload data'!$A:$A,$B$86)</f>
        <v>0</v>
      </c>
      <c r="L89" s="75">
        <f>SUMIFS('caseload data'!N:N,'caseload data'!$B:$B,"community",'caseload data'!$A:$A,$B$86)</f>
        <v>0</v>
      </c>
      <c r="M89" s="75">
        <f>SUMIFS('caseload data'!O:O,'caseload data'!$B:$B,"community",'caseload data'!$A:$A,$B$86)</f>
        <v>0</v>
      </c>
      <c r="N89" s="75">
        <f>SUMIFS('caseload data'!P:P,'caseload data'!$B:$B,"community",'caseload data'!$A:$A,$B$86)</f>
        <v>0</v>
      </c>
      <c r="O89" s="75">
        <f>SUMIFS('caseload data'!Q:Q,'caseload data'!$B:$B,"community",'caseload data'!$A:$A,$B$86)</f>
        <v>0</v>
      </c>
      <c r="P89" s="75">
        <f>SUMIFS('caseload data'!R:R,'caseload data'!$B:$B,"community",'caseload data'!$A:$A,$B$86)</f>
        <v>0</v>
      </c>
      <c r="Q89" s="75">
        <f>SUMIFS('caseload data'!S:S,'caseload data'!$B:$B,"community",'caseload data'!$A:$A,$B$86)</f>
        <v>0</v>
      </c>
      <c r="R89" s="75">
        <f>SUMIFS('caseload data'!T:T,'caseload data'!$B:$B,"community",'caseload data'!$A:$A,$B$86)</f>
        <v>0</v>
      </c>
      <c r="S89" s="75">
        <f>SUMIFS('caseload data'!V:V,'caseload data'!A:A,B86,'caseload data'!B:B,"community")</f>
        <v>0</v>
      </c>
    </row>
    <row r="90" spans="2:19" x14ac:dyDescent="0.15">
      <c r="B90" s="110" t="s">
        <v>999</v>
      </c>
      <c r="C90" s="110">
        <f>SUMIF('caseload data'!$A:$A,$B$86,'caseload data'!E:E)</f>
        <v>0</v>
      </c>
      <c r="D90" s="110">
        <f>SUMIF('caseload data'!$A:$A,$B$86,'caseload data'!F:F)</f>
        <v>0</v>
      </c>
      <c r="E90" s="110">
        <f>SUMIF('caseload data'!$A:$A,$B$86,'caseload data'!G:G)</f>
        <v>0</v>
      </c>
      <c r="F90" s="110">
        <f>SUMIF('caseload data'!$A:$A,$B$86,'caseload data'!H:H)</f>
        <v>0</v>
      </c>
      <c r="G90" s="110">
        <f>SUMIF('caseload data'!$A:$A,$B$86,'caseload data'!I:I)</f>
        <v>0</v>
      </c>
      <c r="H90" s="110">
        <f>SUMIF('caseload data'!$A:$A,$B$86,'caseload data'!J:J)</f>
        <v>0</v>
      </c>
      <c r="I90" s="110">
        <f>SUMIF('caseload data'!$A:$A,$B$86,'caseload data'!K:K)</f>
        <v>0</v>
      </c>
      <c r="J90" s="110">
        <f>SUMIF('caseload data'!$A:$A,$B$86,'caseload data'!L:L)</f>
        <v>0</v>
      </c>
      <c r="K90" s="110">
        <f>SUMIF('caseload data'!$A:$A,$B$86,'caseload data'!M:M)</f>
        <v>0</v>
      </c>
      <c r="L90" s="110">
        <f>SUMIF('caseload data'!$A:$A,$B$86,'caseload data'!N:N)</f>
        <v>0</v>
      </c>
      <c r="M90" s="110">
        <f>SUMIF('caseload data'!$A:$A,$B$86,'caseload data'!O:O)</f>
        <v>0</v>
      </c>
      <c r="N90" s="110">
        <f>SUMIF('caseload data'!$A:$A,$B$86,'caseload data'!P:P)</f>
        <v>0</v>
      </c>
      <c r="O90" s="110">
        <f>SUMIF('caseload data'!$A:$A,$B$86,'caseload data'!Q:Q)</f>
        <v>0</v>
      </c>
      <c r="P90" s="110">
        <f>SUMIF('caseload data'!$A:$A,$B$86,'caseload data'!R:R)</f>
        <v>0</v>
      </c>
      <c r="Q90" s="110">
        <f>SUMIF('caseload data'!$A:$A,$B$86,'caseload data'!S:S)</f>
        <v>0</v>
      </c>
      <c r="R90" s="110">
        <f>SUMIF('caseload data'!$A:$A,$B$86,'caseload data'!T:T)</f>
        <v>0</v>
      </c>
      <c r="S90" s="110">
        <f>SUMIF('caseload data'!A:A,B86,'caseload data'!V:V)</f>
        <v>0</v>
      </c>
    </row>
    <row r="91" spans="2:19" x14ac:dyDescent="0.15">
      <c r="B91" s="21"/>
      <c r="C91" s="21"/>
      <c r="D91" s="21"/>
      <c r="E91" s="21"/>
      <c r="F91" s="21"/>
      <c r="G91" s="21"/>
      <c r="H91" s="21"/>
      <c r="I91" s="21"/>
      <c r="J91" s="21"/>
    </row>
    <row r="92" spans="2:19" ht="21.75" customHeight="1" x14ac:dyDescent="0.15">
      <c r="B92" s="21"/>
      <c r="C92" s="425" t="s">
        <v>1000</v>
      </c>
      <c r="D92" s="426"/>
      <c r="E92" s="426"/>
      <c r="F92" s="426"/>
      <c r="G92" s="426"/>
      <c r="H92" s="426"/>
      <c r="I92" s="426"/>
      <c r="J92" s="426"/>
      <c r="K92" s="426"/>
      <c r="L92" s="426"/>
      <c r="M92" s="426"/>
      <c r="N92" s="426"/>
      <c r="O92" s="426"/>
      <c r="P92" s="426"/>
      <c r="Q92" s="426"/>
      <c r="R92" s="426"/>
    </row>
    <row r="93" spans="2:19" x14ac:dyDescent="0.15">
      <c r="B93" s="93" t="str">
        <f>B5</f>
        <v>East Midlands Region</v>
      </c>
      <c r="C93" s="38" t="s">
        <v>869</v>
      </c>
      <c r="D93" s="38" t="s">
        <v>870</v>
      </c>
      <c r="E93" s="38" t="s">
        <v>871</v>
      </c>
      <c r="F93" s="38" t="s">
        <v>872</v>
      </c>
      <c r="G93" s="38" t="s">
        <v>873</v>
      </c>
      <c r="H93" s="38" t="s">
        <v>874</v>
      </c>
      <c r="I93" s="38" t="s">
        <v>875</v>
      </c>
      <c r="J93" s="38" t="s">
        <v>876</v>
      </c>
      <c r="K93" s="38" t="s">
        <v>877</v>
      </c>
      <c r="L93" s="38" t="s">
        <v>878</v>
      </c>
      <c r="M93" s="38" t="s">
        <v>879</v>
      </c>
      <c r="N93" s="38" t="s">
        <v>880</v>
      </c>
      <c r="O93" s="38" t="s">
        <v>881</v>
      </c>
      <c r="P93" s="38" t="s">
        <v>882</v>
      </c>
      <c r="Q93" s="38" t="s">
        <v>883</v>
      </c>
      <c r="R93" s="38" t="s">
        <v>884</v>
      </c>
    </row>
    <row r="94" spans="2:19" x14ac:dyDescent="0.15">
      <c r="B94" s="75" t="s">
        <v>996</v>
      </c>
      <c r="C94" s="66" t="e">
        <f t="shared" ref="C94:R94" si="0">C87/$S$87</f>
        <v>#DIV/0!</v>
      </c>
      <c r="D94" s="66" t="e">
        <f t="shared" si="0"/>
        <v>#DIV/0!</v>
      </c>
      <c r="E94" s="66" t="e">
        <f t="shared" si="0"/>
        <v>#DIV/0!</v>
      </c>
      <c r="F94" s="66" t="e">
        <f t="shared" si="0"/>
        <v>#DIV/0!</v>
      </c>
      <c r="G94" s="66" t="e">
        <f t="shared" si="0"/>
        <v>#DIV/0!</v>
      </c>
      <c r="H94" s="66" t="e">
        <f t="shared" si="0"/>
        <v>#DIV/0!</v>
      </c>
      <c r="I94" s="66" t="e">
        <f t="shared" si="0"/>
        <v>#DIV/0!</v>
      </c>
      <c r="J94" s="66" t="e">
        <f t="shared" si="0"/>
        <v>#DIV/0!</v>
      </c>
      <c r="K94" s="66" t="e">
        <f t="shared" si="0"/>
        <v>#DIV/0!</v>
      </c>
      <c r="L94" s="66" t="e">
        <f t="shared" si="0"/>
        <v>#DIV/0!</v>
      </c>
      <c r="M94" s="66" t="e">
        <f t="shared" si="0"/>
        <v>#DIV/0!</v>
      </c>
      <c r="N94" s="66" t="e">
        <f t="shared" si="0"/>
        <v>#DIV/0!</v>
      </c>
      <c r="O94" s="66" t="e">
        <f t="shared" si="0"/>
        <v>#DIV/0!</v>
      </c>
      <c r="P94" s="66" t="e">
        <f t="shared" si="0"/>
        <v>#DIV/0!</v>
      </c>
      <c r="Q94" s="66" t="e">
        <f t="shared" si="0"/>
        <v>#DIV/0!</v>
      </c>
      <c r="R94" s="66" t="e">
        <f t="shared" si="0"/>
        <v>#DIV/0!</v>
      </c>
    </row>
    <row r="95" spans="2:19" x14ac:dyDescent="0.15">
      <c r="B95" s="75" t="s">
        <v>997</v>
      </c>
      <c r="C95" s="66" t="e">
        <f t="shared" ref="C95:R95" si="1">C88/$S$88</f>
        <v>#DIV/0!</v>
      </c>
      <c r="D95" s="66" t="e">
        <f t="shared" si="1"/>
        <v>#DIV/0!</v>
      </c>
      <c r="E95" s="66" t="e">
        <f t="shared" si="1"/>
        <v>#DIV/0!</v>
      </c>
      <c r="F95" s="66" t="e">
        <f t="shared" si="1"/>
        <v>#DIV/0!</v>
      </c>
      <c r="G95" s="66" t="e">
        <f t="shared" si="1"/>
        <v>#DIV/0!</v>
      </c>
      <c r="H95" s="66" t="e">
        <f t="shared" si="1"/>
        <v>#DIV/0!</v>
      </c>
      <c r="I95" s="66" t="e">
        <f t="shared" si="1"/>
        <v>#DIV/0!</v>
      </c>
      <c r="J95" s="66" t="e">
        <f t="shared" si="1"/>
        <v>#DIV/0!</v>
      </c>
      <c r="K95" s="66" t="e">
        <f t="shared" si="1"/>
        <v>#DIV/0!</v>
      </c>
      <c r="L95" s="66" t="e">
        <f t="shared" si="1"/>
        <v>#DIV/0!</v>
      </c>
      <c r="M95" s="66" t="e">
        <f t="shared" si="1"/>
        <v>#DIV/0!</v>
      </c>
      <c r="N95" s="66" t="e">
        <f t="shared" si="1"/>
        <v>#DIV/0!</v>
      </c>
      <c r="O95" s="66" t="e">
        <f t="shared" si="1"/>
        <v>#DIV/0!</v>
      </c>
      <c r="P95" s="66" t="e">
        <f t="shared" si="1"/>
        <v>#DIV/0!</v>
      </c>
      <c r="Q95" s="66" t="e">
        <f t="shared" si="1"/>
        <v>#DIV/0!</v>
      </c>
      <c r="R95" s="66" t="e">
        <f t="shared" si="1"/>
        <v>#DIV/0!</v>
      </c>
    </row>
    <row r="96" spans="2:19" x14ac:dyDescent="0.15">
      <c r="B96" s="75" t="s">
        <v>998</v>
      </c>
      <c r="C96" s="66" t="e">
        <f t="shared" ref="C96:R96" si="2">C89/$S$89</f>
        <v>#DIV/0!</v>
      </c>
      <c r="D96" s="66" t="e">
        <f t="shared" si="2"/>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si="2"/>
        <v>#DIV/0!</v>
      </c>
      <c r="R96" s="66" t="e">
        <f t="shared" si="2"/>
        <v>#DIV/0!</v>
      </c>
    </row>
    <row r="97" spans="2:37" x14ac:dyDescent="0.15">
      <c r="B97" s="110" t="s">
        <v>999</v>
      </c>
      <c r="C97" s="99" t="e">
        <f t="shared" ref="C97:R97" si="3">C90/$S$90</f>
        <v>#DIV/0!</v>
      </c>
      <c r="D97" s="99" t="e">
        <f t="shared" si="3"/>
        <v>#DIV/0!</v>
      </c>
      <c r="E97" s="99" t="e">
        <f t="shared" si="3"/>
        <v>#DIV/0!</v>
      </c>
      <c r="F97" s="99" t="e">
        <f t="shared" si="3"/>
        <v>#DIV/0!</v>
      </c>
      <c r="G97" s="99" t="e">
        <f t="shared" si="3"/>
        <v>#DIV/0!</v>
      </c>
      <c r="H97" s="99" t="e">
        <f t="shared" si="3"/>
        <v>#DIV/0!</v>
      </c>
      <c r="I97" s="99" t="e">
        <f t="shared" si="3"/>
        <v>#DIV/0!</v>
      </c>
      <c r="J97" s="99" t="e">
        <f t="shared" si="3"/>
        <v>#DIV/0!</v>
      </c>
      <c r="K97" s="99" t="e">
        <f t="shared" si="3"/>
        <v>#DIV/0!</v>
      </c>
      <c r="L97" s="99" t="e">
        <f t="shared" si="3"/>
        <v>#DIV/0!</v>
      </c>
      <c r="M97" s="99" t="e">
        <f t="shared" si="3"/>
        <v>#DIV/0!</v>
      </c>
      <c r="N97" s="99" t="e">
        <f t="shared" si="3"/>
        <v>#DIV/0!</v>
      </c>
      <c r="O97" s="99" t="e">
        <f t="shared" si="3"/>
        <v>#DIV/0!</v>
      </c>
      <c r="P97" s="99" t="e">
        <f t="shared" si="3"/>
        <v>#DIV/0!</v>
      </c>
      <c r="Q97" s="99" t="e">
        <f t="shared" si="3"/>
        <v>#DIV/0!</v>
      </c>
      <c r="R97" s="99" t="e">
        <f t="shared" si="3"/>
        <v>#DIV/0!</v>
      </c>
    </row>
    <row r="98" spans="2:37" x14ac:dyDescent="0.15">
      <c r="B98" s="21"/>
      <c r="C98" s="21"/>
      <c r="D98" s="21"/>
      <c r="E98" s="21"/>
      <c r="F98" s="21"/>
      <c r="G98" s="21"/>
      <c r="H98" s="21"/>
      <c r="I98" s="21"/>
      <c r="J98" s="21"/>
    </row>
    <row r="99" spans="2:37" ht="23.25" customHeight="1" x14ac:dyDescent="0.2">
      <c r="B99" s="52" t="str">
        <f>B5</f>
        <v>East Midlands Region</v>
      </c>
      <c r="C99" s="425" t="s">
        <v>1003</v>
      </c>
      <c r="D99" s="426"/>
      <c r="E99" s="426"/>
      <c r="F99" s="426"/>
      <c r="G99" s="426"/>
      <c r="H99" s="426"/>
      <c r="I99" s="426"/>
      <c r="J99" s="426"/>
      <c r="K99" s="426"/>
      <c r="L99" s="426"/>
      <c r="M99" s="426"/>
      <c r="N99" s="426"/>
      <c r="O99" s="426"/>
      <c r="P99" s="426"/>
      <c r="Q99" s="426"/>
      <c r="R99" s="426"/>
      <c r="U99" s="52" t="str">
        <f>B5</f>
        <v>East Midlands Region</v>
      </c>
      <c r="V99" s="414" t="s">
        <v>1004</v>
      </c>
      <c r="W99" s="415"/>
      <c r="X99" s="415"/>
      <c r="Y99" s="415"/>
      <c r="Z99" s="415"/>
      <c r="AA99" s="415"/>
      <c r="AB99" s="415"/>
      <c r="AC99" s="415"/>
      <c r="AD99" s="415"/>
      <c r="AE99" s="415"/>
      <c r="AF99" s="415"/>
      <c r="AG99" s="415"/>
      <c r="AH99" s="415"/>
      <c r="AI99" s="415"/>
      <c r="AJ99" s="415"/>
      <c r="AK99" s="415"/>
    </row>
    <row r="100" spans="2:37" ht="18" x14ac:dyDescent="0.2">
      <c r="B100" s="283" t="s">
        <v>1005</v>
      </c>
      <c r="C100" s="38" t="s">
        <v>869</v>
      </c>
      <c r="D100" s="38" t="s">
        <v>870</v>
      </c>
      <c r="E100" s="38" t="s">
        <v>871</v>
      </c>
      <c r="F100" s="38" t="s">
        <v>872</v>
      </c>
      <c r="G100" s="38" t="s">
        <v>873</v>
      </c>
      <c r="H100" s="38" t="s">
        <v>874</v>
      </c>
      <c r="I100" s="38" t="s">
        <v>875</v>
      </c>
      <c r="J100" s="38" t="s">
        <v>876</v>
      </c>
      <c r="K100" s="38" t="s">
        <v>877</v>
      </c>
      <c r="L100" s="38" t="s">
        <v>878</v>
      </c>
      <c r="M100" s="38" t="s">
        <v>879</v>
      </c>
      <c r="N100" s="38" t="s">
        <v>880</v>
      </c>
      <c r="O100" s="38" t="s">
        <v>881</v>
      </c>
      <c r="P100" s="38" t="s">
        <v>882</v>
      </c>
      <c r="Q100" s="38" t="s">
        <v>883</v>
      </c>
      <c r="R100" s="38" t="s">
        <v>884</v>
      </c>
      <c r="U100" s="95" t="s">
        <v>1006</v>
      </c>
      <c r="V100" s="38" t="s">
        <v>869</v>
      </c>
      <c r="W100" s="38" t="s">
        <v>870</v>
      </c>
      <c r="X100" s="38" t="s">
        <v>871</v>
      </c>
      <c r="Y100" s="38" t="s">
        <v>872</v>
      </c>
      <c r="Z100" s="38" t="s">
        <v>873</v>
      </c>
      <c r="AA100" s="38" t="s">
        <v>874</v>
      </c>
      <c r="AB100" s="38" t="s">
        <v>875</v>
      </c>
      <c r="AC100" s="38" t="s">
        <v>876</v>
      </c>
      <c r="AD100" s="38" t="s">
        <v>877</v>
      </c>
      <c r="AE100" s="38" t="s">
        <v>878</v>
      </c>
      <c r="AF100" s="38" t="s">
        <v>879</v>
      </c>
      <c r="AG100" s="38" t="s">
        <v>880</v>
      </c>
      <c r="AH100" s="38" t="s">
        <v>881</v>
      </c>
      <c r="AI100" s="38" t="s">
        <v>882</v>
      </c>
      <c r="AJ100" s="38" t="s">
        <v>883</v>
      </c>
      <c r="AK100" s="38" t="s">
        <v>884</v>
      </c>
    </row>
    <row r="101" spans="2:37" x14ac:dyDescent="0.15">
      <c r="B101" s="96" t="s">
        <v>1002</v>
      </c>
      <c r="C101" s="94">
        <f>SUMIFS('caseload data'!E:E,'caseload data'!$D:$D,"PO",'caseload data'!$A:$A,'divisional &amp; regional overview'!$B$99,'caseload data'!$B:$B,"community")</f>
        <v>0</v>
      </c>
      <c r="D101" s="94">
        <f>SUMIFS('caseload data'!F:F,'caseload data'!$D:$D,"PO",'caseload data'!$A:$A,'divisional &amp; regional overview'!$B$99,'caseload data'!$B:$B,"community")</f>
        <v>0</v>
      </c>
      <c r="E101" s="94">
        <f>SUMIFS('caseload data'!G:G,'caseload data'!$D:$D,"PO",'caseload data'!$A:$A,'divisional &amp; regional overview'!$B$99,'caseload data'!$B:$B,"community")</f>
        <v>0</v>
      </c>
      <c r="F101" s="94">
        <f>SUMIFS('caseload data'!H:H,'caseload data'!$D:$D,"PO",'caseload data'!$A:$A,'divisional &amp; regional overview'!$B$99,'caseload data'!$B:$B,"community")</f>
        <v>0</v>
      </c>
      <c r="G101" s="94">
        <f>SUMIFS('caseload data'!I:I,'caseload data'!$D:$D,"PO",'caseload data'!$A:$A,'divisional &amp; regional overview'!$B$99,'caseload data'!$B:$B,"community")</f>
        <v>0</v>
      </c>
      <c r="H101" s="94">
        <f>SUMIFS('caseload data'!J:J,'caseload data'!$D:$D,"PO",'caseload data'!$A:$A,'divisional &amp; regional overview'!$B$99,'caseload data'!$B:$B,"community")</f>
        <v>0</v>
      </c>
      <c r="I101" s="94">
        <f>SUMIFS('caseload data'!K:K,'caseload data'!$D:$D,"PO",'caseload data'!$A:$A,'divisional &amp; regional overview'!$B$99,'caseload data'!$B:$B,"community")</f>
        <v>0</v>
      </c>
      <c r="J101" s="94">
        <f>SUMIFS('caseload data'!L:L,'caseload data'!$D:$D,"PO",'caseload data'!$A:$A,'divisional &amp; regional overview'!$B$99,'caseload data'!$B:$B,"community")</f>
        <v>0</v>
      </c>
      <c r="K101" s="94">
        <f>SUMIFS('caseload data'!M:M,'caseload data'!$D:$D,"PO",'caseload data'!$A:$A,'divisional &amp; regional overview'!$B$99,'caseload data'!$B:$B,"community")</f>
        <v>0</v>
      </c>
      <c r="L101" s="94">
        <f>SUMIFS('caseload data'!N:N,'caseload data'!$D:$D,"PO",'caseload data'!$A:$A,'divisional &amp; regional overview'!$B$99,'caseload data'!$B:$B,"community")</f>
        <v>0</v>
      </c>
      <c r="M101" s="94">
        <f>SUMIFS('caseload data'!O:O,'caseload data'!$D:$D,"PO",'caseload data'!$A:$A,'divisional &amp; regional overview'!$B$99,'caseload data'!$B:$B,"community")</f>
        <v>0</v>
      </c>
      <c r="N101" s="94">
        <f>SUMIFS('caseload data'!P:P,'caseload data'!$D:$D,"PO",'caseload data'!$A:$A,'divisional &amp; regional overview'!$B$99,'caseload data'!$B:$B,"community")</f>
        <v>0</v>
      </c>
      <c r="O101" s="94">
        <f>SUMIFS('caseload data'!Q:Q,'caseload data'!$D:$D,"PO",'caseload data'!$A:$A,'divisional &amp; regional overview'!$B$99,'caseload data'!$B:$B,"community")</f>
        <v>0</v>
      </c>
      <c r="P101" s="94">
        <f>SUMIFS('caseload data'!R:R,'caseload data'!$D:$D,"PO",'caseload data'!$A:$A,'divisional &amp; regional overview'!$B$99,'caseload data'!$B:$B,"community")</f>
        <v>0</v>
      </c>
      <c r="Q101" s="94">
        <f>SUMIFS('caseload data'!S:S,'caseload data'!$D:$D,"PO",'caseload data'!$A:$A,'divisional &amp; regional overview'!$B$99,'caseload data'!$B:$B,"community")</f>
        <v>0</v>
      </c>
      <c r="R101" s="94">
        <f>SUMIFS('caseload data'!T:T,'caseload data'!$D:$D,"PO",'caseload data'!$A:$A,'divisional &amp; regional overview'!$B$99,'caseload data'!$B:$B,"community")</f>
        <v>0</v>
      </c>
      <c r="U101" s="96" t="s">
        <v>1002</v>
      </c>
      <c r="V101" s="167" t="e">
        <f>C$101/SUM(C$101:C$104)</f>
        <v>#DIV/0!</v>
      </c>
      <c r="W101" s="167" t="e">
        <f>D$101/SUM(D$101:D$104)</f>
        <v>#DIV/0!</v>
      </c>
      <c r="X101" s="167" t="e">
        <f t="shared" ref="X101:AK101" si="4">E$101/SUM(E$101:E$104)</f>
        <v>#DIV/0!</v>
      </c>
      <c r="Y101" s="167" t="e">
        <f t="shared" si="4"/>
        <v>#DIV/0!</v>
      </c>
      <c r="Z101" s="167" t="e">
        <f t="shared" si="4"/>
        <v>#DIV/0!</v>
      </c>
      <c r="AA101" s="167" t="e">
        <f t="shared" si="4"/>
        <v>#DIV/0!</v>
      </c>
      <c r="AB101" s="167" t="e">
        <f t="shared" si="4"/>
        <v>#DIV/0!</v>
      </c>
      <c r="AC101" s="167" t="e">
        <f t="shared" si="4"/>
        <v>#DIV/0!</v>
      </c>
      <c r="AD101" s="167" t="e">
        <f t="shared" si="4"/>
        <v>#DIV/0!</v>
      </c>
      <c r="AE101" s="167" t="e">
        <f t="shared" si="4"/>
        <v>#DIV/0!</v>
      </c>
      <c r="AF101" s="167" t="e">
        <f t="shared" si="4"/>
        <v>#DIV/0!</v>
      </c>
      <c r="AG101" s="167" t="e">
        <f t="shared" si="4"/>
        <v>#DIV/0!</v>
      </c>
      <c r="AH101" s="167" t="e">
        <f t="shared" si="4"/>
        <v>#DIV/0!</v>
      </c>
      <c r="AI101" s="167" t="e">
        <f t="shared" si="4"/>
        <v>#DIV/0!</v>
      </c>
      <c r="AJ101" s="167" t="e">
        <f t="shared" si="4"/>
        <v>#DIV/0!</v>
      </c>
      <c r="AK101" s="167" t="e">
        <f t="shared" si="4"/>
        <v>#DIV/0!</v>
      </c>
    </row>
    <row r="102" spans="2:37" x14ac:dyDescent="0.15">
      <c r="B102" s="97" t="s">
        <v>1007</v>
      </c>
      <c r="C102" s="94">
        <f>SUMIFS('caseload data'!E:E,'caseload data'!$D:$D,"PSO",'caseload data'!$A:$A,'divisional &amp; regional overview'!$B$99,'caseload data'!$B:$B,"community")</f>
        <v>0</v>
      </c>
      <c r="D102" s="94">
        <f>SUMIFS('caseload data'!F:F,'caseload data'!$D:$D,"PSO",'caseload data'!$A:$A,'divisional &amp; regional overview'!$B$99,'caseload data'!$B:$B,"community")</f>
        <v>0</v>
      </c>
      <c r="E102" s="94">
        <f>SUMIFS('caseload data'!G:G,'caseload data'!$D:$D,"PSO",'caseload data'!$A:$A,'divisional &amp; regional overview'!$B$99,'caseload data'!$B:$B,"community")</f>
        <v>0</v>
      </c>
      <c r="F102" s="94">
        <f>SUMIFS('caseload data'!H:H,'caseload data'!$D:$D,"PSO",'caseload data'!$A:$A,'divisional &amp; regional overview'!$B$99,'caseload data'!$B:$B,"community")</f>
        <v>0</v>
      </c>
      <c r="G102" s="94">
        <f>SUMIFS('caseload data'!I:I,'caseload data'!$D:$D,"PSO",'caseload data'!$A:$A,'divisional &amp; regional overview'!$B$99,'caseload data'!$B:$B,"community")</f>
        <v>0</v>
      </c>
      <c r="H102" s="94">
        <f>SUMIFS('caseload data'!J:J,'caseload data'!$D:$D,"PSO",'caseload data'!$A:$A,'divisional &amp; regional overview'!$B$99,'caseload data'!$B:$B,"community")</f>
        <v>0</v>
      </c>
      <c r="I102" s="94">
        <f>SUMIFS('caseload data'!K:K,'caseload data'!$D:$D,"PSO",'caseload data'!$A:$A,'divisional &amp; regional overview'!$B$99,'caseload data'!$B:$B,"community")</f>
        <v>0</v>
      </c>
      <c r="J102" s="94">
        <f>SUMIFS('caseload data'!L:L,'caseload data'!$D:$D,"PSO",'caseload data'!$A:$A,'divisional &amp; regional overview'!$B$99,'caseload data'!$B:$B,"community")</f>
        <v>0</v>
      </c>
      <c r="K102" s="94">
        <f>SUMIFS('caseload data'!M:M,'caseload data'!$D:$D,"PSO",'caseload data'!$A:$A,'divisional &amp; regional overview'!$B$99,'caseload data'!$B:$B,"community")</f>
        <v>0</v>
      </c>
      <c r="L102" s="94">
        <f>SUMIFS('caseload data'!N:N,'caseload data'!$D:$D,"PSO",'caseload data'!$A:$A,'divisional &amp; regional overview'!$B$99,'caseload data'!$B:$B,"community")</f>
        <v>0</v>
      </c>
      <c r="M102" s="94">
        <f>SUMIFS('caseload data'!O:O,'caseload data'!$D:$D,"PSO",'caseload data'!$A:$A,'divisional &amp; regional overview'!$B$99,'caseload data'!$B:$B,"community")</f>
        <v>0</v>
      </c>
      <c r="N102" s="94">
        <f>SUMIFS('caseload data'!P:P,'caseload data'!$D:$D,"PSO",'caseload data'!$A:$A,'divisional &amp; regional overview'!$B$99,'caseload data'!$B:$B,"community")</f>
        <v>0</v>
      </c>
      <c r="O102" s="94">
        <f>SUMIFS('caseload data'!Q:Q,'caseload data'!$D:$D,"PSO",'caseload data'!$A:$A,'divisional &amp; regional overview'!$B$99,'caseload data'!$B:$B,"community")</f>
        <v>0</v>
      </c>
      <c r="P102" s="94">
        <f>SUMIFS('caseload data'!R:R,'caseload data'!$D:$D,"PSO",'caseload data'!$A:$A,'divisional &amp; regional overview'!$B$99,'caseload data'!$B:$B,"community")</f>
        <v>0</v>
      </c>
      <c r="Q102" s="94">
        <f>SUMIFS('caseload data'!S:S,'caseload data'!$D:$D,"PSO",'caseload data'!$A:$A,'divisional &amp; regional overview'!$B$99,'caseload data'!$B:$B,"community")</f>
        <v>0</v>
      </c>
      <c r="R102" s="94">
        <f>SUMIFS('caseload data'!T:T,'caseload data'!$D:$D,"PSO",'caseload data'!$A:$A,'divisional &amp; regional overview'!$B$99,'caseload data'!$B:$B,"community")</f>
        <v>0</v>
      </c>
      <c r="U102" s="97" t="s">
        <v>1007</v>
      </c>
      <c r="V102" s="167" t="e">
        <f>C$102/SUM(C$101:C$104)</f>
        <v>#DIV/0!</v>
      </c>
      <c r="W102" s="167" t="e">
        <f>D$102/SUM(D$101:D$104)</f>
        <v>#DIV/0!</v>
      </c>
      <c r="X102" s="167" t="e">
        <f t="shared" ref="X102:AK102" si="5">E$102/SUM(E$101:E$104)</f>
        <v>#DIV/0!</v>
      </c>
      <c r="Y102" s="167" t="e">
        <f t="shared" si="5"/>
        <v>#DIV/0!</v>
      </c>
      <c r="Z102" s="167" t="e">
        <f t="shared" si="5"/>
        <v>#DIV/0!</v>
      </c>
      <c r="AA102" s="167" t="e">
        <f t="shared" si="5"/>
        <v>#DIV/0!</v>
      </c>
      <c r="AB102" s="167" t="e">
        <f t="shared" si="5"/>
        <v>#DIV/0!</v>
      </c>
      <c r="AC102" s="167" t="e">
        <f t="shared" si="5"/>
        <v>#DIV/0!</v>
      </c>
      <c r="AD102" s="167" t="e">
        <f t="shared" si="5"/>
        <v>#DIV/0!</v>
      </c>
      <c r="AE102" s="167" t="e">
        <f t="shared" si="5"/>
        <v>#DIV/0!</v>
      </c>
      <c r="AF102" s="167" t="e">
        <f t="shared" si="5"/>
        <v>#DIV/0!</v>
      </c>
      <c r="AG102" s="167" t="e">
        <f t="shared" si="5"/>
        <v>#DIV/0!</v>
      </c>
      <c r="AH102" s="167" t="e">
        <f t="shared" si="5"/>
        <v>#DIV/0!</v>
      </c>
      <c r="AI102" s="167" t="e">
        <f t="shared" si="5"/>
        <v>#DIV/0!</v>
      </c>
      <c r="AJ102" s="167" t="e">
        <f t="shared" si="5"/>
        <v>#DIV/0!</v>
      </c>
      <c r="AK102" s="167" t="e">
        <f t="shared" si="5"/>
        <v>#DIV/0!</v>
      </c>
    </row>
    <row r="103" spans="2:37" x14ac:dyDescent="0.15">
      <c r="B103" s="97" t="s">
        <v>1008</v>
      </c>
      <c r="C103" s="94">
        <f>SUMIFS('caseload data'!E:E,'caseload data'!$D:$D,"TPO",'caseload data'!$A:$A,'divisional &amp; regional overview'!$B$99,'caseload data'!$B:$B,"community")</f>
        <v>0</v>
      </c>
      <c r="D103" s="94">
        <f>SUMIFS('caseload data'!F:F,'caseload data'!$D:$D,"TPO",'caseload data'!$A:$A,'divisional &amp; regional overview'!$B$99,'caseload data'!$B:$B,"community")</f>
        <v>0</v>
      </c>
      <c r="E103" s="94">
        <f>SUMIFS('caseload data'!G:G,'caseload data'!$D:$D,"TPO",'caseload data'!$A:$A,'divisional &amp; regional overview'!$B$99,'caseload data'!$B:$B,"community")</f>
        <v>0</v>
      </c>
      <c r="F103" s="94">
        <f>SUMIFS('caseload data'!H:H,'caseload data'!$D:$D,"TPO",'caseload data'!$A:$A,'divisional &amp; regional overview'!$B$99,'caseload data'!$B:$B,"community")</f>
        <v>0</v>
      </c>
      <c r="G103" s="94">
        <f>SUMIFS('caseload data'!I:I,'caseload data'!$D:$D,"TPO",'caseload data'!$A:$A,'divisional &amp; regional overview'!$B$99,'caseload data'!$B:$B,"community")</f>
        <v>0</v>
      </c>
      <c r="H103" s="94">
        <f>SUMIFS('caseload data'!J:J,'caseload data'!$D:$D,"TPO",'caseload data'!$A:$A,'divisional &amp; regional overview'!$B$99,'caseload data'!$B:$B,"community")</f>
        <v>0</v>
      </c>
      <c r="I103" s="94">
        <f>SUMIFS('caseload data'!K:K,'caseload data'!$D:$D,"TPO",'caseload data'!$A:$A,'divisional &amp; regional overview'!$B$99,'caseload data'!$B:$B,"community")</f>
        <v>0</v>
      </c>
      <c r="J103" s="94">
        <f>SUMIFS('caseload data'!L:L,'caseload data'!$D:$D,"TPO",'caseload data'!$A:$A,'divisional &amp; regional overview'!$B$99,'caseload data'!$B:$B,"community")</f>
        <v>0</v>
      </c>
      <c r="K103" s="94">
        <f>SUMIFS('caseload data'!M:M,'caseload data'!$D:$D,"TPO",'caseload data'!$A:$A,'divisional &amp; regional overview'!$B$99,'caseload data'!$B:$B,"community")</f>
        <v>0</v>
      </c>
      <c r="L103" s="94">
        <f>SUMIFS('caseload data'!N:N,'caseload data'!$D:$D,"TPO",'caseload data'!$A:$A,'divisional &amp; regional overview'!$B$99,'caseload data'!$B:$B,"community")</f>
        <v>0</v>
      </c>
      <c r="M103" s="94">
        <f>SUMIFS('caseload data'!O:O,'caseload data'!$D:$D,"TPO",'caseload data'!$A:$A,'divisional &amp; regional overview'!$B$99,'caseload data'!$B:$B,"community")</f>
        <v>0</v>
      </c>
      <c r="N103" s="94">
        <f>SUMIFS('caseload data'!P:P,'caseload data'!$D:$D,"TPO",'caseload data'!$A:$A,'divisional &amp; regional overview'!$B$99,'caseload data'!$B:$B,"community")</f>
        <v>0</v>
      </c>
      <c r="O103" s="94">
        <f>SUMIFS('caseload data'!Q:Q,'caseload data'!$D:$D,"TPO",'caseload data'!$A:$A,'divisional &amp; regional overview'!$B$99,'caseload data'!$B:$B,"community")</f>
        <v>0</v>
      </c>
      <c r="P103" s="94">
        <f>SUMIFS('caseload data'!R:R,'caseload data'!$D:$D,"TPO",'caseload data'!$A:$A,'divisional &amp; regional overview'!$B$99,'caseload data'!$B:$B,"community")</f>
        <v>0</v>
      </c>
      <c r="Q103" s="94">
        <f>SUMIFS('caseload data'!S:S,'caseload data'!$D:$D,"TPO",'caseload data'!$A:$A,'divisional &amp; regional overview'!$B$99,'caseload data'!$B:$B,"community")</f>
        <v>0</v>
      </c>
      <c r="R103" s="94">
        <f>SUMIFS('caseload data'!T:T,'caseload data'!$D:$D,"TPO",'caseload data'!$A:$A,'divisional &amp; regional overview'!$B$99,'caseload data'!$B:$B,"community")</f>
        <v>0</v>
      </c>
      <c r="U103" s="97" t="s">
        <v>1008</v>
      </c>
      <c r="V103" s="167" t="e">
        <f>C$103/SUM(C$101:C$104)</f>
        <v>#DIV/0!</v>
      </c>
      <c r="W103" s="167" t="e">
        <f>D$103/SUM(D$101:D$104)</f>
        <v>#DIV/0!</v>
      </c>
      <c r="X103" s="167" t="e">
        <f t="shared" ref="X103:AK103" si="6">E$103/SUM(E$101:E$104)</f>
        <v>#DIV/0!</v>
      </c>
      <c r="Y103" s="167" t="e">
        <f t="shared" si="6"/>
        <v>#DIV/0!</v>
      </c>
      <c r="Z103" s="167" t="e">
        <f t="shared" si="6"/>
        <v>#DIV/0!</v>
      </c>
      <c r="AA103" s="167" t="e">
        <f t="shared" si="6"/>
        <v>#DIV/0!</v>
      </c>
      <c r="AB103" s="167" t="e">
        <f t="shared" si="6"/>
        <v>#DIV/0!</v>
      </c>
      <c r="AC103" s="167" t="e">
        <f t="shared" si="6"/>
        <v>#DIV/0!</v>
      </c>
      <c r="AD103" s="167" t="e">
        <f t="shared" si="6"/>
        <v>#DIV/0!</v>
      </c>
      <c r="AE103" s="167" t="e">
        <f t="shared" si="6"/>
        <v>#DIV/0!</v>
      </c>
      <c r="AF103" s="167" t="e">
        <f t="shared" si="6"/>
        <v>#DIV/0!</v>
      </c>
      <c r="AG103" s="167" t="e">
        <f t="shared" si="6"/>
        <v>#DIV/0!</v>
      </c>
      <c r="AH103" s="167" t="e">
        <f t="shared" si="6"/>
        <v>#DIV/0!</v>
      </c>
      <c r="AI103" s="167" t="e">
        <f t="shared" si="6"/>
        <v>#DIV/0!</v>
      </c>
      <c r="AJ103" s="167" t="e">
        <f t="shared" si="6"/>
        <v>#DIV/0!</v>
      </c>
      <c r="AK103" s="167" t="e">
        <f t="shared" si="6"/>
        <v>#DIV/0!</v>
      </c>
    </row>
    <row r="104" spans="2:37" x14ac:dyDescent="0.15">
      <c r="B104" s="98" t="s">
        <v>1009</v>
      </c>
      <c r="C104" s="94">
        <f>SUMIFS('caseload data'!E:E,'caseload data'!$D:$D,"SPO",'caseload data'!$A:$A,'divisional &amp; regional overview'!$B$99,'caseload data'!$B:$B,"community")</f>
        <v>0</v>
      </c>
      <c r="D104" s="94">
        <f>SUMIFS('caseload data'!F:F,'caseload data'!$D:$D,"SPO",'caseload data'!$A:$A,'divisional &amp; regional overview'!$B$99,'caseload data'!$B:$B,"community")</f>
        <v>0</v>
      </c>
      <c r="E104" s="94">
        <f>SUMIFS('caseload data'!G:G,'caseload data'!$D:$D,"SPO",'caseload data'!$A:$A,'divisional &amp; regional overview'!$B$99,'caseload data'!$B:$B,"community")</f>
        <v>0</v>
      </c>
      <c r="F104" s="94">
        <f>SUMIFS('caseload data'!H:H,'caseload data'!$D:$D,"SPO",'caseload data'!$A:$A,'divisional &amp; regional overview'!$B$99,'caseload data'!$B:$B,"community")</f>
        <v>0</v>
      </c>
      <c r="G104" s="94">
        <f>SUMIFS('caseload data'!I:I,'caseload data'!$D:$D,"SPO",'caseload data'!$A:$A,'divisional &amp; regional overview'!$B$99,'caseload data'!$B:$B,"community")</f>
        <v>0</v>
      </c>
      <c r="H104" s="94">
        <f>SUMIFS('caseload data'!J:J,'caseload data'!$D:$D,"SPO",'caseload data'!$A:$A,'divisional &amp; regional overview'!$B$99,'caseload data'!$B:$B,"community")</f>
        <v>0</v>
      </c>
      <c r="I104" s="94">
        <f>SUMIFS('caseload data'!K:K,'caseload data'!$D:$D,"SPO",'caseload data'!$A:$A,'divisional &amp; regional overview'!$B$99,'caseload data'!$B:$B,"community")</f>
        <v>0</v>
      </c>
      <c r="J104" s="94">
        <f>SUMIFS('caseload data'!L:L,'caseload data'!$D:$D,"SPO",'caseload data'!$A:$A,'divisional &amp; regional overview'!$B$99,'caseload data'!$B:$B,"community")</f>
        <v>0</v>
      </c>
      <c r="K104" s="94">
        <f>SUMIFS('caseload data'!M:M,'caseload data'!$D:$D,"SPO",'caseload data'!$A:$A,'divisional &amp; regional overview'!$B$99,'caseload data'!$B:$B,"community")</f>
        <v>0</v>
      </c>
      <c r="L104" s="94">
        <f>SUMIFS('caseload data'!N:N,'caseload data'!$D:$D,"SPO",'caseload data'!$A:$A,'divisional &amp; regional overview'!$B$99,'caseload data'!$B:$B,"community")</f>
        <v>0</v>
      </c>
      <c r="M104" s="94">
        <f>SUMIFS('caseload data'!O:O,'caseload data'!$D:$D,"SPO",'caseload data'!$A:$A,'divisional &amp; regional overview'!$B$99,'caseload data'!$B:$B,"community")</f>
        <v>0</v>
      </c>
      <c r="N104" s="94">
        <f>SUMIFS('caseload data'!P:P,'caseload data'!$D:$D,"SPO",'caseload data'!$A:$A,'divisional &amp; regional overview'!$B$99,'caseload data'!$B:$B,"community")</f>
        <v>0</v>
      </c>
      <c r="O104" s="94">
        <f>SUMIFS('caseload data'!Q:Q,'caseload data'!$D:$D,"SPO",'caseload data'!$A:$A,'divisional &amp; regional overview'!$B$99,'caseload data'!$B:$B,"community")</f>
        <v>0</v>
      </c>
      <c r="P104" s="94">
        <f>SUMIFS('caseload data'!R:R,'caseload data'!$D:$D,"SPO",'caseload data'!$A:$A,'divisional &amp; regional overview'!$B$99,'caseload data'!$B:$B,"community")</f>
        <v>0</v>
      </c>
      <c r="Q104" s="94">
        <f>SUMIFS('caseload data'!S:S,'caseload data'!$D:$D,"SPO",'caseload data'!$A:$A,'divisional &amp; regional overview'!$B$99,'caseload data'!$B:$B,"community")</f>
        <v>0</v>
      </c>
      <c r="R104" s="94">
        <f>SUMIFS('caseload data'!T:T,'caseload data'!$D:$D,"SPO",'caseload data'!$A:$A,'divisional &amp; regional overview'!$B$99,'caseload data'!$B:$B,"community")</f>
        <v>0</v>
      </c>
      <c r="U104" s="98" t="s">
        <v>1009</v>
      </c>
      <c r="V104" s="167" t="e">
        <f>C$104/SUM(C$101:C$104)</f>
        <v>#DIV/0!</v>
      </c>
      <c r="W104" s="167" t="e">
        <f>D$104/SUM(D$101:D$104)</f>
        <v>#DIV/0!</v>
      </c>
      <c r="X104" s="167" t="e">
        <f t="shared" ref="X104:AK104" si="7">E$104/SUM(E$101:E$104)</f>
        <v>#DIV/0!</v>
      </c>
      <c r="Y104" s="167" t="e">
        <f t="shared" si="7"/>
        <v>#DIV/0!</v>
      </c>
      <c r="Z104" s="167" t="e">
        <f t="shared" si="7"/>
        <v>#DIV/0!</v>
      </c>
      <c r="AA104" s="167" t="e">
        <f t="shared" si="7"/>
        <v>#DIV/0!</v>
      </c>
      <c r="AB104" s="167" t="e">
        <f t="shared" si="7"/>
        <v>#DIV/0!</v>
      </c>
      <c r="AC104" s="167" t="e">
        <f t="shared" si="7"/>
        <v>#DIV/0!</v>
      </c>
      <c r="AD104" s="167" t="e">
        <f t="shared" si="7"/>
        <v>#DIV/0!</v>
      </c>
      <c r="AE104" s="167" t="e">
        <f t="shared" si="7"/>
        <v>#DIV/0!</v>
      </c>
      <c r="AF104" s="167" t="e">
        <f t="shared" si="7"/>
        <v>#DIV/0!</v>
      </c>
      <c r="AG104" s="167" t="e">
        <f t="shared" si="7"/>
        <v>#DIV/0!</v>
      </c>
      <c r="AH104" s="167" t="e">
        <f t="shared" si="7"/>
        <v>#DIV/0!</v>
      </c>
      <c r="AI104" s="167" t="e">
        <f t="shared" si="7"/>
        <v>#DIV/0!</v>
      </c>
      <c r="AJ104" s="167" t="e">
        <f t="shared" si="7"/>
        <v>#DIV/0!</v>
      </c>
      <c r="AK104" s="167" t="e">
        <f t="shared" si="7"/>
        <v>#DIV/0!</v>
      </c>
    </row>
    <row r="105" spans="2:37" x14ac:dyDescent="0.15">
      <c r="B105" s="21"/>
    </row>
    <row r="106" spans="2:37" ht="25.5" customHeight="1" x14ac:dyDescent="0.2">
      <c r="B106" s="52" t="str">
        <f>B5</f>
        <v>East Midlands Region</v>
      </c>
      <c r="C106" s="427" t="s">
        <v>1010</v>
      </c>
      <c r="D106" s="428"/>
      <c r="E106" s="428"/>
      <c r="F106" s="428"/>
      <c r="G106" s="428"/>
      <c r="H106" s="428"/>
      <c r="I106" s="428"/>
      <c r="J106" s="428"/>
      <c r="K106" s="428"/>
      <c r="L106" s="428"/>
      <c r="M106" s="428"/>
      <c r="N106" s="428"/>
      <c r="O106" s="428"/>
      <c r="P106" s="428"/>
      <c r="Q106" s="428"/>
      <c r="R106" s="428"/>
      <c r="S106" s="40"/>
      <c r="U106" s="52" t="str">
        <f>B5</f>
        <v>East Midlands Region</v>
      </c>
      <c r="V106" s="414" t="s">
        <v>1004</v>
      </c>
      <c r="W106" s="415"/>
      <c r="X106" s="415"/>
      <c r="Y106" s="415"/>
      <c r="Z106" s="415"/>
      <c r="AA106" s="415"/>
      <c r="AB106" s="415"/>
      <c r="AC106" s="415"/>
      <c r="AD106" s="415"/>
      <c r="AE106" s="415"/>
      <c r="AF106" s="415"/>
      <c r="AG106" s="415"/>
      <c r="AH106" s="415"/>
      <c r="AI106" s="415"/>
      <c r="AJ106" s="415"/>
      <c r="AK106" s="415"/>
    </row>
    <row r="107" spans="2:37" ht="18" x14ac:dyDescent="0.2">
      <c r="B107" s="283" t="s">
        <v>1005</v>
      </c>
      <c r="C107" s="38" t="s">
        <v>869</v>
      </c>
      <c r="D107" s="38" t="s">
        <v>870</v>
      </c>
      <c r="E107" s="38" t="s">
        <v>871</v>
      </c>
      <c r="F107" s="38" t="s">
        <v>872</v>
      </c>
      <c r="G107" s="38" t="s">
        <v>873</v>
      </c>
      <c r="H107" s="38" t="s">
        <v>874</v>
      </c>
      <c r="I107" s="38" t="s">
        <v>875</v>
      </c>
      <c r="J107" s="38" t="s">
        <v>876</v>
      </c>
      <c r="K107" s="38" t="s">
        <v>877</v>
      </c>
      <c r="L107" s="38" t="s">
        <v>878</v>
      </c>
      <c r="M107" s="38" t="s">
        <v>879</v>
      </c>
      <c r="N107" s="38" t="s">
        <v>880</v>
      </c>
      <c r="O107" s="38" t="s">
        <v>881</v>
      </c>
      <c r="P107" s="38" t="s">
        <v>882</v>
      </c>
      <c r="Q107" s="38" t="s">
        <v>883</v>
      </c>
      <c r="R107" s="38" t="s">
        <v>884</v>
      </c>
      <c r="S107" s="40"/>
      <c r="U107" s="95" t="s">
        <v>1006</v>
      </c>
      <c r="V107" s="38" t="s">
        <v>869</v>
      </c>
      <c r="W107" s="38" t="s">
        <v>870</v>
      </c>
      <c r="X107" s="38" t="s">
        <v>871</v>
      </c>
      <c r="Y107" s="38" t="s">
        <v>872</v>
      </c>
      <c r="Z107" s="38" t="s">
        <v>873</v>
      </c>
      <c r="AA107" s="38" t="s">
        <v>874</v>
      </c>
      <c r="AB107" s="38" t="s">
        <v>875</v>
      </c>
      <c r="AC107" s="38" t="s">
        <v>876</v>
      </c>
      <c r="AD107" s="38" t="s">
        <v>877</v>
      </c>
      <c r="AE107" s="38" t="s">
        <v>878</v>
      </c>
      <c r="AF107" s="38" t="s">
        <v>879</v>
      </c>
      <c r="AG107" s="38" t="s">
        <v>880</v>
      </c>
      <c r="AH107" s="38" t="s">
        <v>881</v>
      </c>
      <c r="AI107" s="38" t="s">
        <v>882</v>
      </c>
      <c r="AJ107" s="38" t="s">
        <v>883</v>
      </c>
      <c r="AK107" s="38" t="s">
        <v>884</v>
      </c>
    </row>
    <row r="108" spans="2:37" x14ac:dyDescent="0.15">
      <c r="B108" s="96" t="s">
        <v>1002</v>
      </c>
      <c r="C108" s="94">
        <f>SUMIFS('caseload data'!E:E,'caseload data'!$D:$D,"PO",'caseload data'!$A:$A,'divisional &amp; regional overview'!$B$99,'caseload data'!$B:$B,"licence")</f>
        <v>0</v>
      </c>
      <c r="D108" s="94">
        <f>SUMIFS('caseload data'!F:F,'caseload data'!$D:$D,"PO",'caseload data'!$A:$A,'divisional &amp; regional overview'!$B$99,'caseload data'!$B:$B,"licence")</f>
        <v>0</v>
      </c>
      <c r="E108" s="94">
        <f>SUMIFS('caseload data'!G:G,'caseload data'!$D:$D,"PO",'caseload data'!$A:$A,'divisional &amp; regional overview'!$B$99,'caseload data'!$B:$B,"licence")</f>
        <v>0</v>
      </c>
      <c r="F108" s="94">
        <f>SUMIFS('caseload data'!H:H,'caseload data'!$D:$D,"PO",'caseload data'!$A:$A,'divisional &amp; regional overview'!$B$99,'caseload data'!$B:$B,"licence")</f>
        <v>0</v>
      </c>
      <c r="G108" s="94">
        <f>SUMIFS('caseload data'!I:I,'caseload data'!$D:$D,"PO",'caseload data'!$A:$A,'divisional &amp; regional overview'!$B$99,'caseload data'!$B:$B,"licence")</f>
        <v>0</v>
      </c>
      <c r="H108" s="94">
        <f>SUMIFS('caseload data'!J:J,'caseload data'!$D:$D,"PO",'caseload data'!$A:$A,'divisional &amp; regional overview'!$B$99,'caseload data'!$B:$B,"licence")</f>
        <v>0</v>
      </c>
      <c r="I108" s="94">
        <f>SUMIFS('caseload data'!K:K,'caseload data'!$D:$D,"PO",'caseload data'!$A:$A,'divisional &amp; regional overview'!$B$99,'caseload data'!$B:$B,"licence")</f>
        <v>0</v>
      </c>
      <c r="J108" s="94">
        <f>SUMIFS('caseload data'!L:L,'caseload data'!$D:$D,"PO",'caseload data'!$A:$A,'divisional &amp; regional overview'!$B$99,'caseload data'!$B:$B,"licence")</f>
        <v>0</v>
      </c>
      <c r="K108" s="94">
        <f>SUMIFS('caseload data'!M:M,'caseload data'!$D:$D,"PO",'caseload data'!$A:$A,'divisional &amp; regional overview'!$B$99,'caseload data'!$B:$B,"licence")</f>
        <v>0</v>
      </c>
      <c r="L108" s="94">
        <f>SUMIFS('caseload data'!N:N,'caseload data'!$D:$D,"PO",'caseload data'!$A:$A,'divisional &amp; regional overview'!$B$99,'caseload data'!$B:$B,"licence")</f>
        <v>0</v>
      </c>
      <c r="M108" s="94">
        <f>SUMIFS('caseload data'!O:O,'caseload data'!$D:$D,"PO",'caseload data'!$A:$A,'divisional &amp; regional overview'!$B$99,'caseload data'!$B:$B,"licence")</f>
        <v>0</v>
      </c>
      <c r="N108" s="94">
        <f>SUMIFS('caseload data'!P:P,'caseload data'!$D:$D,"PO",'caseload data'!$A:$A,'divisional &amp; regional overview'!$B$99,'caseload data'!$B:$B,"licence")</f>
        <v>0</v>
      </c>
      <c r="O108" s="94">
        <f>SUMIFS('caseload data'!Q:Q,'caseload data'!$D:$D,"PO",'caseload data'!$A:$A,'divisional &amp; regional overview'!$B$99,'caseload data'!$B:$B,"licence")</f>
        <v>0</v>
      </c>
      <c r="P108" s="94">
        <f>SUMIFS('caseload data'!R:R,'caseload data'!$D:$D,"PO",'caseload data'!$A:$A,'divisional &amp; regional overview'!$B$99,'caseload data'!$B:$B,"licence")</f>
        <v>0</v>
      </c>
      <c r="Q108" s="94">
        <f>SUMIFS('caseload data'!S:S,'caseload data'!$D:$D,"PO",'caseload data'!$A:$A,'divisional &amp; regional overview'!$B$99,'caseload data'!$B:$B,"licence")</f>
        <v>0</v>
      </c>
      <c r="R108" s="94">
        <f>SUMIFS('caseload data'!T:T,'caseload data'!$D:$D,"PO",'caseload data'!$A:$A,'divisional &amp; regional overview'!$B$99,'caseload data'!$B:$B,"licence")</f>
        <v>0</v>
      </c>
      <c r="U108" s="96" t="s">
        <v>1002</v>
      </c>
      <c r="V108" s="167" t="e">
        <f>C$108/SUM(C$108:C$111)</f>
        <v>#DIV/0!</v>
      </c>
      <c r="W108" s="167" t="e">
        <f>D$108/SUM(D$108:D$111)</f>
        <v>#DIV/0!</v>
      </c>
      <c r="X108" s="167" t="e">
        <f t="shared" ref="X108:AK108" si="8">E$108/SUM(E$108:E$111)</f>
        <v>#DIV/0!</v>
      </c>
      <c r="Y108" s="167" t="e">
        <f t="shared" si="8"/>
        <v>#DIV/0!</v>
      </c>
      <c r="Z108" s="167" t="e">
        <f t="shared" si="8"/>
        <v>#DIV/0!</v>
      </c>
      <c r="AA108" s="167" t="e">
        <f t="shared" si="8"/>
        <v>#DIV/0!</v>
      </c>
      <c r="AB108" s="167" t="e">
        <f t="shared" si="8"/>
        <v>#DIV/0!</v>
      </c>
      <c r="AC108" s="167" t="e">
        <f t="shared" si="8"/>
        <v>#DIV/0!</v>
      </c>
      <c r="AD108" s="167" t="e">
        <f t="shared" si="8"/>
        <v>#DIV/0!</v>
      </c>
      <c r="AE108" s="167" t="e">
        <f t="shared" si="8"/>
        <v>#DIV/0!</v>
      </c>
      <c r="AF108" s="167" t="e">
        <f t="shared" si="8"/>
        <v>#DIV/0!</v>
      </c>
      <c r="AG108" s="167" t="e">
        <f t="shared" si="8"/>
        <v>#DIV/0!</v>
      </c>
      <c r="AH108" s="167" t="e">
        <f t="shared" si="8"/>
        <v>#DIV/0!</v>
      </c>
      <c r="AI108" s="167" t="e">
        <f t="shared" si="8"/>
        <v>#DIV/0!</v>
      </c>
      <c r="AJ108" s="167" t="e">
        <f t="shared" si="8"/>
        <v>#DIV/0!</v>
      </c>
      <c r="AK108" s="167" t="e">
        <f t="shared" si="8"/>
        <v>#DIV/0!</v>
      </c>
    </row>
    <row r="109" spans="2:37" x14ac:dyDescent="0.15">
      <c r="B109" s="97" t="s">
        <v>1007</v>
      </c>
      <c r="C109" s="94">
        <f>SUMIFS('caseload data'!E:E,'caseload data'!$D:$D,"PSO",'caseload data'!$A:$A,'divisional &amp; regional overview'!$B$99,'caseload data'!$B:$B,"licence")</f>
        <v>0</v>
      </c>
      <c r="D109" s="94">
        <f>SUMIFS('caseload data'!F:F,'caseload data'!$D:$D,"PSO",'caseload data'!$A:$A,'divisional &amp; regional overview'!$B$99,'caseload data'!$B:$B,"licence")</f>
        <v>0</v>
      </c>
      <c r="E109" s="94">
        <f>SUMIFS('caseload data'!G:G,'caseload data'!$D:$D,"PSO",'caseload data'!$A:$A,'divisional &amp; regional overview'!$B$99,'caseload data'!$B:$B,"licence")</f>
        <v>0</v>
      </c>
      <c r="F109" s="94">
        <f>SUMIFS('caseload data'!H:H,'caseload data'!$D:$D,"PSO",'caseload data'!$A:$A,'divisional &amp; regional overview'!$B$99,'caseload data'!$B:$B,"licence")</f>
        <v>0</v>
      </c>
      <c r="G109" s="94">
        <f>SUMIFS('caseload data'!I:I,'caseload data'!$D:$D,"PSO",'caseload data'!$A:$A,'divisional &amp; regional overview'!$B$99,'caseload data'!$B:$B,"licence")</f>
        <v>0</v>
      </c>
      <c r="H109" s="94">
        <f>SUMIFS('caseload data'!J:J,'caseload data'!$D:$D,"PSO",'caseload data'!$A:$A,'divisional &amp; regional overview'!$B$99,'caseload data'!$B:$B,"licence")</f>
        <v>0</v>
      </c>
      <c r="I109" s="94">
        <f>SUMIFS('caseload data'!K:K,'caseload data'!$D:$D,"PSO",'caseload data'!$A:$A,'divisional &amp; regional overview'!$B$99,'caseload data'!$B:$B,"licence")</f>
        <v>0</v>
      </c>
      <c r="J109" s="94">
        <f>SUMIFS('caseload data'!L:L,'caseload data'!$D:$D,"PSO",'caseload data'!$A:$A,'divisional &amp; regional overview'!$B$99,'caseload data'!$B:$B,"licence")</f>
        <v>0</v>
      </c>
      <c r="K109" s="94">
        <f>SUMIFS('caseload data'!M:M,'caseload data'!$D:$D,"PSO",'caseload data'!$A:$A,'divisional &amp; regional overview'!$B$99,'caseload data'!$B:$B,"licence")</f>
        <v>0</v>
      </c>
      <c r="L109" s="94">
        <f>SUMIFS('caseload data'!N:N,'caseload data'!$D:$D,"PSO",'caseload data'!$A:$A,'divisional &amp; regional overview'!$B$99,'caseload data'!$B:$B,"licence")</f>
        <v>0</v>
      </c>
      <c r="M109" s="94">
        <f>SUMIFS('caseload data'!O:O,'caseload data'!$D:$D,"PSO",'caseload data'!$A:$A,'divisional &amp; regional overview'!$B$99,'caseload data'!$B:$B,"licence")</f>
        <v>0</v>
      </c>
      <c r="N109" s="94">
        <f>SUMIFS('caseload data'!P:P,'caseload data'!$D:$D,"PSO",'caseload data'!$A:$A,'divisional &amp; regional overview'!$B$99,'caseload data'!$B:$B,"licence")</f>
        <v>0</v>
      </c>
      <c r="O109" s="94">
        <f>SUMIFS('caseload data'!Q:Q,'caseload data'!$D:$D,"PSO",'caseload data'!$A:$A,'divisional &amp; regional overview'!$B$99,'caseload data'!$B:$B,"licence")</f>
        <v>0</v>
      </c>
      <c r="P109" s="94">
        <f>SUMIFS('caseload data'!R:R,'caseload data'!$D:$D,"PSO",'caseload data'!$A:$A,'divisional &amp; regional overview'!$B$99,'caseload data'!$B:$B,"licence")</f>
        <v>0</v>
      </c>
      <c r="Q109" s="94">
        <f>SUMIFS('caseload data'!S:S,'caseload data'!$D:$D,"PSO",'caseload data'!$A:$A,'divisional &amp; regional overview'!$B$99,'caseload data'!$B:$B,"licence")</f>
        <v>0</v>
      </c>
      <c r="R109" s="94">
        <f>SUMIFS('caseload data'!T:T,'caseload data'!$D:$D,"PSO",'caseload data'!$A:$A,'divisional &amp; regional overview'!$B$99,'caseload data'!$B:$B,"licence")</f>
        <v>0</v>
      </c>
      <c r="U109" s="97" t="s">
        <v>1007</v>
      </c>
      <c r="V109" s="167" t="e">
        <f>C$109/SUM(C$108:C$111)</f>
        <v>#DIV/0!</v>
      </c>
      <c r="W109" s="167" t="e">
        <f>D$109/SUM(D$108:D$111)</f>
        <v>#DIV/0!</v>
      </c>
      <c r="X109" s="167" t="e">
        <f t="shared" ref="X109:AK109" si="9">E$109/SUM(E$108:E$111)</f>
        <v>#DIV/0!</v>
      </c>
      <c r="Y109" s="167" t="e">
        <f t="shared" si="9"/>
        <v>#DIV/0!</v>
      </c>
      <c r="Z109" s="167" t="e">
        <f t="shared" si="9"/>
        <v>#DIV/0!</v>
      </c>
      <c r="AA109" s="167" t="e">
        <f t="shared" si="9"/>
        <v>#DIV/0!</v>
      </c>
      <c r="AB109" s="167" t="e">
        <f t="shared" si="9"/>
        <v>#DIV/0!</v>
      </c>
      <c r="AC109" s="167" t="e">
        <f t="shared" si="9"/>
        <v>#DIV/0!</v>
      </c>
      <c r="AD109" s="167" t="e">
        <f t="shared" si="9"/>
        <v>#DIV/0!</v>
      </c>
      <c r="AE109" s="167" t="e">
        <f t="shared" si="9"/>
        <v>#DIV/0!</v>
      </c>
      <c r="AF109" s="167" t="e">
        <f t="shared" si="9"/>
        <v>#DIV/0!</v>
      </c>
      <c r="AG109" s="167" t="e">
        <f t="shared" si="9"/>
        <v>#DIV/0!</v>
      </c>
      <c r="AH109" s="167" t="e">
        <f t="shared" si="9"/>
        <v>#DIV/0!</v>
      </c>
      <c r="AI109" s="167" t="e">
        <f t="shared" si="9"/>
        <v>#DIV/0!</v>
      </c>
      <c r="AJ109" s="167" t="e">
        <f t="shared" si="9"/>
        <v>#DIV/0!</v>
      </c>
      <c r="AK109" s="167" t="e">
        <f t="shared" si="9"/>
        <v>#DIV/0!</v>
      </c>
    </row>
    <row r="110" spans="2:37" x14ac:dyDescent="0.15">
      <c r="B110" s="97" t="s">
        <v>1008</v>
      </c>
      <c r="C110" s="94">
        <f>SUMIFS('caseload data'!E:E,'caseload data'!$D:$D,"TPO",'caseload data'!$A:$A,'divisional &amp; regional overview'!$B$99,'caseload data'!$B:$B,"licence")</f>
        <v>0</v>
      </c>
      <c r="D110" s="94">
        <f>SUMIFS('caseload data'!F:F,'caseload data'!$D:$D,"TPO",'caseload data'!$A:$A,'divisional &amp; regional overview'!$B$99,'caseload data'!$B:$B,"licence")</f>
        <v>0</v>
      </c>
      <c r="E110" s="94">
        <f>SUMIFS('caseload data'!G:G,'caseload data'!$D:$D,"TPO",'caseload data'!$A:$A,'divisional &amp; regional overview'!$B$99,'caseload data'!$B:$B,"licence")</f>
        <v>0</v>
      </c>
      <c r="F110" s="94">
        <f>SUMIFS('caseload data'!H:H,'caseload data'!$D:$D,"TPO",'caseload data'!$A:$A,'divisional &amp; regional overview'!$B$99,'caseload data'!$B:$B,"licence")</f>
        <v>0</v>
      </c>
      <c r="G110" s="94">
        <f>SUMIFS('caseload data'!I:I,'caseload data'!$D:$D,"TPO",'caseload data'!$A:$A,'divisional &amp; regional overview'!$B$99,'caseload data'!$B:$B,"licence")</f>
        <v>0</v>
      </c>
      <c r="H110" s="94">
        <f>SUMIFS('caseload data'!J:J,'caseload data'!$D:$D,"TPO",'caseload data'!$A:$A,'divisional &amp; regional overview'!$B$99,'caseload data'!$B:$B,"licence")</f>
        <v>0</v>
      </c>
      <c r="I110" s="94">
        <f>SUMIFS('caseload data'!K:K,'caseload data'!$D:$D,"TPO",'caseload data'!$A:$A,'divisional &amp; regional overview'!$B$99,'caseload data'!$B:$B,"licence")</f>
        <v>0</v>
      </c>
      <c r="J110" s="94">
        <f>SUMIFS('caseload data'!L:L,'caseload data'!$D:$D,"TPO",'caseload data'!$A:$A,'divisional &amp; regional overview'!$B$99,'caseload data'!$B:$B,"licence")</f>
        <v>0</v>
      </c>
      <c r="K110" s="94">
        <f>SUMIFS('caseload data'!M:M,'caseload data'!$D:$D,"TPO",'caseload data'!$A:$A,'divisional &amp; regional overview'!$B$99,'caseload data'!$B:$B,"licence")</f>
        <v>0</v>
      </c>
      <c r="L110" s="94">
        <f>SUMIFS('caseload data'!N:N,'caseload data'!$D:$D,"TPO",'caseload data'!$A:$A,'divisional &amp; regional overview'!$B$99,'caseload data'!$B:$B,"licence")</f>
        <v>0</v>
      </c>
      <c r="M110" s="94">
        <f>SUMIFS('caseload data'!O:O,'caseload data'!$D:$D,"TPO",'caseload data'!$A:$A,'divisional &amp; regional overview'!$B$99,'caseload data'!$B:$B,"licence")</f>
        <v>0</v>
      </c>
      <c r="N110" s="94">
        <f>SUMIFS('caseload data'!P:P,'caseload data'!$D:$D,"TPO",'caseload data'!$A:$A,'divisional &amp; regional overview'!$B$99,'caseload data'!$B:$B,"licence")</f>
        <v>0</v>
      </c>
      <c r="O110" s="94">
        <f>SUMIFS('caseload data'!Q:Q,'caseload data'!$D:$D,"TPO",'caseload data'!$A:$A,'divisional &amp; regional overview'!$B$99,'caseload data'!$B:$B,"licence")</f>
        <v>0</v>
      </c>
      <c r="P110" s="94">
        <f>SUMIFS('caseload data'!R:R,'caseload data'!$D:$D,"TPO",'caseload data'!$A:$A,'divisional &amp; regional overview'!$B$99,'caseload data'!$B:$B,"licence")</f>
        <v>0</v>
      </c>
      <c r="Q110" s="94">
        <f>SUMIFS('caseload data'!S:S,'caseload data'!$D:$D,"TPO",'caseload data'!$A:$A,'divisional &amp; regional overview'!$B$99,'caseload data'!$B:$B,"licence")</f>
        <v>0</v>
      </c>
      <c r="R110" s="94">
        <f>SUMIFS('caseload data'!T:T,'caseload data'!$D:$D,"TPO",'caseload data'!$A:$A,'divisional &amp; regional overview'!$B$99,'caseload data'!$B:$B,"licence")</f>
        <v>0</v>
      </c>
      <c r="U110" s="97" t="s">
        <v>1008</v>
      </c>
      <c r="V110" s="167" t="e">
        <f>C$110/SUM(C$108:C$111)</f>
        <v>#DIV/0!</v>
      </c>
      <c r="W110" s="167" t="e">
        <f>D$110/SUM(D$108:D$111)</f>
        <v>#DIV/0!</v>
      </c>
      <c r="X110" s="167" t="e">
        <f t="shared" ref="X110:AK110" si="10">E$110/SUM(E$108:E$111)</f>
        <v>#DIV/0!</v>
      </c>
      <c r="Y110" s="167" t="e">
        <f t="shared" si="10"/>
        <v>#DIV/0!</v>
      </c>
      <c r="Z110" s="167" t="e">
        <f t="shared" si="10"/>
        <v>#DIV/0!</v>
      </c>
      <c r="AA110" s="167" t="e">
        <f t="shared" si="10"/>
        <v>#DIV/0!</v>
      </c>
      <c r="AB110" s="167" t="e">
        <f t="shared" si="10"/>
        <v>#DIV/0!</v>
      </c>
      <c r="AC110" s="167" t="e">
        <f t="shared" si="10"/>
        <v>#DIV/0!</v>
      </c>
      <c r="AD110" s="167" t="e">
        <f t="shared" si="10"/>
        <v>#DIV/0!</v>
      </c>
      <c r="AE110" s="167" t="e">
        <f t="shared" si="10"/>
        <v>#DIV/0!</v>
      </c>
      <c r="AF110" s="167" t="e">
        <f t="shared" si="10"/>
        <v>#DIV/0!</v>
      </c>
      <c r="AG110" s="167" t="e">
        <f t="shared" si="10"/>
        <v>#DIV/0!</v>
      </c>
      <c r="AH110" s="167" t="e">
        <f t="shared" si="10"/>
        <v>#DIV/0!</v>
      </c>
      <c r="AI110" s="167" t="e">
        <f t="shared" si="10"/>
        <v>#DIV/0!</v>
      </c>
      <c r="AJ110" s="167" t="e">
        <f t="shared" si="10"/>
        <v>#DIV/0!</v>
      </c>
      <c r="AK110" s="167" t="e">
        <f t="shared" si="10"/>
        <v>#DIV/0!</v>
      </c>
    </row>
    <row r="111" spans="2:37" x14ac:dyDescent="0.15">
      <c r="B111" s="98" t="s">
        <v>1009</v>
      </c>
      <c r="C111" s="94">
        <f>SUMIFS('caseload data'!E:E,'caseload data'!$D:$D,"SPO",'caseload data'!$A:$A,'divisional &amp; regional overview'!$B$99,'caseload data'!$B:$B,"licence")</f>
        <v>0</v>
      </c>
      <c r="D111" s="94">
        <f>SUMIFS('caseload data'!F:F,'caseload data'!$D:$D,"SPO",'caseload data'!$A:$A,'divisional &amp; regional overview'!$B$99,'caseload data'!$B:$B,"licence")</f>
        <v>0</v>
      </c>
      <c r="E111" s="94">
        <f>SUMIFS('caseload data'!G:G,'caseload data'!$D:$D,"SPO",'caseload data'!$A:$A,'divisional &amp; regional overview'!$B$99,'caseload data'!$B:$B,"licence")</f>
        <v>0</v>
      </c>
      <c r="F111" s="94">
        <f>SUMIFS('caseload data'!H:H,'caseload data'!$D:$D,"SPO",'caseload data'!$A:$A,'divisional &amp; regional overview'!$B$99,'caseload data'!$B:$B,"licence")</f>
        <v>0</v>
      </c>
      <c r="G111" s="94">
        <f>SUMIFS('caseload data'!I:I,'caseload data'!$D:$D,"SPO",'caseload data'!$A:$A,'divisional &amp; regional overview'!$B$99,'caseload data'!$B:$B,"licence")</f>
        <v>0</v>
      </c>
      <c r="H111" s="94">
        <f>SUMIFS('caseload data'!J:J,'caseload data'!$D:$D,"SPO",'caseload data'!$A:$A,'divisional &amp; regional overview'!$B$99,'caseload data'!$B:$B,"licence")</f>
        <v>0</v>
      </c>
      <c r="I111" s="94">
        <f>SUMIFS('caseload data'!K:K,'caseload data'!$D:$D,"SPO",'caseload data'!$A:$A,'divisional &amp; regional overview'!$B$99,'caseload data'!$B:$B,"licence")</f>
        <v>0</v>
      </c>
      <c r="J111" s="94">
        <f>SUMIFS('caseload data'!L:L,'caseload data'!$D:$D,"SPO",'caseload data'!$A:$A,'divisional &amp; regional overview'!$B$99,'caseload data'!$B:$B,"licence")</f>
        <v>0</v>
      </c>
      <c r="K111" s="94">
        <f>SUMIFS('caseload data'!M:M,'caseload data'!$D:$D,"SPO",'caseload data'!$A:$A,'divisional &amp; regional overview'!$B$99,'caseload data'!$B:$B,"licence")</f>
        <v>0</v>
      </c>
      <c r="L111" s="94">
        <f>SUMIFS('caseload data'!N:N,'caseload data'!$D:$D,"SPO",'caseload data'!$A:$A,'divisional &amp; regional overview'!$B$99,'caseload data'!$B:$B,"licence")</f>
        <v>0</v>
      </c>
      <c r="M111" s="94">
        <f>SUMIFS('caseload data'!O:O,'caseload data'!$D:$D,"SPO",'caseload data'!$A:$A,'divisional &amp; regional overview'!$B$99,'caseload data'!$B:$B,"licence")</f>
        <v>0</v>
      </c>
      <c r="N111" s="94">
        <f>SUMIFS('caseload data'!P:P,'caseload data'!$D:$D,"SPO",'caseload data'!$A:$A,'divisional &amp; regional overview'!$B$99,'caseload data'!$B:$B,"licence")</f>
        <v>0</v>
      </c>
      <c r="O111" s="94">
        <f>SUMIFS('caseload data'!Q:Q,'caseload data'!$D:$D,"SPO",'caseload data'!$A:$A,'divisional &amp; regional overview'!$B$99,'caseload data'!$B:$B,"licence")</f>
        <v>0</v>
      </c>
      <c r="P111" s="94">
        <f>SUMIFS('caseload data'!R:R,'caseload data'!$D:$D,"SPO",'caseload data'!$A:$A,'divisional &amp; regional overview'!$B$99,'caseload data'!$B:$B,"licence")</f>
        <v>0</v>
      </c>
      <c r="Q111" s="94">
        <f>SUMIFS('caseload data'!S:S,'caseload data'!$D:$D,"SPO",'caseload data'!$A:$A,'divisional &amp; regional overview'!$B$99,'caseload data'!$B:$B,"licence")</f>
        <v>0</v>
      </c>
      <c r="R111" s="94">
        <f>SUMIFS('caseload data'!T:T,'caseload data'!$D:$D,"SPO",'caseload data'!$A:$A,'divisional &amp; regional overview'!$B$99,'caseload data'!$B:$B,"licence")</f>
        <v>0</v>
      </c>
      <c r="U111" s="98" t="s">
        <v>1009</v>
      </c>
      <c r="V111" s="167" t="e">
        <f>C$111/SUM(C$108:C$111)</f>
        <v>#DIV/0!</v>
      </c>
      <c r="W111" s="167" t="e">
        <f>D$111/SUM(D$108:D$111)</f>
        <v>#DIV/0!</v>
      </c>
      <c r="X111" s="167" t="e">
        <f t="shared" ref="X111:AK111" si="11">E$111/SUM(E$108:E$111)</f>
        <v>#DIV/0!</v>
      </c>
      <c r="Y111" s="167" t="e">
        <f t="shared" si="11"/>
        <v>#DIV/0!</v>
      </c>
      <c r="Z111" s="167" t="e">
        <f t="shared" si="11"/>
        <v>#DIV/0!</v>
      </c>
      <c r="AA111" s="167" t="e">
        <f t="shared" si="11"/>
        <v>#DIV/0!</v>
      </c>
      <c r="AB111" s="167" t="e">
        <f t="shared" si="11"/>
        <v>#DIV/0!</v>
      </c>
      <c r="AC111" s="167" t="e">
        <f t="shared" si="11"/>
        <v>#DIV/0!</v>
      </c>
      <c r="AD111" s="167" t="e">
        <f t="shared" si="11"/>
        <v>#DIV/0!</v>
      </c>
      <c r="AE111" s="167" t="e">
        <f t="shared" si="11"/>
        <v>#DIV/0!</v>
      </c>
      <c r="AF111" s="167" t="e">
        <f t="shared" si="11"/>
        <v>#DIV/0!</v>
      </c>
      <c r="AG111" s="167" t="e">
        <f t="shared" si="11"/>
        <v>#DIV/0!</v>
      </c>
      <c r="AH111" s="167" t="e">
        <f t="shared" si="11"/>
        <v>#DIV/0!</v>
      </c>
      <c r="AI111" s="167" t="e">
        <f t="shared" si="11"/>
        <v>#DIV/0!</v>
      </c>
      <c r="AJ111" s="167" t="e">
        <f t="shared" si="11"/>
        <v>#DIV/0!</v>
      </c>
      <c r="AK111" s="167" t="e">
        <f t="shared" si="11"/>
        <v>#DIV/0!</v>
      </c>
    </row>
    <row r="112" spans="2:37" x14ac:dyDescent="0.15">
      <c r="B112" s="21"/>
    </row>
    <row r="113" spans="2:37" ht="25.5" customHeight="1" x14ac:dyDescent="0.2">
      <c r="B113" s="52" t="str">
        <f>B5</f>
        <v>East Midlands Region</v>
      </c>
      <c r="C113" s="427" t="s">
        <v>1011</v>
      </c>
      <c r="D113" s="428"/>
      <c r="E113" s="428"/>
      <c r="F113" s="428"/>
      <c r="G113" s="428"/>
      <c r="H113" s="428"/>
      <c r="I113" s="428"/>
      <c r="J113" s="428"/>
      <c r="K113" s="428"/>
      <c r="L113" s="428"/>
      <c r="M113" s="428"/>
      <c r="N113" s="428"/>
      <c r="O113" s="428"/>
      <c r="P113" s="428"/>
      <c r="Q113" s="428"/>
      <c r="R113" s="428"/>
      <c r="U113" s="52" t="str">
        <f>B5</f>
        <v>East Midlands Region</v>
      </c>
      <c r="V113" s="414" t="s">
        <v>1004</v>
      </c>
      <c r="W113" s="415"/>
      <c r="X113" s="415"/>
      <c r="Y113" s="415"/>
      <c r="Z113" s="415"/>
      <c r="AA113" s="415"/>
      <c r="AB113" s="415"/>
      <c r="AC113" s="415"/>
      <c r="AD113" s="415"/>
      <c r="AE113" s="415"/>
      <c r="AF113" s="415"/>
      <c r="AG113" s="415"/>
      <c r="AH113" s="415"/>
      <c r="AI113" s="415"/>
      <c r="AJ113" s="415"/>
      <c r="AK113" s="415"/>
    </row>
    <row r="114" spans="2:37" ht="18" x14ac:dyDescent="0.2">
      <c r="B114" s="283" t="s">
        <v>1005</v>
      </c>
      <c r="C114" s="38" t="s">
        <v>869</v>
      </c>
      <c r="D114" s="38" t="s">
        <v>870</v>
      </c>
      <c r="E114" s="38" t="s">
        <v>871</v>
      </c>
      <c r="F114" s="38" t="s">
        <v>872</v>
      </c>
      <c r="G114" s="38" t="s">
        <v>873</v>
      </c>
      <c r="H114" s="38" t="s">
        <v>874</v>
      </c>
      <c r="I114" s="38" t="s">
        <v>875</v>
      </c>
      <c r="J114" s="38" t="s">
        <v>876</v>
      </c>
      <c r="K114" s="38" t="s">
        <v>877</v>
      </c>
      <c r="L114" s="38" t="s">
        <v>878</v>
      </c>
      <c r="M114" s="38" t="s">
        <v>879</v>
      </c>
      <c r="N114" s="38" t="s">
        <v>880</v>
      </c>
      <c r="O114" s="38" t="s">
        <v>881</v>
      </c>
      <c r="P114" s="38" t="s">
        <v>882</v>
      </c>
      <c r="Q114" s="38" t="s">
        <v>883</v>
      </c>
      <c r="R114" s="38" t="s">
        <v>884</v>
      </c>
      <c r="U114" s="95" t="s">
        <v>1006</v>
      </c>
      <c r="V114" s="38" t="s">
        <v>869</v>
      </c>
      <c r="W114" s="38" t="s">
        <v>870</v>
      </c>
      <c r="X114" s="38" t="s">
        <v>871</v>
      </c>
      <c r="Y114" s="38" t="s">
        <v>872</v>
      </c>
      <c r="Z114" s="38" t="s">
        <v>873</v>
      </c>
      <c r="AA114" s="38" t="s">
        <v>874</v>
      </c>
      <c r="AB114" s="38" t="s">
        <v>875</v>
      </c>
      <c r="AC114" s="38" t="s">
        <v>876</v>
      </c>
      <c r="AD114" s="38" t="s">
        <v>877</v>
      </c>
      <c r="AE114" s="38" t="s">
        <v>878</v>
      </c>
      <c r="AF114" s="38" t="s">
        <v>879</v>
      </c>
      <c r="AG114" s="38" t="s">
        <v>880</v>
      </c>
      <c r="AH114" s="38" t="s">
        <v>881</v>
      </c>
      <c r="AI114" s="38" t="s">
        <v>882</v>
      </c>
      <c r="AJ114" s="38" t="s">
        <v>883</v>
      </c>
      <c r="AK114" s="38" t="s">
        <v>884</v>
      </c>
    </row>
    <row r="115" spans="2:37" x14ac:dyDescent="0.15">
      <c r="B115" s="96" t="s">
        <v>1002</v>
      </c>
      <c r="C115" s="94">
        <f>SUMIFS('caseload data'!E:E,'caseload data'!$D:$D,"PO",'caseload data'!$A:$A,'divisional &amp; regional overview'!$B$99,'caseload data'!$B:$B,"custody")</f>
        <v>0</v>
      </c>
      <c r="D115" s="94">
        <f>SUMIFS('caseload data'!F:F,'caseload data'!$D:$D,"PO",'caseload data'!$A:$A,'divisional &amp; regional overview'!$B$99,'caseload data'!$B:$B,"custody")</f>
        <v>0</v>
      </c>
      <c r="E115" s="94">
        <f>SUMIFS('caseload data'!G:G,'caseload data'!$D:$D,"PO",'caseload data'!$A:$A,'divisional &amp; regional overview'!$B$99,'caseload data'!$B:$B,"custody")</f>
        <v>0</v>
      </c>
      <c r="F115" s="94">
        <f>SUMIFS('caseload data'!H:H,'caseload data'!$D:$D,"PO",'caseload data'!$A:$A,'divisional &amp; regional overview'!$B$99,'caseload data'!$B:$B,"custody")</f>
        <v>0</v>
      </c>
      <c r="G115" s="94">
        <f>SUMIFS('caseload data'!I:I,'caseload data'!$D:$D,"PO",'caseload data'!$A:$A,'divisional &amp; regional overview'!$B$99,'caseload data'!$B:$B,"custody")</f>
        <v>0</v>
      </c>
      <c r="H115" s="94">
        <f>SUMIFS('caseload data'!J:J,'caseload data'!$D:$D,"PO",'caseload data'!$A:$A,'divisional &amp; regional overview'!$B$99,'caseload data'!$B:$B,"custody")</f>
        <v>0</v>
      </c>
      <c r="I115" s="94">
        <f>SUMIFS('caseload data'!K:K,'caseload data'!$D:$D,"PO",'caseload data'!$A:$A,'divisional &amp; regional overview'!$B$99,'caseload data'!$B:$B,"custody")</f>
        <v>0</v>
      </c>
      <c r="J115" s="94">
        <f>SUMIFS('caseload data'!L:L,'caseload data'!$D:$D,"PO",'caseload data'!$A:$A,'divisional &amp; regional overview'!$B$99,'caseload data'!$B:$B,"custody")</f>
        <v>0</v>
      </c>
      <c r="K115" s="94">
        <f>SUMIFS('caseload data'!M:M,'caseload data'!$D:$D,"PO",'caseload data'!$A:$A,'divisional &amp; regional overview'!$B$99,'caseload data'!$B:$B,"custody")</f>
        <v>0</v>
      </c>
      <c r="L115" s="94">
        <f>SUMIFS('caseload data'!N:N,'caseload data'!$D:$D,"PO",'caseload data'!$A:$A,'divisional &amp; regional overview'!$B$99,'caseload data'!$B:$B,"custody")</f>
        <v>0</v>
      </c>
      <c r="M115" s="94">
        <f>SUMIFS('caseload data'!O:O,'caseload data'!$D:$D,"PO",'caseload data'!$A:$A,'divisional &amp; regional overview'!$B$99,'caseload data'!$B:$B,"custody")</f>
        <v>0</v>
      </c>
      <c r="N115" s="94">
        <f>SUMIFS('caseload data'!P:P,'caseload data'!$D:$D,"PO",'caseload data'!$A:$A,'divisional &amp; regional overview'!$B$99,'caseload data'!$B:$B,"custody")</f>
        <v>0</v>
      </c>
      <c r="O115" s="94">
        <f>SUMIFS('caseload data'!Q:Q,'caseload data'!$D:$D,"PO",'caseload data'!$A:$A,'divisional &amp; regional overview'!$B$99,'caseload data'!$B:$B,"custody")</f>
        <v>0</v>
      </c>
      <c r="P115" s="94">
        <f>SUMIFS('caseload data'!R:R,'caseload data'!$D:$D,"PO",'caseload data'!$A:$A,'divisional &amp; regional overview'!$B$99,'caseload data'!$B:$B,"custody")</f>
        <v>0</v>
      </c>
      <c r="Q115" s="94">
        <f>SUMIFS('caseload data'!S:S,'caseload data'!$D:$D,"PO",'caseload data'!$A:$A,'divisional &amp; regional overview'!$B$99,'caseload data'!$B:$B,"custody")</f>
        <v>0</v>
      </c>
      <c r="R115" s="94">
        <f>SUMIFS('caseload data'!T:T,'caseload data'!$D:$D,"PO",'caseload data'!$A:$A,'divisional &amp; regional overview'!$B$99,'caseload data'!$B:$B,"custody")</f>
        <v>0</v>
      </c>
      <c r="U115" s="96" t="s">
        <v>1002</v>
      </c>
      <c r="V115" s="167" t="e">
        <f>C$115/SUM(C$115:C$118)</f>
        <v>#DIV/0!</v>
      </c>
      <c r="W115" s="167" t="e">
        <f>D$115/SUM(D$115:D$118)</f>
        <v>#DIV/0!</v>
      </c>
      <c r="X115" s="167" t="e">
        <f t="shared" ref="X115:AK115" si="12">E$115/SUM(E$115:E$118)</f>
        <v>#DIV/0!</v>
      </c>
      <c r="Y115" s="167" t="e">
        <f t="shared" si="12"/>
        <v>#DIV/0!</v>
      </c>
      <c r="Z115" s="167" t="e">
        <f t="shared" si="12"/>
        <v>#DIV/0!</v>
      </c>
      <c r="AA115" s="167" t="e">
        <f t="shared" si="12"/>
        <v>#DIV/0!</v>
      </c>
      <c r="AB115" s="167" t="e">
        <f t="shared" si="12"/>
        <v>#DIV/0!</v>
      </c>
      <c r="AC115" s="167" t="e">
        <f t="shared" si="12"/>
        <v>#DIV/0!</v>
      </c>
      <c r="AD115" s="167" t="e">
        <f t="shared" si="12"/>
        <v>#DIV/0!</v>
      </c>
      <c r="AE115" s="167" t="e">
        <f t="shared" si="12"/>
        <v>#DIV/0!</v>
      </c>
      <c r="AF115" s="167" t="e">
        <f t="shared" si="12"/>
        <v>#DIV/0!</v>
      </c>
      <c r="AG115" s="167" t="e">
        <f t="shared" si="12"/>
        <v>#DIV/0!</v>
      </c>
      <c r="AH115" s="167" t="e">
        <f t="shared" si="12"/>
        <v>#DIV/0!</v>
      </c>
      <c r="AI115" s="167" t="e">
        <f t="shared" si="12"/>
        <v>#DIV/0!</v>
      </c>
      <c r="AJ115" s="167" t="e">
        <f t="shared" si="12"/>
        <v>#DIV/0!</v>
      </c>
      <c r="AK115" s="167" t="e">
        <f t="shared" si="12"/>
        <v>#DIV/0!</v>
      </c>
    </row>
    <row r="116" spans="2:37" x14ac:dyDescent="0.15">
      <c r="B116" s="97" t="s">
        <v>1007</v>
      </c>
      <c r="C116" s="94">
        <f>SUMIFS('caseload data'!E:E,'caseload data'!$D:$D,"PSO",'caseload data'!$A:$A,'divisional &amp; regional overview'!$B$99,'caseload data'!$B:$B,"custody")</f>
        <v>0</v>
      </c>
      <c r="D116" s="94">
        <f>SUMIFS('caseload data'!F:F,'caseload data'!$D:$D,"PSO",'caseload data'!$A:$A,'divisional &amp; regional overview'!$B$99,'caseload data'!$B:$B,"custody")</f>
        <v>0</v>
      </c>
      <c r="E116" s="94">
        <f>SUMIFS('caseload data'!G:G,'caseload data'!$D:$D,"PSO",'caseload data'!$A:$A,'divisional &amp; regional overview'!$B$99,'caseload data'!$B:$B,"custody")</f>
        <v>0</v>
      </c>
      <c r="F116" s="94">
        <f>SUMIFS('caseload data'!H:H,'caseload data'!$D:$D,"PSO",'caseload data'!$A:$A,'divisional &amp; regional overview'!$B$99,'caseload data'!$B:$B,"custody")</f>
        <v>0</v>
      </c>
      <c r="G116" s="94">
        <f>SUMIFS('caseload data'!I:I,'caseload data'!$D:$D,"PSO",'caseload data'!$A:$A,'divisional &amp; regional overview'!$B$99,'caseload data'!$B:$B,"custody")</f>
        <v>0</v>
      </c>
      <c r="H116" s="94">
        <f>SUMIFS('caseload data'!J:J,'caseload data'!$D:$D,"PSO",'caseload data'!$A:$A,'divisional &amp; regional overview'!$B$99,'caseload data'!$B:$B,"custody")</f>
        <v>0</v>
      </c>
      <c r="I116" s="94">
        <f>SUMIFS('caseload data'!K:K,'caseload data'!$D:$D,"PSO",'caseload data'!$A:$A,'divisional &amp; regional overview'!$B$99,'caseload data'!$B:$B,"custody")</f>
        <v>0</v>
      </c>
      <c r="J116" s="94">
        <f>SUMIFS('caseload data'!L:L,'caseload data'!$D:$D,"PSO",'caseload data'!$A:$A,'divisional &amp; regional overview'!$B$99,'caseload data'!$B:$B,"custody")</f>
        <v>0</v>
      </c>
      <c r="K116" s="94">
        <f>SUMIFS('caseload data'!M:M,'caseload data'!$D:$D,"PSO",'caseload data'!$A:$A,'divisional &amp; regional overview'!$B$99,'caseload data'!$B:$B,"custody")</f>
        <v>0</v>
      </c>
      <c r="L116" s="94">
        <f>SUMIFS('caseload data'!N:N,'caseload data'!$D:$D,"PSO",'caseload data'!$A:$A,'divisional &amp; regional overview'!$B$99,'caseload data'!$B:$B,"custody")</f>
        <v>0</v>
      </c>
      <c r="M116" s="94">
        <f>SUMIFS('caseload data'!O:O,'caseload data'!$D:$D,"PSO",'caseload data'!$A:$A,'divisional &amp; regional overview'!$B$99,'caseload data'!$B:$B,"custody")</f>
        <v>0</v>
      </c>
      <c r="N116" s="94">
        <f>SUMIFS('caseload data'!P:P,'caseload data'!$D:$D,"PSO",'caseload data'!$A:$A,'divisional &amp; regional overview'!$B$99,'caseload data'!$B:$B,"custody")</f>
        <v>0</v>
      </c>
      <c r="O116" s="94">
        <f>SUMIFS('caseload data'!Q:Q,'caseload data'!$D:$D,"PSO",'caseload data'!$A:$A,'divisional &amp; regional overview'!$B$99,'caseload data'!$B:$B,"custody")</f>
        <v>0</v>
      </c>
      <c r="P116" s="94">
        <f>SUMIFS('caseload data'!R:R,'caseload data'!$D:$D,"PSO",'caseload data'!$A:$A,'divisional &amp; regional overview'!$B$99,'caseload data'!$B:$B,"custody")</f>
        <v>0</v>
      </c>
      <c r="Q116" s="94">
        <f>SUMIFS('caseload data'!S:S,'caseload data'!$D:$D,"PSO",'caseload data'!$A:$A,'divisional &amp; regional overview'!$B$99,'caseload data'!$B:$B,"custody")</f>
        <v>0</v>
      </c>
      <c r="R116" s="94">
        <f>SUMIFS('caseload data'!T:T,'caseload data'!$D:$D,"PSO",'caseload data'!$A:$A,'divisional &amp; regional overview'!$B$99,'caseload data'!$B:$B,"custody")</f>
        <v>0</v>
      </c>
      <c r="U116" s="97" t="s">
        <v>1007</v>
      </c>
      <c r="V116" s="167" t="e">
        <f>C$116/SUM(C$115:C$118)</f>
        <v>#DIV/0!</v>
      </c>
      <c r="W116" s="167" t="e">
        <f>D$116/SUM(D$115:D$118)</f>
        <v>#DIV/0!</v>
      </c>
      <c r="X116" s="167" t="e">
        <f t="shared" ref="X116:AK116" si="13">E$116/SUM(E$115:E$118)</f>
        <v>#DIV/0!</v>
      </c>
      <c r="Y116" s="167" t="e">
        <f t="shared" si="13"/>
        <v>#DIV/0!</v>
      </c>
      <c r="Z116" s="167" t="e">
        <f t="shared" si="13"/>
        <v>#DIV/0!</v>
      </c>
      <c r="AA116" s="167" t="e">
        <f t="shared" si="13"/>
        <v>#DIV/0!</v>
      </c>
      <c r="AB116" s="167" t="e">
        <f t="shared" si="13"/>
        <v>#DIV/0!</v>
      </c>
      <c r="AC116" s="167" t="e">
        <f t="shared" si="13"/>
        <v>#DIV/0!</v>
      </c>
      <c r="AD116" s="167" t="e">
        <f t="shared" si="13"/>
        <v>#DIV/0!</v>
      </c>
      <c r="AE116" s="167" t="e">
        <f t="shared" si="13"/>
        <v>#DIV/0!</v>
      </c>
      <c r="AF116" s="167" t="e">
        <f t="shared" si="13"/>
        <v>#DIV/0!</v>
      </c>
      <c r="AG116" s="167" t="e">
        <f t="shared" si="13"/>
        <v>#DIV/0!</v>
      </c>
      <c r="AH116" s="167" t="e">
        <f t="shared" si="13"/>
        <v>#DIV/0!</v>
      </c>
      <c r="AI116" s="167" t="e">
        <f t="shared" si="13"/>
        <v>#DIV/0!</v>
      </c>
      <c r="AJ116" s="167" t="e">
        <f t="shared" si="13"/>
        <v>#DIV/0!</v>
      </c>
      <c r="AK116" s="167" t="e">
        <f t="shared" si="13"/>
        <v>#DIV/0!</v>
      </c>
    </row>
    <row r="117" spans="2:37" x14ac:dyDescent="0.15">
      <c r="B117" s="97" t="s">
        <v>1008</v>
      </c>
      <c r="C117" s="94">
        <f>SUMIFS('caseload data'!E:E,'caseload data'!$D:$D,"TPO",'caseload data'!$A:$A,'divisional &amp; regional overview'!$B$99,'caseload data'!$B:$B,"custody")</f>
        <v>0</v>
      </c>
      <c r="D117" s="94">
        <f>SUMIFS('caseload data'!F:F,'caseload data'!$D:$D,"TPO",'caseload data'!$A:$A,'divisional &amp; regional overview'!$B$99,'caseload data'!$B:$B,"custody")</f>
        <v>0</v>
      </c>
      <c r="E117" s="94">
        <f>SUMIFS('caseload data'!G:G,'caseload data'!$D:$D,"TPO",'caseload data'!$A:$A,'divisional &amp; regional overview'!$B$99,'caseload data'!$B:$B,"custody")</f>
        <v>0</v>
      </c>
      <c r="F117" s="94">
        <f>SUMIFS('caseload data'!H:H,'caseload data'!$D:$D,"TPO",'caseload data'!$A:$A,'divisional &amp; regional overview'!$B$99,'caseload data'!$B:$B,"custody")</f>
        <v>0</v>
      </c>
      <c r="G117" s="94">
        <f>SUMIFS('caseload data'!I:I,'caseload data'!$D:$D,"TPO",'caseload data'!$A:$A,'divisional &amp; regional overview'!$B$99,'caseload data'!$B:$B,"custody")</f>
        <v>0</v>
      </c>
      <c r="H117" s="94">
        <f>SUMIFS('caseload data'!J:J,'caseload data'!$D:$D,"TPO",'caseload data'!$A:$A,'divisional &amp; regional overview'!$B$99,'caseload data'!$B:$B,"custody")</f>
        <v>0</v>
      </c>
      <c r="I117" s="94">
        <f>SUMIFS('caseload data'!K:K,'caseload data'!$D:$D,"TPO",'caseload data'!$A:$A,'divisional &amp; regional overview'!$B$99,'caseload data'!$B:$B,"custody")</f>
        <v>0</v>
      </c>
      <c r="J117" s="94">
        <f>SUMIFS('caseload data'!L:L,'caseload data'!$D:$D,"TPO",'caseload data'!$A:$A,'divisional &amp; regional overview'!$B$99,'caseload data'!$B:$B,"custody")</f>
        <v>0</v>
      </c>
      <c r="K117" s="94">
        <f>SUMIFS('caseload data'!M:M,'caseload data'!$D:$D,"TPO",'caseload data'!$A:$A,'divisional &amp; regional overview'!$B$99,'caseload data'!$B:$B,"custody")</f>
        <v>0</v>
      </c>
      <c r="L117" s="94">
        <f>SUMIFS('caseload data'!N:N,'caseload data'!$D:$D,"TPO",'caseload data'!$A:$A,'divisional &amp; regional overview'!$B$99,'caseload data'!$B:$B,"custody")</f>
        <v>0</v>
      </c>
      <c r="M117" s="94">
        <f>SUMIFS('caseload data'!O:O,'caseload data'!$D:$D,"TPO",'caseload data'!$A:$A,'divisional &amp; regional overview'!$B$99,'caseload data'!$B:$B,"custody")</f>
        <v>0</v>
      </c>
      <c r="N117" s="94">
        <f>SUMIFS('caseload data'!P:P,'caseload data'!$D:$D,"TPO",'caseload data'!$A:$A,'divisional &amp; regional overview'!$B$99,'caseload data'!$B:$B,"custody")</f>
        <v>0</v>
      </c>
      <c r="O117" s="94">
        <f>SUMIFS('caseload data'!Q:Q,'caseload data'!$D:$D,"TPO",'caseload data'!$A:$A,'divisional &amp; regional overview'!$B$99,'caseload data'!$B:$B,"custody")</f>
        <v>0</v>
      </c>
      <c r="P117" s="94">
        <f>SUMIFS('caseload data'!R:R,'caseload data'!$D:$D,"TPO",'caseload data'!$A:$A,'divisional &amp; regional overview'!$B$99,'caseload data'!$B:$B,"custody")</f>
        <v>0</v>
      </c>
      <c r="Q117" s="94">
        <f>SUMIFS('caseload data'!S:S,'caseload data'!$D:$D,"TPO",'caseload data'!$A:$A,'divisional &amp; regional overview'!$B$99,'caseload data'!$B:$B,"custody")</f>
        <v>0</v>
      </c>
      <c r="R117" s="94">
        <f>SUMIFS('caseload data'!T:T,'caseload data'!$D:$D,"TPO",'caseload data'!$A:$A,'divisional &amp; regional overview'!$B$99,'caseload data'!$B:$B,"custody")</f>
        <v>0</v>
      </c>
      <c r="U117" s="97" t="s">
        <v>1008</v>
      </c>
      <c r="V117" s="167" t="e">
        <f>C$117/SUM(C$115:C$118)</f>
        <v>#DIV/0!</v>
      </c>
      <c r="W117" s="167" t="e">
        <f>D$117/SUM(D$115:D$118)</f>
        <v>#DIV/0!</v>
      </c>
      <c r="X117" s="167" t="e">
        <f t="shared" ref="X117:AK117" si="14">E$117/SUM(E$115:E$118)</f>
        <v>#DIV/0!</v>
      </c>
      <c r="Y117" s="167" t="e">
        <f t="shared" si="14"/>
        <v>#DIV/0!</v>
      </c>
      <c r="Z117" s="167" t="e">
        <f t="shared" si="14"/>
        <v>#DIV/0!</v>
      </c>
      <c r="AA117" s="167" t="e">
        <f t="shared" si="14"/>
        <v>#DIV/0!</v>
      </c>
      <c r="AB117" s="167" t="e">
        <f t="shared" si="14"/>
        <v>#DIV/0!</v>
      </c>
      <c r="AC117" s="167" t="e">
        <f t="shared" si="14"/>
        <v>#DIV/0!</v>
      </c>
      <c r="AD117" s="167" t="e">
        <f t="shared" si="14"/>
        <v>#DIV/0!</v>
      </c>
      <c r="AE117" s="167" t="e">
        <f t="shared" si="14"/>
        <v>#DIV/0!</v>
      </c>
      <c r="AF117" s="167" t="e">
        <f t="shared" si="14"/>
        <v>#DIV/0!</v>
      </c>
      <c r="AG117" s="167" t="e">
        <f t="shared" si="14"/>
        <v>#DIV/0!</v>
      </c>
      <c r="AH117" s="167" t="e">
        <f t="shared" si="14"/>
        <v>#DIV/0!</v>
      </c>
      <c r="AI117" s="167" t="e">
        <f t="shared" si="14"/>
        <v>#DIV/0!</v>
      </c>
      <c r="AJ117" s="167" t="e">
        <f t="shared" si="14"/>
        <v>#DIV/0!</v>
      </c>
      <c r="AK117" s="167" t="e">
        <f t="shared" si="14"/>
        <v>#DIV/0!</v>
      </c>
    </row>
    <row r="118" spans="2:37" x14ac:dyDescent="0.15">
      <c r="B118" s="98" t="s">
        <v>1009</v>
      </c>
      <c r="C118" s="94">
        <f>SUMIFS('caseload data'!E:E,'caseload data'!$D:$D,"SPO",'caseload data'!$A:$A,'divisional &amp; regional overview'!$B$99,'caseload data'!$B:$B,"custody")</f>
        <v>0</v>
      </c>
      <c r="D118" s="94">
        <f>SUMIFS('caseload data'!F:F,'caseload data'!$D:$D,"SPO",'caseload data'!$A:$A,'divisional &amp; regional overview'!$B$99,'caseload data'!$B:$B,"custody")</f>
        <v>0</v>
      </c>
      <c r="E118" s="94">
        <f>SUMIFS('caseload data'!G:G,'caseload data'!$D:$D,"SPO",'caseload data'!$A:$A,'divisional &amp; regional overview'!$B$99,'caseload data'!$B:$B,"custody")</f>
        <v>0</v>
      </c>
      <c r="F118" s="94">
        <f>SUMIFS('caseload data'!H:H,'caseload data'!$D:$D,"SPO",'caseload data'!$A:$A,'divisional &amp; regional overview'!$B$99,'caseload data'!$B:$B,"custody")</f>
        <v>0</v>
      </c>
      <c r="G118" s="94">
        <f>SUMIFS('caseload data'!I:I,'caseload data'!$D:$D,"SPO",'caseload data'!$A:$A,'divisional &amp; regional overview'!$B$99,'caseload data'!$B:$B,"custody")</f>
        <v>0</v>
      </c>
      <c r="H118" s="94">
        <f>SUMIFS('caseload data'!J:J,'caseload data'!$D:$D,"SPO",'caseload data'!$A:$A,'divisional &amp; regional overview'!$B$99,'caseload data'!$B:$B,"custody")</f>
        <v>0</v>
      </c>
      <c r="I118" s="94">
        <f>SUMIFS('caseload data'!K:K,'caseload data'!$D:$D,"SPO",'caseload data'!$A:$A,'divisional &amp; regional overview'!$B$99,'caseload data'!$B:$B,"custody")</f>
        <v>0</v>
      </c>
      <c r="J118" s="94">
        <f>SUMIFS('caseload data'!L:L,'caseload data'!$D:$D,"SPO",'caseload data'!$A:$A,'divisional &amp; regional overview'!$B$99,'caseload data'!$B:$B,"custody")</f>
        <v>0</v>
      </c>
      <c r="K118" s="94">
        <f>SUMIFS('caseload data'!M:M,'caseload data'!$D:$D,"SPO",'caseload data'!$A:$A,'divisional &amp; regional overview'!$B$99,'caseload data'!$B:$B,"custody")</f>
        <v>0</v>
      </c>
      <c r="L118" s="94">
        <f>SUMIFS('caseload data'!N:N,'caseload data'!$D:$D,"SPO",'caseload data'!$A:$A,'divisional &amp; regional overview'!$B$99,'caseload data'!$B:$B,"custody")</f>
        <v>0</v>
      </c>
      <c r="M118" s="94">
        <f>SUMIFS('caseload data'!O:O,'caseload data'!$D:$D,"SPO",'caseload data'!$A:$A,'divisional &amp; regional overview'!$B$99,'caseload data'!$B:$B,"custody")</f>
        <v>0</v>
      </c>
      <c r="N118" s="94">
        <f>SUMIFS('caseload data'!P:P,'caseload data'!$D:$D,"SPO",'caseload data'!$A:$A,'divisional &amp; regional overview'!$B$99,'caseload data'!$B:$B,"custody")</f>
        <v>0</v>
      </c>
      <c r="O118" s="94">
        <f>SUMIFS('caseload data'!Q:Q,'caseload data'!$D:$D,"SPO",'caseload data'!$A:$A,'divisional &amp; regional overview'!$B$99,'caseload data'!$B:$B,"custody")</f>
        <v>0</v>
      </c>
      <c r="P118" s="94">
        <f>SUMIFS('caseload data'!R:R,'caseload data'!$D:$D,"SPO",'caseload data'!$A:$A,'divisional &amp; regional overview'!$B$99,'caseload data'!$B:$B,"custody")</f>
        <v>0</v>
      </c>
      <c r="Q118" s="94">
        <f>SUMIFS('caseload data'!S:S,'caseload data'!$D:$D,"SPO",'caseload data'!$A:$A,'divisional &amp; regional overview'!$B$99,'caseload data'!$B:$B,"custody")</f>
        <v>0</v>
      </c>
      <c r="R118" s="94">
        <f>SUMIFS('caseload data'!T:T,'caseload data'!$D:$D,"SPO",'caseload data'!$A:$A,'divisional &amp; regional overview'!$B$99,'caseload data'!$B:$B,"custody")</f>
        <v>0</v>
      </c>
      <c r="U118" s="98" t="s">
        <v>1009</v>
      </c>
      <c r="V118" s="167" t="e">
        <f>C$118/SUM(C$115:C$118)</f>
        <v>#DIV/0!</v>
      </c>
      <c r="W118" s="167" t="e">
        <f>D$118/SUM(D$115:D$118)</f>
        <v>#DIV/0!</v>
      </c>
      <c r="X118" s="167" t="e">
        <f t="shared" ref="X118:AK118" si="15">E$118/SUM(E$115:E$118)</f>
        <v>#DIV/0!</v>
      </c>
      <c r="Y118" s="167" t="e">
        <f t="shared" si="15"/>
        <v>#DIV/0!</v>
      </c>
      <c r="Z118" s="167" t="e">
        <f t="shared" si="15"/>
        <v>#DIV/0!</v>
      </c>
      <c r="AA118" s="167" t="e">
        <f t="shared" si="15"/>
        <v>#DIV/0!</v>
      </c>
      <c r="AB118" s="167" t="e">
        <f t="shared" si="15"/>
        <v>#DIV/0!</v>
      </c>
      <c r="AC118" s="167" t="e">
        <f t="shared" si="15"/>
        <v>#DIV/0!</v>
      </c>
      <c r="AD118" s="167" t="e">
        <f t="shared" si="15"/>
        <v>#DIV/0!</v>
      </c>
      <c r="AE118" s="167" t="e">
        <f t="shared" si="15"/>
        <v>#DIV/0!</v>
      </c>
      <c r="AF118" s="167" t="e">
        <f t="shared" si="15"/>
        <v>#DIV/0!</v>
      </c>
      <c r="AG118" s="167" t="e">
        <f t="shared" si="15"/>
        <v>#DIV/0!</v>
      </c>
      <c r="AH118" s="167" t="e">
        <f t="shared" si="15"/>
        <v>#DIV/0!</v>
      </c>
      <c r="AI118" s="167" t="e">
        <f t="shared" si="15"/>
        <v>#DIV/0!</v>
      </c>
      <c r="AJ118" s="167" t="e">
        <f t="shared" si="15"/>
        <v>#DIV/0!</v>
      </c>
      <c r="AK118" s="167" t="e">
        <f t="shared" si="15"/>
        <v>#DIV/0!</v>
      </c>
    </row>
    <row r="119" spans="2:37" x14ac:dyDescent="0.15">
      <c r="B119" s="21"/>
    </row>
    <row r="120" spans="2:37" ht="21.75" customHeight="1" x14ac:dyDescent="0.2">
      <c r="B120" s="52" t="str">
        <f>B5</f>
        <v>East Midlands Region</v>
      </c>
      <c r="C120" s="427" t="s">
        <v>1012</v>
      </c>
      <c r="D120" s="428"/>
      <c r="E120" s="428"/>
      <c r="F120" s="428"/>
      <c r="G120" s="428"/>
      <c r="H120" s="428"/>
      <c r="I120" s="428"/>
      <c r="J120" s="428"/>
      <c r="K120" s="428"/>
      <c r="L120" s="428"/>
      <c r="M120" s="428"/>
      <c r="N120" s="428"/>
      <c r="O120" s="428"/>
      <c r="P120" s="428"/>
      <c r="Q120" s="428"/>
      <c r="R120" s="428"/>
      <c r="U120" s="52" t="str">
        <f>B5</f>
        <v>East Midlands Region</v>
      </c>
      <c r="V120" s="414" t="s">
        <v>1004</v>
      </c>
      <c r="W120" s="415"/>
      <c r="X120" s="415"/>
      <c r="Y120" s="415"/>
      <c r="Z120" s="415"/>
      <c r="AA120" s="415"/>
      <c r="AB120" s="415"/>
      <c r="AC120" s="415"/>
      <c r="AD120" s="415"/>
      <c r="AE120" s="415"/>
      <c r="AF120" s="415"/>
      <c r="AG120" s="415"/>
      <c r="AH120" s="415"/>
      <c r="AI120" s="415"/>
      <c r="AJ120" s="415"/>
      <c r="AK120" s="415"/>
    </row>
    <row r="121" spans="2:37" ht="18" x14ac:dyDescent="0.2">
      <c r="B121" s="283" t="s">
        <v>1005</v>
      </c>
      <c r="C121" s="38" t="s">
        <v>869</v>
      </c>
      <c r="D121" s="38" t="s">
        <v>870</v>
      </c>
      <c r="E121" s="38" t="s">
        <v>871</v>
      </c>
      <c r="F121" s="38" t="s">
        <v>872</v>
      </c>
      <c r="G121" s="38" t="s">
        <v>873</v>
      </c>
      <c r="H121" s="38" t="s">
        <v>874</v>
      </c>
      <c r="I121" s="38" t="s">
        <v>875</v>
      </c>
      <c r="J121" s="38" t="s">
        <v>876</v>
      </c>
      <c r="K121" s="38" t="s">
        <v>877</v>
      </c>
      <c r="L121" s="38" t="s">
        <v>878</v>
      </c>
      <c r="M121" s="38" t="s">
        <v>879</v>
      </c>
      <c r="N121" s="38" t="s">
        <v>880</v>
      </c>
      <c r="O121" s="38" t="s">
        <v>881</v>
      </c>
      <c r="P121" s="38" t="s">
        <v>882</v>
      </c>
      <c r="Q121" s="38" t="s">
        <v>883</v>
      </c>
      <c r="R121" s="38" t="s">
        <v>884</v>
      </c>
      <c r="U121" s="95" t="s">
        <v>1006</v>
      </c>
      <c r="V121" s="38" t="s">
        <v>869</v>
      </c>
      <c r="W121" s="38" t="s">
        <v>870</v>
      </c>
      <c r="X121" s="38" t="s">
        <v>871</v>
      </c>
      <c r="Y121" s="38" t="s">
        <v>872</v>
      </c>
      <c r="Z121" s="38" t="s">
        <v>873</v>
      </c>
      <c r="AA121" s="38" t="s">
        <v>874</v>
      </c>
      <c r="AB121" s="38" t="s">
        <v>875</v>
      </c>
      <c r="AC121" s="38" t="s">
        <v>876</v>
      </c>
      <c r="AD121" s="38" t="s">
        <v>877</v>
      </c>
      <c r="AE121" s="38" t="s">
        <v>878</v>
      </c>
      <c r="AF121" s="38" t="s">
        <v>879</v>
      </c>
      <c r="AG121" s="38" t="s">
        <v>880</v>
      </c>
      <c r="AH121" s="38" t="s">
        <v>881</v>
      </c>
      <c r="AI121" s="38" t="s">
        <v>882</v>
      </c>
      <c r="AJ121" s="38" t="s">
        <v>883</v>
      </c>
      <c r="AK121" s="38" t="s">
        <v>884</v>
      </c>
    </row>
    <row r="122" spans="2:37" x14ac:dyDescent="0.15">
      <c r="B122" s="96" t="s">
        <v>1002</v>
      </c>
      <c r="C122" s="94">
        <f>SUMIFS('caseload data'!E:E,'caseload data'!$D:$D,"PO",'caseload data'!$A:$A,'divisional &amp; regional overview'!$B$106)</f>
        <v>0</v>
      </c>
      <c r="D122" s="94">
        <f>SUMIFS('caseload data'!F:F,'caseload data'!$D:$D,"PO",'caseload data'!$A:$A,'divisional &amp; regional overview'!$B$106)</f>
        <v>0</v>
      </c>
      <c r="E122" s="94">
        <f>SUMIFS('caseload data'!G:G,'caseload data'!$D:$D,"PO",'caseload data'!$A:$A,'divisional &amp; regional overview'!$B$106)</f>
        <v>0</v>
      </c>
      <c r="F122" s="94">
        <f>SUMIFS('caseload data'!H:H,'caseload data'!$D:$D,"PO",'caseload data'!$A:$A,'divisional &amp; regional overview'!$B$106)</f>
        <v>0</v>
      </c>
      <c r="G122" s="94">
        <f>SUMIFS('caseload data'!I:I,'caseload data'!$D:$D,"PO",'caseload data'!$A:$A,'divisional &amp; regional overview'!$B$106)</f>
        <v>0</v>
      </c>
      <c r="H122" s="94">
        <f>SUMIFS('caseload data'!J:J,'caseload data'!$D:$D,"PO",'caseload data'!$A:$A,'divisional &amp; regional overview'!$B$106)</f>
        <v>0</v>
      </c>
      <c r="I122" s="94">
        <f>SUMIFS('caseload data'!K:K,'caseload data'!$D:$D,"PO",'caseload data'!$A:$A,'divisional &amp; regional overview'!$B$106)</f>
        <v>0</v>
      </c>
      <c r="J122" s="94">
        <f>SUMIFS('caseload data'!L:L,'caseload data'!$D:$D,"PO",'caseload data'!$A:$A,'divisional &amp; regional overview'!$B$106)</f>
        <v>0</v>
      </c>
      <c r="K122" s="94">
        <f>SUMIFS('caseload data'!M:M,'caseload data'!$D:$D,"PO",'caseload data'!$A:$A,'divisional &amp; regional overview'!$B$106)</f>
        <v>0</v>
      </c>
      <c r="L122" s="94">
        <f>SUMIFS('caseload data'!N:N,'caseload data'!$D:$D,"PO",'caseload data'!$A:$A,'divisional &amp; regional overview'!$B$106)</f>
        <v>0</v>
      </c>
      <c r="M122" s="94">
        <f>SUMIFS('caseload data'!O:O,'caseload data'!$D:$D,"PO",'caseload data'!$A:$A,'divisional &amp; regional overview'!$B$106)</f>
        <v>0</v>
      </c>
      <c r="N122" s="94">
        <f>SUMIFS('caseload data'!P:P,'caseload data'!$D:$D,"PO",'caseload data'!$A:$A,'divisional &amp; regional overview'!$B$106)</f>
        <v>0</v>
      </c>
      <c r="O122" s="94">
        <f>SUMIFS('caseload data'!Q:Q,'caseload data'!$D:$D,"PO",'caseload data'!$A:$A,'divisional &amp; regional overview'!$B$106)</f>
        <v>0</v>
      </c>
      <c r="P122" s="94">
        <f>SUMIFS('caseload data'!R:R,'caseload data'!$D:$D,"PO",'caseload data'!$A:$A,'divisional &amp; regional overview'!$B$106)</f>
        <v>0</v>
      </c>
      <c r="Q122" s="94">
        <f>SUMIFS('caseload data'!S:S,'caseload data'!$D:$D,"PO",'caseload data'!$A:$A,'divisional &amp; regional overview'!$B$106)</f>
        <v>0</v>
      </c>
      <c r="R122" s="94">
        <f>SUMIFS('caseload data'!T:T,'caseload data'!$D:$D,"PO",'caseload data'!$A:$A,'divisional &amp; regional overview'!$B$106)</f>
        <v>0</v>
      </c>
      <c r="U122" s="96" t="s">
        <v>1002</v>
      </c>
      <c r="V122" s="167" t="e">
        <f>C$122/SUM(C$122:C$125)</f>
        <v>#DIV/0!</v>
      </c>
      <c r="W122" s="167" t="e">
        <f>D$122/SUM(D$122:D$125)</f>
        <v>#DIV/0!</v>
      </c>
      <c r="X122" s="167" t="e">
        <f t="shared" ref="X122:AK122" si="16">E$122/SUM(E$122:E$125)</f>
        <v>#DIV/0!</v>
      </c>
      <c r="Y122" s="167" t="e">
        <f t="shared" si="16"/>
        <v>#DIV/0!</v>
      </c>
      <c r="Z122" s="167" t="e">
        <f t="shared" si="16"/>
        <v>#DIV/0!</v>
      </c>
      <c r="AA122" s="167" t="e">
        <f t="shared" si="16"/>
        <v>#DIV/0!</v>
      </c>
      <c r="AB122" s="167" t="e">
        <f t="shared" si="16"/>
        <v>#DIV/0!</v>
      </c>
      <c r="AC122" s="167" t="e">
        <f t="shared" si="16"/>
        <v>#DIV/0!</v>
      </c>
      <c r="AD122" s="167" t="e">
        <f t="shared" si="16"/>
        <v>#DIV/0!</v>
      </c>
      <c r="AE122" s="167" t="e">
        <f t="shared" si="16"/>
        <v>#DIV/0!</v>
      </c>
      <c r="AF122" s="167" t="e">
        <f t="shared" si="16"/>
        <v>#DIV/0!</v>
      </c>
      <c r="AG122" s="167" t="e">
        <f t="shared" si="16"/>
        <v>#DIV/0!</v>
      </c>
      <c r="AH122" s="167" t="e">
        <f t="shared" si="16"/>
        <v>#DIV/0!</v>
      </c>
      <c r="AI122" s="167" t="e">
        <f t="shared" si="16"/>
        <v>#DIV/0!</v>
      </c>
      <c r="AJ122" s="167" t="e">
        <f t="shared" si="16"/>
        <v>#DIV/0!</v>
      </c>
      <c r="AK122" s="167" t="e">
        <f t="shared" si="16"/>
        <v>#DIV/0!</v>
      </c>
    </row>
    <row r="123" spans="2:37" x14ac:dyDescent="0.15">
      <c r="B123" s="97" t="s">
        <v>1007</v>
      </c>
      <c r="C123" s="94">
        <f>SUMIFS('caseload data'!E:E,'caseload data'!$D:$D,"PSO",'caseload data'!$A:$A,'divisional &amp; regional overview'!$B$106)</f>
        <v>0</v>
      </c>
      <c r="D123" s="94">
        <f>SUMIFS('caseload data'!F:F,'caseload data'!$D:$D,"PSO",'caseload data'!$A:$A,'divisional &amp; regional overview'!$B$106)</f>
        <v>0</v>
      </c>
      <c r="E123" s="94">
        <f>SUMIFS('caseload data'!G:G,'caseload data'!$D:$D,"PSO",'caseload data'!$A:$A,'divisional &amp; regional overview'!$B$106)</f>
        <v>0</v>
      </c>
      <c r="F123" s="94">
        <f>SUMIFS('caseload data'!H:H,'caseload data'!$D:$D,"PSO",'caseload data'!$A:$A,'divisional &amp; regional overview'!$B$106)</f>
        <v>0</v>
      </c>
      <c r="G123" s="94">
        <f>SUMIFS('caseload data'!I:I,'caseload data'!$D:$D,"PSO",'caseload data'!$A:$A,'divisional &amp; regional overview'!$B$106)</f>
        <v>0</v>
      </c>
      <c r="H123" s="94">
        <f>SUMIFS('caseload data'!J:J,'caseload data'!$D:$D,"PSO",'caseload data'!$A:$A,'divisional &amp; regional overview'!$B$106)</f>
        <v>0</v>
      </c>
      <c r="I123" s="94">
        <f>SUMIFS('caseload data'!K:K,'caseload data'!$D:$D,"PSO",'caseload data'!$A:$A,'divisional &amp; regional overview'!$B$106)</f>
        <v>0</v>
      </c>
      <c r="J123" s="94">
        <f>SUMIFS('caseload data'!L:L,'caseload data'!$D:$D,"PSO",'caseload data'!$A:$A,'divisional &amp; regional overview'!$B$106)</f>
        <v>0</v>
      </c>
      <c r="K123" s="94">
        <f>SUMIFS('caseload data'!M:M,'caseload data'!$D:$D,"PSO",'caseload data'!$A:$A,'divisional &amp; regional overview'!$B$106)</f>
        <v>0</v>
      </c>
      <c r="L123" s="94">
        <f>SUMIFS('caseload data'!N:N,'caseload data'!$D:$D,"PSO",'caseload data'!$A:$A,'divisional &amp; regional overview'!$B$106)</f>
        <v>0</v>
      </c>
      <c r="M123" s="94">
        <f>SUMIFS('caseload data'!O:O,'caseload data'!$D:$D,"PSO",'caseload data'!$A:$A,'divisional &amp; regional overview'!$B$106)</f>
        <v>0</v>
      </c>
      <c r="N123" s="94">
        <f>SUMIFS('caseload data'!P:P,'caseload data'!$D:$D,"PSO",'caseload data'!$A:$A,'divisional &amp; regional overview'!$B$106)</f>
        <v>0</v>
      </c>
      <c r="O123" s="94">
        <f>SUMIFS('caseload data'!Q:Q,'caseload data'!$D:$D,"PSO",'caseload data'!$A:$A,'divisional &amp; regional overview'!$B$106)</f>
        <v>0</v>
      </c>
      <c r="P123" s="94">
        <f>SUMIFS('caseload data'!R:R,'caseload data'!$D:$D,"PSO",'caseload data'!$A:$A,'divisional &amp; regional overview'!$B$106)</f>
        <v>0</v>
      </c>
      <c r="Q123" s="94">
        <f>SUMIFS('caseload data'!S:S,'caseload data'!$D:$D,"PSO",'caseload data'!$A:$A,'divisional &amp; regional overview'!$B$106)</f>
        <v>0</v>
      </c>
      <c r="R123" s="94">
        <f>SUMIFS('caseload data'!T:T,'caseload data'!$D:$D,"PSO",'caseload data'!$A:$A,'divisional &amp; regional overview'!$B$106)</f>
        <v>0</v>
      </c>
      <c r="U123" s="97" t="s">
        <v>1007</v>
      </c>
      <c r="V123" s="167" t="e">
        <f>C$123/SUM(C$122:C$125)</f>
        <v>#DIV/0!</v>
      </c>
      <c r="W123" s="167" t="e">
        <f>D$123/SUM(D$122:D$125)</f>
        <v>#DIV/0!</v>
      </c>
      <c r="X123" s="167" t="e">
        <f t="shared" ref="X123:AK123" si="17">E$123/SUM(E$122:E$125)</f>
        <v>#DIV/0!</v>
      </c>
      <c r="Y123" s="167" t="e">
        <f t="shared" si="17"/>
        <v>#DIV/0!</v>
      </c>
      <c r="Z123" s="167" t="e">
        <f t="shared" si="17"/>
        <v>#DIV/0!</v>
      </c>
      <c r="AA123" s="167" t="e">
        <f t="shared" si="17"/>
        <v>#DIV/0!</v>
      </c>
      <c r="AB123" s="167" t="e">
        <f t="shared" si="17"/>
        <v>#DIV/0!</v>
      </c>
      <c r="AC123" s="167" t="e">
        <f t="shared" si="17"/>
        <v>#DIV/0!</v>
      </c>
      <c r="AD123" s="167" t="e">
        <f t="shared" si="17"/>
        <v>#DIV/0!</v>
      </c>
      <c r="AE123" s="167" t="e">
        <f t="shared" si="17"/>
        <v>#DIV/0!</v>
      </c>
      <c r="AF123" s="167" t="e">
        <f t="shared" si="17"/>
        <v>#DIV/0!</v>
      </c>
      <c r="AG123" s="167" t="e">
        <f t="shared" si="17"/>
        <v>#DIV/0!</v>
      </c>
      <c r="AH123" s="167" t="e">
        <f t="shared" si="17"/>
        <v>#DIV/0!</v>
      </c>
      <c r="AI123" s="167" t="e">
        <f t="shared" si="17"/>
        <v>#DIV/0!</v>
      </c>
      <c r="AJ123" s="167" t="e">
        <f t="shared" si="17"/>
        <v>#DIV/0!</v>
      </c>
      <c r="AK123" s="167" t="e">
        <f t="shared" si="17"/>
        <v>#DIV/0!</v>
      </c>
    </row>
    <row r="124" spans="2:37" x14ac:dyDescent="0.15">
      <c r="B124" s="97" t="s">
        <v>1008</v>
      </c>
      <c r="C124" s="94">
        <f>SUMIFS('caseload data'!E:E,'caseload data'!$D:$D,"TPO",'caseload data'!$A:$A,'divisional &amp; regional overview'!$B$106)</f>
        <v>0</v>
      </c>
      <c r="D124" s="94">
        <f>SUMIFS('caseload data'!F:F,'caseload data'!$D:$D,"TPO",'caseload data'!$A:$A,'divisional &amp; regional overview'!$B$106)</f>
        <v>0</v>
      </c>
      <c r="E124" s="94">
        <f>SUMIFS('caseload data'!G:G,'caseload data'!$D:$D,"TPO",'caseload data'!$A:$A,'divisional &amp; regional overview'!$B$106)</f>
        <v>0</v>
      </c>
      <c r="F124" s="94">
        <f>SUMIFS('caseload data'!H:H,'caseload data'!$D:$D,"TPO",'caseload data'!$A:$A,'divisional &amp; regional overview'!$B$106)</f>
        <v>0</v>
      </c>
      <c r="G124" s="94">
        <f>SUMIFS('caseload data'!I:I,'caseload data'!$D:$D,"TPO",'caseload data'!$A:$A,'divisional &amp; regional overview'!$B$106)</f>
        <v>0</v>
      </c>
      <c r="H124" s="94">
        <f>SUMIFS('caseload data'!J:J,'caseload data'!$D:$D,"TPO",'caseload data'!$A:$A,'divisional &amp; regional overview'!$B$106)</f>
        <v>0</v>
      </c>
      <c r="I124" s="94">
        <f>SUMIFS('caseload data'!K:K,'caseload data'!$D:$D,"TPO",'caseload data'!$A:$A,'divisional &amp; regional overview'!$B$106)</f>
        <v>0</v>
      </c>
      <c r="J124" s="94">
        <f>SUMIFS('caseload data'!L:L,'caseload data'!$D:$D,"TPO",'caseload data'!$A:$A,'divisional &amp; regional overview'!$B$106)</f>
        <v>0</v>
      </c>
      <c r="K124" s="94">
        <f>SUMIFS('caseload data'!M:M,'caseload data'!$D:$D,"TPO",'caseload data'!$A:$A,'divisional &amp; regional overview'!$B$106)</f>
        <v>0</v>
      </c>
      <c r="L124" s="94">
        <f>SUMIFS('caseload data'!N:N,'caseload data'!$D:$D,"TPO",'caseload data'!$A:$A,'divisional &amp; regional overview'!$B$106)</f>
        <v>0</v>
      </c>
      <c r="M124" s="94">
        <f>SUMIFS('caseload data'!O:O,'caseload data'!$D:$D,"TPO",'caseload data'!$A:$A,'divisional &amp; regional overview'!$B$106)</f>
        <v>0</v>
      </c>
      <c r="N124" s="94">
        <f>SUMIFS('caseload data'!P:P,'caseload data'!$D:$D,"TPO",'caseload data'!$A:$A,'divisional &amp; regional overview'!$B$106)</f>
        <v>0</v>
      </c>
      <c r="O124" s="94">
        <f>SUMIFS('caseload data'!Q:Q,'caseload data'!$D:$D,"TPO",'caseload data'!$A:$A,'divisional &amp; regional overview'!$B$106)</f>
        <v>0</v>
      </c>
      <c r="P124" s="94">
        <f>SUMIFS('caseload data'!R:R,'caseload data'!$D:$D,"TPO",'caseload data'!$A:$A,'divisional &amp; regional overview'!$B$106)</f>
        <v>0</v>
      </c>
      <c r="Q124" s="94">
        <f>SUMIFS('caseload data'!S:S,'caseload data'!$D:$D,"TPO",'caseload data'!$A:$A,'divisional &amp; regional overview'!$B$106)</f>
        <v>0</v>
      </c>
      <c r="R124" s="94">
        <f>SUMIFS('caseload data'!T:T,'caseload data'!$D:$D,"TPO",'caseload data'!$A:$A,'divisional &amp; regional overview'!$B$106)</f>
        <v>0</v>
      </c>
      <c r="U124" s="97" t="s">
        <v>1008</v>
      </c>
      <c r="V124" s="167" t="e">
        <f>C$124/SUM(C$122:C$125)</f>
        <v>#DIV/0!</v>
      </c>
      <c r="W124" s="167" t="e">
        <f>D$124/SUM(D$122:D$125)</f>
        <v>#DIV/0!</v>
      </c>
      <c r="X124" s="167" t="e">
        <f t="shared" ref="X124:AK124" si="18">E$124/SUM(E$122:E$125)</f>
        <v>#DIV/0!</v>
      </c>
      <c r="Y124" s="167" t="e">
        <f t="shared" si="18"/>
        <v>#DIV/0!</v>
      </c>
      <c r="Z124" s="167" t="e">
        <f t="shared" si="18"/>
        <v>#DIV/0!</v>
      </c>
      <c r="AA124" s="167" t="e">
        <f t="shared" si="18"/>
        <v>#DIV/0!</v>
      </c>
      <c r="AB124" s="167" t="e">
        <f t="shared" si="18"/>
        <v>#DIV/0!</v>
      </c>
      <c r="AC124" s="167" t="e">
        <f t="shared" si="18"/>
        <v>#DIV/0!</v>
      </c>
      <c r="AD124" s="167" t="e">
        <f t="shared" si="18"/>
        <v>#DIV/0!</v>
      </c>
      <c r="AE124" s="167" t="e">
        <f t="shared" si="18"/>
        <v>#DIV/0!</v>
      </c>
      <c r="AF124" s="167" t="e">
        <f t="shared" si="18"/>
        <v>#DIV/0!</v>
      </c>
      <c r="AG124" s="167" t="e">
        <f t="shared" si="18"/>
        <v>#DIV/0!</v>
      </c>
      <c r="AH124" s="167" t="e">
        <f t="shared" si="18"/>
        <v>#DIV/0!</v>
      </c>
      <c r="AI124" s="167" t="e">
        <f t="shared" si="18"/>
        <v>#DIV/0!</v>
      </c>
      <c r="AJ124" s="167" t="e">
        <f t="shared" si="18"/>
        <v>#DIV/0!</v>
      </c>
      <c r="AK124" s="167" t="e">
        <f t="shared" si="18"/>
        <v>#DIV/0!</v>
      </c>
    </row>
    <row r="125" spans="2:37" x14ac:dyDescent="0.15">
      <c r="B125" s="98" t="s">
        <v>1009</v>
      </c>
      <c r="C125" s="94">
        <f>SUMIFS('caseload data'!E:E,'caseload data'!$D:$D,"SPO",'caseload data'!$A:$A,$B$99)</f>
        <v>0</v>
      </c>
      <c r="D125" s="94">
        <f>SUMIFS('caseload data'!F:F,'caseload data'!$D:$D,"SPO",'caseload data'!$A:$A,$B$99)</f>
        <v>0</v>
      </c>
      <c r="E125" s="94">
        <f>SUMIFS('caseload data'!G:G,'caseload data'!$D:$D,"SPO",'caseload data'!$A:$A,$B$99)</f>
        <v>0</v>
      </c>
      <c r="F125" s="94">
        <f>SUMIFS('caseload data'!H:H,'caseload data'!$D:$D,"SPO",'caseload data'!$A:$A,$B$99)</f>
        <v>0</v>
      </c>
      <c r="G125" s="94">
        <f>SUMIFS('caseload data'!I:I,'caseload data'!$D:$D,"SPO",'caseload data'!$A:$A,$B$99)</f>
        <v>0</v>
      </c>
      <c r="H125" s="94">
        <f>SUMIFS('caseload data'!J:J,'caseload data'!$D:$D,"SPO",'caseload data'!$A:$A,$B$99)</f>
        <v>0</v>
      </c>
      <c r="I125" s="94">
        <f>SUMIFS('caseload data'!K:K,'caseload data'!$D:$D,"SPO",'caseload data'!$A:$A,$B$99)</f>
        <v>0</v>
      </c>
      <c r="J125" s="94">
        <f>SUMIFS('caseload data'!L:L,'caseload data'!$D:$D,"SPO",'caseload data'!$A:$A,$B$99)</f>
        <v>0</v>
      </c>
      <c r="K125" s="94">
        <f>SUMIFS('caseload data'!M:M,'caseload data'!$D:$D,"SPO",'caseload data'!$A:$A,$B$99)</f>
        <v>0</v>
      </c>
      <c r="L125" s="94">
        <f>SUMIFS('caseload data'!N:N,'caseload data'!$D:$D,"SPO",'caseload data'!$A:$A,$B$99)</f>
        <v>0</v>
      </c>
      <c r="M125" s="94">
        <f>SUMIFS('caseload data'!O:O,'caseload data'!$D:$D,"SPO",'caseload data'!$A:$A,$B$99)</f>
        <v>0</v>
      </c>
      <c r="N125" s="94">
        <f>SUMIFS('caseload data'!P:P,'caseload data'!$D:$D,"SPO",'caseload data'!$A:$A,$B$99)</f>
        <v>0</v>
      </c>
      <c r="O125" s="94">
        <f>SUMIFS('caseload data'!Q:Q,'caseload data'!$D:$D,"SPO",'caseload data'!$A:$A,$B$99)</f>
        <v>0</v>
      </c>
      <c r="P125" s="94">
        <f>SUMIFS('caseload data'!R:R,'caseload data'!$D:$D,"SPO",'caseload data'!$A:$A,$B$99)</f>
        <v>0</v>
      </c>
      <c r="Q125" s="94">
        <f>SUMIFS('caseload data'!S:S,'caseload data'!$D:$D,"SPO",'caseload data'!$A:$A,$B$99)</f>
        <v>0</v>
      </c>
      <c r="R125" s="94">
        <f>SUMIFS('caseload data'!T:T,'caseload data'!$D:$D,"SPO",'caseload data'!$A:$A,$B$99)</f>
        <v>0</v>
      </c>
      <c r="U125" s="98" t="s">
        <v>1009</v>
      </c>
      <c r="V125" s="167" t="e">
        <f>C$125/SUM(C$122:C$125)</f>
        <v>#DIV/0!</v>
      </c>
      <c r="W125" s="167" t="e">
        <f>D$125/SUM(D$122:D$125)</f>
        <v>#DIV/0!</v>
      </c>
      <c r="X125" s="167" t="e">
        <f t="shared" ref="X125:AK125" si="19">E$125/SUM(E$122:E$125)</f>
        <v>#DIV/0!</v>
      </c>
      <c r="Y125" s="167" t="e">
        <f t="shared" si="19"/>
        <v>#DIV/0!</v>
      </c>
      <c r="Z125" s="167" t="e">
        <f t="shared" si="19"/>
        <v>#DIV/0!</v>
      </c>
      <c r="AA125" s="167" t="e">
        <f t="shared" si="19"/>
        <v>#DIV/0!</v>
      </c>
      <c r="AB125" s="167" t="e">
        <f t="shared" si="19"/>
        <v>#DIV/0!</v>
      </c>
      <c r="AC125" s="167" t="e">
        <f t="shared" si="19"/>
        <v>#DIV/0!</v>
      </c>
      <c r="AD125" s="167" t="e">
        <f t="shared" si="19"/>
        <v>#DIV/0!</v>
      </c>
      <c r="AE125" s="167" t="e">
        <f t="shared" si="19"/>
        <v>#DIV/0!</v>
      </c>
      <c r="AF125" s="167" t="e">
        <f t="shared" si="19"/>
        <v>#DIV/0!</v>
      </c>
      <c r="AG125" s="167" t="e">
        <f t="shared" si="19"/>
        <v>#DIV/0!</v>
      </c>
      <c r="AH125" s="167" t="e">
        <f t="shared" si="19"/>
        <v>#DIV/0!</v>
      </c>
      <c r="AI125" s="167" t="e">
        <f t="shared" si="19"/>
        <v>#DIV/0!</v>
      </c>
      <c r="AJ125" s="167" t="e">
        <f t="shared" si="19"/>
        <v>#DIV/0!</v>
      </c>
      <c r="AK125" s="167" t="e">
        <f t="shared" si="19"/>
        <v>#DIV/0!</v>
      </c>
    </row>
  </sheetData>
  <sortState xmlns:xlrd2="http://schemas.microsoft.com/office/spreadsheetml/2017/richdata2" ref="B34:D82">
    <sortCondition ref="B34:B82"/>
  </sortState>
  <mergeCells count="19">
    <mergeCell ref="C120:R120"/>
    <mergeCell ref="C113:R113"/>
    <mergeCell ref="C106:R106"/>
    <mergeCell ref="V113:AK113"/>
    <mergeCell ref="V120:AK120"/>
    <mergeCell ref="B19:H19"/>
    <mergeCell ref="B13:M13"/>
    <mergeCell ref="A1:M1"/>
    <mergeCell ref="V99:AK99"/>
    <mergeCell ref="V106:AK106"/>
    <mergeCell ref="F37:F40"/>
    <mergeCell ref="G37:G40"/>
    <mergeCell ref="B26:K26"/>
    <mergeCell ref="B32:D32"/>
    <mergeCell ref="F32:G32"/>
    <mergeCell ref="A2:L2"/>
    <mergeCell ref="C85:S85"/>
    <mergeCell ref="C92:R92"/>
    <mergeCell ref="C99:R99"/>
  </mergeCells>
  <conditionalFormatting sqref="C9:F10">
    <cfRule type="cellIs" dxfId="6335" priority="351" operator="lessThan">
      <formula>0.9</formula>
    </cfRule>
    <cfRule type="cellIs" dxfId="6334" priority="352" operator="greaterThanOrEqual">
      <formula>1.1</formula>
    </cfRule>
  </conditionalFormatting>
  <conditionalFormatting sqref="C102:F103 C116:F117 C123:F124 C109:F110">
    <cfRule type="cellIs" dxfId="6333" priority="337" operator="equal">
      <formula>0</formula>
    </cfRule>
    <cfRule type="cellIs" dxfId="6332" priority="338" operator="notEqual">
      <formula>0</formula>
    </cfRule>
  </conditionalFormatting>
  <conditionalFormatting sqref="G102:G103">
    <cfRule type="cellIs" dxfId="6331" priority="255" operator="equal">
      <formula>0</formula>
    </cfRule>
    <cfRule type="cellIs" dxfId="6330" priority="256" operator="notEqual">
      <formula>0</formula>
    </cfRule>
  </conditionalFormatting>
  <conditionalFormatting sqref="H102:H103">
    <cfRule type="cellIs" dxfId="6329" priority="253" operator="equal">
      <formula>0</formula>
    </cfRule>
    <cfRule type="cellIs" dxfId="6328" priority="254" operator="notEqual">
      <formula>0</formula>
    </cfRule>
  </conditionalFormatting>
  <conditionalFormatting sqref="I102:I103">
    <cfRule type="cellIs" dxfId="6327" priority="251" operator="equal">
      <formula>0</formula>
    </cfRule>
    <cfRule type="cellIs" dxfId="6326" priority="252" operator="notEqual">
      <formula>0</formula>
    </cfRule>
  </conditionalFormatting>
  <conditionalFormatting sqref="J102:J103">
    <cfRule type="cellIs" dxfId="6325" priority="249" operator="equal">
      <formula>0</formula>
    </cfRule>
    <cfRule type="cellIs" dxfId="6324" priority="250" operator="notEqual">
      <formula>0</formula>
    </cfRule>
  </conditionalFormatting>
  <conditionalFormatting sqref="O101">
    <cfRule type="cellIs" dxfId="6323" priority="247" operator="equal">
      <formula>0</formula>
    </cfRule>
    <cfRule type="cellIs" dxfId="6322" priority="248" operator="notEqual">
      <formula>0</formula>
    </cfRule>
  </conditionalFormatting>
  <conditionalFormatting sqref="O104">
    <cfRule type="cellIs" dxfId="6321" priority="245" operator="equal">
      <formula>0</formula>
    </cfRule>
    <cfRule type="cellIs" dxfId="6320" priority="246" operator="notEqual">
      <formula>0</formula>
    </cfRule>
  </conditionalFormatting>
  <conditionalFormatting sqref="P101">
    <cfRule type="cellIs" dxfId="6319" priority="243" operator="equal">
      <formula>0</formula>
    </cfRule>
    <cfRule type="cellIs" dxfId="6318" priority="244" operator="notEqual">
      <formula>0</formula>
    </cfRule>
  </conditionalFormatting>
  <conditionalFormatting sqref="P104">
    <cfRule type="cellIs" dxfId="6317" priority="241" operator="equal">
      <formula>0</formula>
    </cfRule>
    <cfRule type="cellIs" dxfId="6316" priority="242" operator="notEqual">
      <formula>0</formula>
    </cfRule>
  </conditionalFormatting>
  <conditionalFormatting sqref="Q101">
    <cfRule type="cellIs" dxfId="6315" priority="239" operator="equal">
      <formula>0</formula>
    </cfRule>
    <cfRule type="cellIs" dxfId="6314" priority="240" operator="notEqual">
      <formula>0</formula>
    </cfRule>
  </conditionalFormatting>
  <conditionalFormatting sqref="Q104">
    <cfRule type="cellIs" dxfId="6313" priority="237" operator="equal">
      <formula>0</formula>
    </cfRule>
    <cfRule type="cellIs" dxfId="6312" priority="238" operator="notEqual">
      <formula>0</formula>
    </cfRule>
  </conditionalFormatting>
  <conditionalFormatting sqref="R101">
    <cfRule type="cellIs" dxfId="6311" priority="235" operator="equal">
      <formula>0</formula>
    </cfRule>
    <cfRule type="cellIs" dxfId="6310" priority="236" operator="notEqual">
      <formula>0</formula>
    </cfRule>
  </conditionalFormatting>
  <conditionalFormatting sqref="R104">
    <cfRule type="cellIs" dxfId="6309" priority="233" operator="equal">
      <formula>0</formula>
    </cfRule>
    <cfRule type="cellIs" dxfId="6308" priority="234" operator="notEqual">
      <formula>0</formula>
    </cfRule>
  </conditionalFormatting>
  <conditionalFormatting sqref="G116:G117">
    <cfRule type="cellIs" dxfId="6307" priority="203" operator="equal">
      <formula>0</formula>
    </cfRule>
    <cfRule type="cellIs" dxfId="6306" priority="204" operator="notEqual">
      <formula>0</formula>
    </cfRule>
  </conditionalFormatting>
  <conditionalFormatting sqref="H116:H117">
    <cfRule type="cellIs" dxfId="6305" priority="201" operator="equal">
      <formula>0</formula>
    </cfRule>
    <cfRule type="cellIs" dxfId="6304" priority="202" operator="notEqual">
      <formula>0</formula>
    </cfRule>
  </conditionalFormatting>
  <conditionalFormatting sqref="I116:I117">
    <cfRule type="cellIs" dxfId="6303" priority="199" operator="equal">
      <formula>0</formula>
    </cfRule>
    <cfRule type="cellIs" dxfId="6302" priority="200" operator="notEqual">
      <formula>0</formula>
    </cfRule>
  </conditionalFormatting>
  <conditionalFormatting sqref="J116:J117">
    <cfRule type="cellIs" dxfId="6301" priority="197" operator="equal">
      <formula>0</formula>
    </cfRule>
    <cfRule type="cellIs" dxfId="6300" priority="198" operator="notEqual">
      <formula>0</formula>
    </cfRule>
  </conditionalFormatting>
  <conditionalFormatting sqref="O115">
    <cfRule type="cellIs" dxfId="6299" priority="195" operator="equal">
      <formula>0</formula>
    </cfRule>
    <cfRule type="cellIs" dxfId="6298" priority="196" operator="notEqual">
      <formula>0</formula>
    </cfRule>
  </conditionalFormatting>
  <conditionalFormatting sqref="O118">
    <cfRule type="cellIs" dxfId="6297" priority="193" operator="equal">
      <formula>0</formula>
    </cfRule>
    <cfRule type="cellIs" dxfId="6296" priority="194" operator="notEqual">
      <formula>0</formula>
    </cfRule>
  </conditionalFormatting>
  <conditionalFormatting sqref="P115">
    <cfRule type="cellIs" dxfId="6295" priority="191" operator="equal">
      <formula>0</formula>
    </cfRule>
    <cfRule type="cellIs" dxfId="6294" priority="192" operator="notEqual">
      <formula>0</formula>
    </cfRule>
  </conditionalFormatting>
  <conditionalFormatting sqref="P118">
    <cfRule type="cellIs" dxfId="6293" priority="189" operator="equal">
      <formula>0</formula>
    </cfRule>
    <cfRule type="cellIs" dxfId="6292" priority="190" operator="notEqual">
      <formula>0</formula>
    </cfRule>
  </conditionalFormatting>
  <conditionalFormatting sqref="Q115">
    <cfRule type="cellIs" dxfId="6291" priority="187" operator="equal">
      <formula>0</formula>
    </cfRule>
    <cfRule type="cellIs" dxfId="6290" priority="188" operator="notEqual">
      <formula>0</formula>
    </cfRule>
  </conditionalFormatting>
  <conditionalFormatting sqref="Q118">
    <cfRule type="cellIs" dxfId="6289" priority="185" operator="equal">
      <formula>0</formula>
    </cfRule>
    <cfRule type="cellIs" dxfId="6288" priority="186" operator="notEqual">
      <formula>0</formula>
    </cfRule>
  </conditionalFormatting>
  <conditionalFormatting sqref="R115">
    <cfRule type="cellIs" dxfId="6287" priority="183" operator="equal">
      <formula>0</formula>
    </cfRule>
    <cfRule type="cellIs" dxfId="6286" priority="184" operator="notEqual">
      <formula>0</formula>
    </cfRule>
  </conditionalFormatting>
  <conditionalFormatting sqref="R118">
    <cfRule type="cellIs" dxfId="6285" priority="181" operator="equal">
      <formula>0</formula>
    </cfRule>
    <cfRule type="cellIs" dxfId="6284" priority="182" operator="notEqual">
      <formula>0</formula>
    </cfRule>
  </conditionalFormatting>
  <conditionalFormatting sqref="G123:G124">
    <cfRule type="cellIs" dxfId="6283" priority="177" operator="equal">
      <formula>0</formula>
    </cfRule>
    <cfRule type="cellIs" dxfId="6282" priority="178" operator="notEqual">
      <formula>0</formula>
    </cfRule>
  </conditionalFormatting>
  <conditionalFormatting sqref="H123:H124">
    <cfRule type="cellIs" dxfId="6281" priority="175" operator="equal">
      <formula>0</formula>
    </cfRule>
    <cfRule type="cellIs" dxfId="6280" priority="176" operator="notEqual">
      <formula>0</formula>
    </cfRule>
  </conditionalFormatting>
  <conditionalFormatting sqref="I123:I124">
    <cfRule type="cellIs" dxfId="6279" priority="173" operator="equal">
      <formula>0</formula>
    </cfRule>
    <cfRule type="cellIs" dxfId="6278" priority="174" operator="notEqual">
      <formula>0</formula>
    </cfRule>
  </conditionalFormatting>
  <conditionalFormatting sqref="J123:J124">
    <cfRule type="cellIs" dxfId="6277" priority="171" operator="equal">
      <formula>0</formula>
    </cfRule>
    <cfRule type="cellIs" dxfId="6276" priority="172" operator="notEqual">
      <formula>0</formula>
    </cfRule>
  </conditionalFormatting>
  <conditionalFormatting sqref="O122">
    <cfRule type="cellIs" dxfId="6275" priority="169" operator="equal">
      <formula>0</formula>
    </cfRule>
    <cfRule type="cellIs" dxfId="6274" priority="170" operator="notEqual">
      <formula>0</formula>
    </cfRule>
  </conditionalFormatting>
  <conditionalFormatting sqref="O125">
    <cfRule type="cellIs" dxfId="6273" priority="167" operator="equal">
      <formula>0</formula>
    </cfRule>
    <cfRule type="cellIs" dxfId="6272" priority="168" operator="notEqual">
      <formula>0</formula>
    </cfRule>
  </conditionalFormatting>
  <conditionalFormatting sqref="P122">
    <cfRule type="cellIs" dxfId="6271" priority="165" operator="equal">
      <formula>0</formula>
    </cfRule>
    <cfRule type="cellIs" dxfId="6270" priority="166" operator="notEqual">
      <formula>0</formula>
    </cfRule>
  </conditionalFormatting>
  <conditionalFormatting sqref="P125">
    <cfRule type="cellIs" dxfId="6269" priority="163" operator="equal">
      <formula>0</formula>
    </cfRule>
    <cfRule type="cellIs" dxfId="6268" priority="164" operator="notEqual">
      <formula>0</formula>
    </cfRule>
  </conditionalFormatting>
  <conditionalFormatting sqref="Q122">
    <cfRule type="cellIs" dxfId="6267" priority="161" operator="equal">
      <formula>0</formula>
    </cfRule>
    <cfRule type="cellIs" dxfId="6266" priority="162" operator="notEqual">
      <formula>0</formula>
    </cfRule>
  </conditionalFormatting>
  <conditionalFormatting sqref="Q125">
    <cfRule type="cellIs" dxfId="6265" priority="159" operator="equal">
      <formula>0</formula>
    </cfRule>
    <cfRule type="cellIs" dxfId="6264" priority="160" operator="notEqual">
      <formula>0</formula>
    </cfRule>
  </conditionalFormatting>
  <conditionalFormatting sqref="R122">
    <cfRule type="cellIs" dxfId="6263" priority="157" operator="equal">
      <formula>0</formula>
    </cfRule>
    <cfRule type="cellIs" dxfId="6262" priority="158" operator="notEqual">
      <formula>0</formula>
    </cfRule>
  </conditionalFormatting>
  <conditionalFormatting sqref="R125">
    <cfRule type="cellIs" dxfId="6261" priority="155" operator="equal">
      <formula>0</formula>
    </cfRule>
    <cfRule type="cellIs" dxfId="6260" priority="156" operator="notEqual">
      <formula>0</formula>
    </cfRule>
  </conditionalFormatting>
  <conditionalFormatting sqref="V102:V103">
    <cfRule type="cellIs" dxfId="6259" priority="153" operator="equal">
      <formula>0</formula>
    </cfRule>
    <cfRule type="cellIs" dxfId="6258" priority="154" operator="notEqual">
      <formula>0</formula>
    </cfRule>
  </conditionalFormatting>
  <conditionalFormatting sqref="W102:W103">
    <cfRule type="cellIs" dxfId="6257" priority="151" operator="equal">
      <formula>0</formula>
    </cfRule>
    <cfRule type="cellIs" dxfId="6256" priority="152" operator="notEqual">
      <formula>0</formula>
    </cfRule>
  </conditionalFormatting>
  <conditionalFormatting sqref="X102:X103">
    <cfRule type="cellIs" dxfId="6255" priority="149" operator="equal">
      <formula>0</formula>
    </cfRule>
    <cfRule type="cellIs" dxfId="6254" priority="150" operator="notEqual">
      <formula>0</formula>
    </cfRule>
  </conditionalFormatting>
  <conditionalFormatting sqref="Y102:Y103">
    <cfRule type="cellIs" dxfId="6253" priority="147" operator="equal">
      <formula>0</formula>
    </cfRule>
    <cfRule type="cellIs" dxfId="6252" priority="148" operator="notEqual">
      <formula>0</formula>
    </cfRule>
  </conditionalFormatting>
  <conditionalFormatting sqref="Z102:Z103">
    <cfRule type="cellIs" dxfId="6251" priority="145" operator="equal">
      <formula>0</formula>
    </cfRule>
    <cfRule type="cellIs" dxfId="6250" priority="146" operator="notEqual">
      <formula>0</formula>
    </cfRule>
  </conditionalFormatting>
  <conditionalFormatting sqref="AA102:AA103">
    <cfRule type="cellIs" dxfId="6249" priority="143" operator="equal">
      <formula>0</formula>
    </cfRule>
    <cfRule type="cellIs" dxfId="6248" priority="144" operator="notEqual">
      <formula>0</formula>
    </cfRule>
  </conditionalFormatting>
  <conditionalFormatting sqref="AB102:AB103">
    <cfRule type="cellIs" dxfId="6247" priority="141" operator="equal">
      <formula>0</formula>
    </cfRule>
    <cfRule type="cellIs" dxfId="6246" priority="142" operator="notEqual">
      <formula>0</formula>
    </cfRule>
  </conditionalFormatting>
  <conditionalFormatting sqref="AC102:AC103">
    <cfRule type="cellIs" dxfId="6245" priority="139" operator="equal">
      <formula>0</formula>
    </cfRule>
    <cfRule type="cellIs" dxfId="6244" priority="140" operator="notEqual">
      <formula>0</formula>
    </cfRule>
  </conditionalFormatting>
  <conditionalFormatting sqref="AH101">
    <cfRule type="cellIs" dxfId="6243" priority="137" operator="equal">
      <formula>0</formula>
    </cfRule>
    <cfRule type="cellIs" dxfId="6242" priority="138" operator="notEqual">
      <formula>0</formula>
    </cfRule>
  </conditionalFormatting>
  <conditionalFormatting sqref="AH104">
    <cfRule type="cellIs" dxfId="6241" priority="135" operator="equal">
      <formula>0</formula>
    </cfRule>
    <cfRule type="cellIs" dxfId="6240" priority="136" operator="notEqual">
      <formula>0</formula>
    </cfRule>
  </conditionalFormatting>
  <conditionalFormatting sqref="AI101">
    <cfRule type="cellIs" dxfId="6239" priority="133" operator="equal">
      <formula>0</formula>
    </cfRule>
    <cfRule type="cellIs" dxfId="6238" priority="134" operator="notEqual">
      <formula>0</formula>
    </cfRule>
  </conditionalFormatting>
  <conditionalFormatting sqref="AI104">
    <cfRule type="cellIs" dxfId="6237" priority="131" operator="equal">
      <formula>0</formula>
    </cfRule>
    <cfRule type="cellIs" dxfId="6236" priority="132" operator="notEqual">
      <formula>0</formula>
    </cfRule>
  </conditionalFormatting>
  <conditionalFormatting sqref="AJ101">
    <cfRule type="cellIs" dxfId="6235" priority="129" operator="equal">
      <formula>0</formula>
    </cfRule>
    <cfRule type="cellIs" dxfId="6234" priority="130" operator="notEqual">
      <formula>0</formula>
    </cfRule>
  </conditionalFormatting>
  <conditionalFormatting sqref="AJ104">
    <cfRule type="cellIs" dxfId="6233" priority="127" operator="equal">
      <formula>0</formula>
    </cfRule>
    <cfRule type="cellIs" dxfId="6232" priority="128" operator="notEqual">
      <formula>0</formula>
    </cfRule>
  </conditionalFormatting>
  <conditionalFormatting sqref="AK101">
    <cfRule type="cellIs" dxfId="6231" priority="125" operator="equal">
      <formula>0</formula>
    </cfRule>
    <cfRule type="cellIs" dxfId="6230" priority="126" operator="notEqual">
      <formula>0</formula>
    </cfRule>
  </conditionalFormatting>
  <conditionalFormatting sqref="AK104">
    <cfRule type="cellIs" dxfId="6229" priority="123" operator="equal">
      <formula>0</formula>
    </cfRule>
    <cfRule type="cellIs" dxfId="6228" priority="124" operator="notEqual">
      <formula>0</formula>
    </cfRule>
  </conditionalFormatting>
  <conditionalFormatting sqref="V109:V110">
    <cfRule type="cellIs" dxfId="6227" priority="121" operator="equal">
      <formula>0</formula>
    </cfRule>
    <cfRule type="cellIs" dxfId="6226" priority="122" operator="notEqual">
      <formula>0</formula>
    </cfRule>
  </conditionalFormatting>
  <conditionalFormatting sqref="W109:W110">
    <cfRule type="cellIs" dxfId="6225" priority="119" operator="equal">
      <formula>0</formula>
    </cfRule>
    <cfRule type="cellIs" dxfId="6224" priority="120" operator="notEqual">
      <formula>0</formula>
    </cfRule>
  </conditionalFormatting>
  <conditionalFormatting sqref="X109:X110">
    <cfRule type="cellIs" dxfId="6223" priority="117" operator="equal">
      <formula>0</formula>
    </cfRule>
    <cfRule type="cellIs" dxfId="6222" priority="118" operator="notEqual">
      <formula>0</formula>
    </cfRule>
  </conditionalFormatting>
  <conditionalFormatting sqref="Y109:Y110">
    <cfRule type="cellIs" dxfId="6221" priority="115" operator="equal">
      <formula>0</formula>
    </cfRule>
    <cfRule type="cellIs" dxfId="6220" priority="116" operator="notEqual">
      <formula>0</formula>
    </cfRule>
  </conditionalFormatting>
  <conditionalFormatting sqref="Z109:Z110">
    <cfRule type="cellIs" dxfId="6219" priority="113" operator="equal">
      <formula>0</formula>
    </cfRule>
    <cfRule type="cellIs" dxfId="6218" priority="114" operator="notEqual">
      <formula>0</formula>
    </cfRule>
  </conditionalFormatting>
  <conditionalFormatting sqref="AA109:AA110">
    <cfRule type="cellIs" dxfId="6217" priority="111" operator="equal">
      <formula>0</formula>
    </cfRule>
    <cfRule type="cellIs" dxfId="6216" priority="112" operator="notEqual">
      <formula>0</formula>
    </cfRule>
  </conditionalFormatting>
  <conditionalFormatting sqref="AB109:AB110">
    <cfRule type="cellIs" dxfId="6215" priority="109" operator="equal">
      <formula>0</formula>
    </cfRule>
    <cfRule type="cellIs" dxfId="6214" priority="110" operator="notEqual">
      <formula>0</formula>
    </cfRule>
  </conditionalFormatting>
  <conditionalFormatting sqref="AC109:AC110">
    <cfRule type="cellIs" dxfId="6213" priority="107" operator="equal">
      <formula>0</formula>
    </cfRule>
    <cfRule type="cellIs" dxfId="6212" priority="108" operator="notEqual">
      <formula>0</formula>
    </cfRule>
  </conditionalFormatting>
  <conditionalFormatting sqref="AH108">
    <cfRule type="cellIs" dxfId="6211" priority="105" operator="equal">
      <formula>0</formula>
    </cfRule>
    <cfRule type="cellIs" dxfId="6210" priority="106" operator="notEqual">
      <formula>0</formula>
    </cfRule>
  </conditionalFormatting>
  <conditionalFormatting sqref="AH111">
    <cfRule type="cellIs" dxfId="6209" priority="103" operator="equal">
      <formula>0</formula>
    </cfRule>
    <cfRule type="cellIs" dxfId="6208" priority="104" operator="notEqual">
      <formula>0</formula>
    </cfRule>
  </conditionalFormatting>
  <conditionalFormatting sqref="AI108">
    <cfRule type="cellIs" dxfId="6207" priority="101" operator="equal">
      <formula>0</formula>
    </cfRule>
    <cfRule type="cellIs" dxfId="6206" priority="102" operator="notEqual">
      <formula>0</formula>
    </cfRule>
  </conditionalFormatting>
  <conditionalFormatting sqref="AI111">
    <cfRule type="cellIs" dxfId="6205" priority="99" operator="equal">
      <formula>0</formula>
    </cfRule>
    <cfRule type="cellIs" dxfId="6204" priority="100" operator="notEqual">
      <formula>0</formula>
    </cfRule>
  </conditionalFormatting>
  <conditionalFormatting sqref="AJ108">
    <cfRule type="cellIs" dxfId="6203" priority="97" operator="equal">
      <formula>0</formula>
    </cfRule>
    <cfRule type="cellIs" dxfId="6202" priority="98" operator="notEqual">
      <formula>0</formula>
    </cfRule>
  </conditionalFormatting>
  <conditionalFormatting sqref="AJ111">
    <cfRule type="cellIs" dxfId="6201" priority="95" operator="equal">
      <formula>0</formula>
    </cfRule>
    <cfRule type="cellIs" dxfId="6200" priority="96" operator="notEqual">
      <formula>0</formula>
    </cfRule>
  </conditionalFormatting>
  <conditionalFormatting sqref="AK108">
    <cfRule type="cellIs" dxfId="6199" priority="93" operator="equal">
      <formula>0</formula>
    </cfRule>
    <cfRule type="cellIs" dxfId="6198" priority="94" operator="notEqual">
      <formula>0</formula>
    </cfRule>
  </conditionalFormatting>
  <conditionalFormatting sqref="AK111">
    <cfRule type="cellIs" dxfId="6197" priority="91" operator="equal">
      <formula>0</formula>
    </cfRule>
    <cfRule type="cellIs" dxfId="6196" priority="92" operator="notEqual">
      <formula>0</formula>
    </cfRule>
  </conditionalFormatting>
  <conditionalFormatting sqref="V116:V117">
    <cfRule type="cellIs" dxfId="6195" priority="89" operator="equal">
      <formula>0</formula>
    </cfRule>
    <cfRule type="cellIs" dxfId="6194" priority="90" operator="notEqual">
      <formula>0</formula>
    </cfRule>
  </conditionalFormatting>
  <conditionalFormatting sqref="W116:W117">
    <cfRule type="cellIs" dxfId="6193" priority="87" operator="equal">
      <formula>0</formula>
    </cfRule>
    <cfRule type="cellIs" dxfId="6192" priority="88" operator="notEqual">
      <formula>0</formula>
    </cfRule>
  </conditionalFormatting>
  <conditionalFormatting sqref="X116:X117">
    <cfRule type="cellIs" dxfId="6191" priority="85" operator="equal">
      <formula>0</formula>
    </cfRule>
    <cfRule type="cellIs" dxfId="6190" priority="86" operator="notEqual">
      <formula>0</formula>
    </cfRule>
  </conditionalFormatting>
  <conditionalFormatting sqref="Y116:Y117">
    <cfRule type="cellIs" dxfId="6189" priority="83" operator="equal">
      <formula>0</formula>
    </cfRule>
    <cfRule type="cellIs" dxfId="6188" priority="84" operator="notEqual">
      <formula>0</formula>
    </cfRule>
  </conditionalFormatting>
  <conditionalFormatting sqref="Z116:Z117">
    <cfRule type="cellIs" dxfId="6187" priority="81" operator="equal">
      <formula>0</formula>
    </cfRule>
    <cfRule type="cellIs" dxfId="6186" priority="82" operator="notEqual">
      <formula>0</formula>
    </cfRule>
  </conditionalFormatting>
  <conditionalFormatting sqref="AA116:AA117">
    <cfRule type="cellIs" dxfId="6185" priority="79" operator="equal">
      <formula>0</formula>
    </cfRule>
    <cfRule type="cellIs" dxfId="6184" priority="80" operator="notEqual">
      <formula>0</formula>
    </cfRule>
  </conditionalFormatting>
  <conditionalFormatting sqref="AB116:AB117">
    <cfRule type="cellIs" dxfId="6183" priority="77" operator="equal">
      <formula>0</formula>
    </cfRule>
    <cfRule type="cellIs" dxfId="6182" priority="78" operator="notEqual">
      <formula>0</formula>
    </cfRule>
  </conditionalFormatting>
  <conditionalFormatting sqref="AC116:AC117">
    <cfRule type="cellIs" dxfId="6181" priority="75" operator="equal">
      <formula>0</formula>
    </cfRule>
    <cfRule type="cellIs" dxfId="6180" priority="76" operator="notEqual">
      <formula>0</formula>
    </cfRule>
  </conditionalFormatting>
  <conditionalFormatting sqref="AH115">
    <cfRule type="cellIs" dxfId="6179" priority="73" operator="equal">
      <formula>0</formula>
    </cfRule>
    <cfRule type="cellIs" dxfId="6178" priority="74" operator="notEqual">
      <formula>0</formula>
    </cfRule>
  </conditionalFormatting>
  <conditionalFormatting sqref="AH118">
    <cfRule type="cellIs" dxfId="6177" priority="71" operator="equal">
      <formula>0</formula>
    </cfRule>
    <cfRule type="cellIs" dxfId="6176" priority="72" operator="notEqual">
      <formula>0</formula>
    </cfRule>
  </conditionalFormatting>
  <conditionalFormatting sqref="AI115">
    <cfRule type="cellIs" dxfId="6175" priority="69" operator="equal">
      <formula>0</formula>
    </cfRule>
    <cfRule type="cellIs" dxfId="6174" priority="70" operator="notEqual">
      <formula>0</formula>
    </cfRule>
  </conditionalFormatting>
  <conditionalFormatting sqref="AI118">
    <cfRule type="cellIs" dxfId="6173" priority="67" operator="equal">
      <formula>0</formula>
    </cfRule>
    <cfRule type="cellIs" dxfId="6172" priority="68" operator="notEqual">
      <formula>0</formula>
    </cfRule>
  </conditionalFormatting>
  <conditionalFormatting sqref="AJ115">
    <cfRule type="cellIs" dxfId="6171" priority="65" operator="equal">
      <formula>0</formula>
    </cfRule>
    <cfRule type="cellIs" dxfId="6170" priority="66" operator="notEqual">
      <formula>0</formula>
    </cfRule>
  </conditionalFormatting>
  <conditionalFormatting sqref="AJ118">
    <cfRule type="cellIs" dxfId="6169" priority="63" operator="equal">
      <formula>0</formula>
    </cfRule>
    <cfRule type="cellIs" dxfId="6168" priority="64" operator="notEqual">
      <formula>0</formula>
    </cfRule>
  </conditionalFormatting>
  <conditionalFormatting sqref="AK115">
    <cfRule type="cellIs" dxfId="6167" priority="61" operator="equal">
      <formula>0</formula>
    </cfRule>
    <cfRule type="cellIs" dxfId="6166" priority="62" operator="notEqual">
      <formula>0</formula>
    </cfRule>
  </conditionalFormatting>
  <conditionalFormatting sqref="AK118">
    <cfRule type="cellIs" dxfId="6165" priority="59" operator="equal">
      <formula>0</formula>
    </cfRule>
    <cfRule type="cellIs" dxfId="6164" priority="60" operator="notEqual">
      <formula>0</formula>
    </cfRule>
  </conditionalFormatting>
  <conditionalFormatting sqref="V123:V124">
    <cfRule type="cellIs" dxfId="6163" priority="57" operator="equal">
      <formula>0</formula>
    </cfRule>
    <cfRule type="cellIs" dxfId="6162" priority="58" operator="notEqual">
      <formula>0</formula>
    </cfRule>
  </conditionalFormatting>
  <conditionalFormatting sqref="W123:W124">
    <cfRule type="cellIs" dxfId="6161" priority="55" operator="equal">
      <formula>0</formula>
    </cfRule>
    <cfRule type="cellIs" dxfId="6160" priority="56" operator="notEqual">
      <formula>0</formula>
    </cfRule>
  </conditionalFormatting>
  <conditionalFormatting sqref="X123:X124">
    <cfRule type="cellIs" dxfId="6159" priority="53" operator="equal">
      <formula>0</formula>
    </cfRule>
    <cfRule type="cellIs" dxfId="6158" priority="54" operator="notEqual">
      <formula>0</formula>
    </cfRule>
  </conditionalFormatting>
  <conditionalFormatting sqref="Y123:Y124">
    <cfRule type="cellIs" dxfId="6157" priority="51" operator="equal">
      <formula>0</formula>
    </cfRule>
    <cfRule type="cellIs" dxfId="6156" priority="52" operator="notEqual">
      <formula>0</formula>
    </cfRule>
  </conditionalFormatting>
  <conditionalFormatting sqref="Z123:Z124">
    <cfRule type="cellIs" dxfId="6155" priority="49" operator="equal">
      <formula>0</formula>
    </cfRule>
    <cfRule type="cellIs" dxfId="6154" priority="50" operator="notEqual">
      <formula>0</formula>
    </cfRule>
  </conditionalFormatting>
  <conditionalFormatting sqref="AA123:AA124">
    <cfRule type="cellIs" dxfId="6153" priority="47" operator="equal">
      <formula>0</formula>
    </cfRule>
    <cfRule type="cellIs" dxfId="6152" priority="48" operator="notEqual">
      <formula>0</formula>
    </cfRule>
  </conditionalFormatting>
  <conditionalFormatting sqref="AB123:AB124">
    <cfRule type="cellIs" dxfId="6151" priority="45" operator="equal">
      <formula>0</formula>
    </cfRule>
    <cfRule type="cellIs" dxfId="6150" priority="46" operator="notEqual">
      <formula>0</formula>
    </cfRule>
  </conditionalFormatting>
  <conditionalFormatting sqref="AC123:AC124">
    <cfRule type="cellIs" dxfId="6149" priority="43" operator="equal">
      <formula>0</formula>
    </cfRule>
    <cfRule type="cellIs" dxfId="6148" priority="44" operator="notEqual">
      <formula>0</formula>
    </cfRule>
  </conditionalFormatting>
  <conditionalFormatting sqref="AH122">
    <cfRule type="cellIs" dxfId="6147" priority="41" operator="equal">
      <formula>0</formula>
    </cfRule>
    <cfRule type="cellIs" dxfId="6146" priority="42" operator="notEqual">
      <formula>0</formula>
    </cfRule>
  </conditionalFormatting>
  <conditionalFormatting sqref="AH125">
    <cfRule type="cellIs" dxfId="6145" priority="39" operator="equal">
      <formula>0</formula>
    </cfRule>
    <cfRule type="cellIs" dxfId="6144" priority="40" operator="notEqual">
      <formula>0</formula>
    </cfRule>
  </conditionalFormatting>
  <conditionalFormatting sqref="AI122">
    <cfRule type="cellIs" dxfId="6143" priority="37" operator="equal">
      <formula>0</formula>
    </cfRule>
    <cfRule type="cellIs" dxfId="6142" priority="38" operator="notEqual">
      <formula>0</formula>
    </cfRule>
  </conditionalFormatting>
  <conditionalFormatting sqref="AI125">
    <cfRule type="cellIs" dxfId="6141" priority="35" operator="equal">
      <formula>0</formula>
    </cfRule>
    <cfRule type="cellIs" dxfId="6140" priority="36" operator="notEqual">
      <formula>0</formula>
    </cfRule>
  </conditionalFormatting>
  <conditionalFormatting sqref="AJ122">
    <cfRule type="cellIs" dxfId="6139" priority="33" operator="equal">
      <formula>0</formula>
    </cfRule>
    <cfRule type="cellIs" dxfId="6138" priority="34" operator="notEqual">
      <formula>0</formula>
    </cfRule>
  </conditionalFormatting>
  <conditionalFormatting sqref="AJ125">
    <cfRule type="cellIs" dxfId="6137" priority="31" operator="equal">
      <formula>0</formula>
    </cfRule>
    <cfRule type="cellIs" dxfId="6136" priority="32" operator="notEqual">
      <formula>0</formula>
    </cfRule>
  </conditionalFormatting>
  <conditionalFormatting sqref="AK122">
    <cfRule type="cellIs" dxfId="6135" priority="29" operator="equal">
      <formula>0</formula>
    </cfRule>
    <cfRule type="cellIs" dxfId="6134" priority="30" operator="notEqual">
      <formula>0</formula>
    </cfRule>
  </conditionalFormatting>
  <conditionalFormatting sqref="AK125">
    <cfRule type="cellIs" dxfId="6133" priority="27" operator="equal">
      <formula>0</formula>
    </cfRule>
    <cfRule type="cellIs" dxfId="6132" priority="28" operator="notEqual">
      <formula>0</formula>
    </cfRule>
  </conditionalFormatting>
  <conditionalFormatting sqref="G109:G110">
    <cfRule type="cellIs" dxfId="6131" priority="23" operator="equal">
      <formula>0</formula>
    </cfRule>
    <cfRule type="cellIs" dxfId="6130" priority="24" operator="notEqual">
      <formula>0</formula>
    </cfRule>
  </conditionalFormatting>
  <conditionalFormatting sqref="H109:H110">
    <cfRule type="cellIs" dxfId="6129" priority="21" operator="equal">
      <formula>0</formula>
    </cfRule>
    <cfRule type="cellIs" dxfId="6128" priority="22" operator="notEqual">
      <formula>0</formula>
    </cfRule>
  </conditionalFormatting>
  <conditionalFormatting sqref="I109:I110">
    <cfRule type="cellIs" dxfId="6127" priority="19" operator="equal">
      <formula>0</formula>
    </cfRule>
    <cfRule type="cellIs" dxfId="6126" priority="20" operator="notEqual">
      <formula>0</formula>
    </cfRule>
  </conditionalFormatting>
  <conditionalFormatting sqref="J109:J110">
    <cfRule type="cellIs" dxfId="6125" priority="17" operator="equal">
      <formula>0</formula>
    </cfRule>
    <cfRule type="cellIs" dxfId="6124" priority="18" operator="notEqual">
      <formula>0</formula>
    </cfRule>
  </conditionalFormatting>
  <conditionalFormatting sqref="O108">
    <cfRule type="cellIs" dxfId="6123" priority="15" operator="equal">
      <formula>0</formula>
    </cfRule>
    <cfRule type="cellIs" dxfId="6122" priority="16" operator="notEqual">
      <formula>0</formula>
    </cfRule>
  </conditionalFormatting>
  <conditionalFormatting sqref="O111">
    <cfRule type="cellIs" dxfId="6121" priority="13" operator="equal">
      <formula>0</formula>
    </cfRule>
    <cfRule type="cellIs" dxfId="6120" priority="14" operator="notEqual">
      <formula>0</formula>
    </cfRule>
  </conditionalFormatting>
  <conditionalFormatting sqref="P108">
    <cfRule type="cellIs" dxfId="6119" priority="11" operator="equal">
      <formula>0</formula>
    </cfRule>
    <cfRule type="cellIs" dxfId="6118" priority="12" operator="notEqual">
      <formula>0</formula>
    </cfRule>
  </conditionalFormatting>
  <conditionalFormatting sqref="P111">
    <cfRule type="cellIs" dxfId="6117" priority="9" operator="equal">
      <formula>0</formula>
    </cfRule>
    <cfRule type="cellIs" dxfId="6116" priority="10" operator="notEqual">
      <formula>0</formula>
    </cfRule>
  </conditionalFormatting>
  <conditionalFormatting sqref="Q108">
    <cfRule type="cellIs" dxfId="6115" priority="7" operator="equal">
      <formula>0</formula>
    </cfRule>
    <cfRule type="cellIs" dxfId="6114" priority="8" operator="notEqual">
      <formula>0</formula>
    </cfRule>
  </conditionalFormatting>
  <conditionalFormatting sqref="Q111">
    <cfRule type="cellIs" dxfId="6113" priority="5" operator="equal">
      <formula>0</formula>
    </cfRule>
    <cfRule type="cellIs" dxfId="6112" priority="6" operator="notEqual">
      <formula>0</formula>
    </cfRule>
  </conditionalFormatting>
  <conditionalFormatting sqref="R108">
    <cfRule type="cellIs" dxfId="6111" priority="3" operator="equal">
      <formula>0</formula>
    </cfRule>
    <cfRule type="cellIs" dxfId="6110" priority="4" operator="notEqual">
      <formula>0</formula>
    </cfRule>
  </conditionalFormatting>
  <conditionalFormatting sqref="R111">
    <cfRule type="cellIs" dxfId="6109" priority="1" operator="equal">
      <formula>0</formula>
    </cfRule>
    <cfRule type="cellIs" dxfId="6108"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3"/>
  <sheetViews>
    <sheetView showGridLines="0" topLeftCell="A64" zoomScale="75" zoomScaleNormal="75" workbookViewId="0">
      <selection activeCell="H15" sqref="H15:M15"/>
    </sheetView>
  </sheetViews>
  <sheetFormatPr baseColWidth="10" defaultColWidth="9.1640625" defaultRowHeight="14" x14ac:dyDescent="0.15"/>
  <cols>
    <col min="2" max="2" width="48.5" customWidth="1"/>
    <col min="3" max="3" width="14.83203125" customWidth="1"/>
    <col min="4" max="4" width="15.83203125" customWidth="1"/>
    <col min="5" max="5" width="14.83203125" customWidth="1"/>
    <col min="6" max="6" width="17.1640625" customWidth="1"/>
    <col min="7" max="7" width="11.5" customWidth="1"/>
    <col min="8" max="8" width="24.5" customWidth="1"/>
    <col min="9" max="9" width="20.5" customWidth="1"/>
    <col min="10" max="10" width="18" customWidth="1"/>
    <col min="11" max="11" width="20.33203125" customWidth="1"/>
    <col min="12" max="12" width="16.33203125" customWidth="1"/>
    <col min="13" max="13" width="21.33203125" customWidth="1"/>
    <col min="14" max="14" width="23.83203125" customWidth="1"/>
    <col min="21" max="21" width="9.83203125" hidden="1" customWidth="1"/>
    <col min="22" max="22" width="43.6640625" hidden="1" customWidth="1"/>
    <col min="23" max="26" width="9.1640625" hidden="1" customWidth="1"/>
    <col min="27" max="27" width="0" hidden="1" customWidth="1"/>
  </cols>
  <sheetData>
    <row r="1" spans="1:26" ht="51.75" customHeight="1" x14ac:dyDescent="0.15">
      <c r="A1" s="429" t="s">
        <v>1013</v>
      </c>
      <c r="B1" s="429"/>
      <c r="C1" s="429"/>
      <c r="D1" s="429"/>
      <c r="E1" s="429"/>
      <c r="F1" s="429"/>
      <c r="G1" s="429"/>
      <c r="H1" s="429"/>
      <c r="I1" s="429"/>
      <c r="J1" s="429"/>
      <c r="K1" s="429"/>
      <c r="L1" s="429"/>
      <c r="M1" s="244"/>
      <c r="N1" s="244"/>
      <c r="O1" s="244"/>
      <c r="P1" s="244"/>
      <c r="Q1" s="244"/>
      <c r="R1" s="244"/>
      <c r="S1" s="244"/>
    </row>
    <row r="2" spans="1:26" ht="28.5" customHeight="1" x14ac:dyDescent="0.15">
      <c r="A2" s="424"/>
      <c r="B2" s="424"/>
      <c r="C2" s="424"/>
      <c r="D2" s="424"/>
      <c r="E2" s="424"/>
      <c r="F2" s="424"/>
      <c r="G2" s="424"/>
      <c r="H2" s="424"/>
      <c r="I2" s="424"/>
      <c r="J2" s="424"/>
      <c r="K2" s="424"/>
      <c r="L2" s="424"/>
      <c r="M2" s="241"/>
      <c r="N2" s="241"/>
      <c r="O2" s="241"/>
      <c r="P2" s="241"/>
      <c r="Q2" s="241"/>
      <c r="R2" s="241"/>
      <c r="S2" s="241"/>
    </row>
    <row r="4" spans="1:26" ht="36" customHeight="1" x14ac:dyDescent="0.15">
      <c r="B4" s="36" t="s">
        <v>940</v>
      </c>
      <c r="H4" s="36"/>
      <c r="S4" s="317"/>
      <c r="V4" s="309" t="s">
        <v>1247</v>
      </c>
      <c r="W4" s="309" cm="1">
        <f t="array" ref="W4">SUM(SUMIFS('capacity data'!K:K,'capacity data'!A:A,B5,'capacity data'!E:E,{"PO","PSO"}))</f>
        <v>0</v>
      </c>
      <c r="X4" s="316"/>
      <c r="Y4" s="309" t="s">
        <v>1250</v>
      </c>
      <c r="Z4" s="309" cm="1">
        <f t="array" ref="Z4">SUM(SUMIFS('capacity data'!K:K,'capacity data'!E:E,{"PO","PSO"}))</f>
        <v>0</v>
      </c>
    </row>
    <row r="5" spans="1:26" ht="38" customHeight="1" x14ac:dyDescent="0.15">
      <c r="B5" s="242" t="s">
        <v>21</v>
      </c>
      <c r="C5" s="40"/>
      <c r="H5" s="40"/>
      <c r="I5" s="40"/>
      <c r="S5" s="317"/>
      <c r="V5" s="310" t="s">
        <v>1248</v>
      </c>
      <c r="W5" s="309" cm="1">
        <f t="array" ref="W5">SUM(SUMIFS('capacity data'!I:I,'capacity data'!A:A,B5,'capacity data'!E:E,{"PO","PSO"}))-SUM((SUMIFS('capacity data'!J:J,'capacity data'!A:A,B5,'capacity data'!E:E,{"PO","PSO"})))</f>
        <v>0</v>
      </c>
      <c r="X5" s="316"/>
      <c r="Y5" s="310" t="s">
        <v>1251</v>
      </c>
      <c r="Z5" s="309" cm="1">
        <f t="array" ref="Z5">SUM(SUMIFS('capacity data'!I:I,'capacity data'!E:E,{"PO","PSO"}))-SUM((SUMIFS('capacity data'!J:J,'capacity data'!E:E,{"PO","PSO"})))</f>
        <v>0</v>
      </c>
    </row>
    <row r="6" spans="1:26" ht="38" customHeight="1" x14ac:dyDescent="0.15">
      <c r="C6" s="40"/>
      <c r="S6" s="317"/>
      <c r="V6" s="309" t="s">
        <v>1249</v>
      </c>
      <c r="W6" s="309">
        <f>W5/37</f>
        <v>0</v>
      </c>
      <c r="X6" s="316"/>
      <c r="Y6" s="309" t="s">
        <v>1249</v>
      </c>
      <c r="Z6" s="309">
        <f>Z5/37</f>
        <v>0</v>
      </c>
    </row>
    <row r="7" spans="1:26" ht="28" customHeight="1" x14ac:dyDescent="0.15">
      <c r="B7" s="297" t="s">
        <v>1014</v>
      </c>
      <c r="C7" s="281"/>
      <c r="D7" s="281"/>
      <c r="E7" s="281"/>
      <c r="F7" s="280"/>
      <c r="H7" s="432" t="s">
        <v>1015</v>
      </c>
      <c r="I7" s="433"/>
      <c r="J7" s="433"/>
      <c r="K7" s="433"/>
      <c r="L7" s="433"/>
      <c r="M7" s="433"/>
      <c r="N7" s="433"/>
      <c r="O7" s="317"/>
      <c r="P7" s="317"/>
      <c r="Q7" s="317"/>
      <c r="R7" s="317"/>
      <c r="S7" s="317"/>
    </row>
    <row r="8" spans="1:26" ht="43.5" customHeight="1" x14ac:dyDescent="0.15">
      <c r="B8" s="62"/>
      <c r="C8" s="219" t="s">
        <v>1016</v>
      </c>
      <c r="D8" s="219" t="s">
        <v>1017</v>
      </c>
      <c r="E8" s="219" t="s">
        <v>1018</v>
      </c>
      <c r="F8" s="219" t="s">
        <v>1019</v>
      </c>
      <c r="G8" s="64"/>
      <c r="H8" s="62"/>
      <c r="I8" s="219" t="s">
        <v>1020</v>
      </c>
      <c r="J8" s="63" t="s">
        <v>1021</v>
      </c>
      <c r="K8" s="63" t="s">
        <v>1022</v>
      </c>
      <c r="L8" s="63" t="s">
        <v>1023</v>
      </c>
      <c r="M8" s="219" t="s">
        <v>1024</v>
      </c>
      <c r="N8" s="219" t="s">
        <v>1246</v>
      </c>
      <c r="O8" s="64"/>
      <c r="P8" s="64"/>
      <c r="Q8" s="64"/>
      <c r="R8" s="64"/>
      <c r="S8" s="64"/>
      <c r="T8" s="64"/>
    </row>
    <row r="9" spans="1:26" ht="20" customHeight="1" x14ac:dyDescent="0.15">
      <c r="B9" s="306" t="str">
        <f>B5</f>
        <v>London</v>
      </c>
      <c r="C9" s="235" t="e">
        <f>SUMIFS('capacity data'!K:K,'capacity data'!A:A,B5,'capacity data'!E:E,"PO")/((SUMIFS('capacity data'!I:I,'capacity data'!A:A,B5,'capacity data'!E:E,"PO")-(SUMIFS('capacity data'!J:J,'capacity data'!A:A,B5,'capacity data'!E:E,"PO")))/37)</f>
        <v>#DIV/0!</v>
      </c>
      <c r="D9" s="236" t="e">
        <f>SUMIFS('capacity data'!K:K,'capacity data'!A:A,B5,'capacity data'!E:E,"PSO")/((SUMIFS('capacity data'!I:I,'capacity data'!A:A,B5,'capacity data'!E:E,"PSO")-(SUMIFS('capacity data'!J:J,'capacity data'!A:A,B5,'capacity data'!E:E,"PSO")))/37)</f>
        <v>#DIV/0!</v>
      </c>
      <c r="E9" s="236" t="e">
        <f>SUMIFS('capacity data'!K:K,'capacity data'!A:A,B5,'capacity data'!E:E,"TPO")/((SUMIFS('capacity data'!I:I,'capacity data'!A:A,B5,'capacity data'!E:E,"TPO")-(SUMIFS('capacity data'!J:J,'capacity data'!A:A,B5,'capacity data'!E:E,"TPO")))/37)</f>
        <v>#DIV/0!</v>
      </c>
      <c r="F9" s="236" t="e">
        <f>SUMIFS('capacity data'!K:K,'capacity data'!A:A,B5,'capacity data'!E:E,"&lt;&gt;DMY")/((SUMIFS('capacity data'!I:I,'capacity data'!A:A,B5,'capacity data'!E:E,"&lt;&gt;DMY")-(SUMIFS('capacity data'!J:J,'capacity data'!A:A,B5,'capacity data'!E:E,"&lt;&gt;DMY")))/37)</f>
        <v>#DIV/0!</v>
      </c>
      <c r="G9" s="64"/>
      <c r="H9" s="306" t="str">
        <f>B5</f>
        <v>London</v>
      </c>
      <c r="I9" s="82" t="e">
        <f>SUMIFS('capacity data'!F:F, 'capacity data'!E:E, "PO",'capacity data'!F:F, "&lt;&gt;0", 'capacity data'!A:A, B5) / COUNTIFS('capacity data'!E:E, "PO",'capacity data'!F:F, "&lt;&gt;0",'capacity data'!A:A, B5)</f>
        <v>#DIV/0!</v>
      </c>
      <c r="J9" s="82" t="e">
        <f>SUMIFS('capacity data'!F:F, 'capacity data'!E:E, "PSO",'capacity data'!F:F, "&lt;&gt;0", 'capacity data'!A:A, B5) / COUNTIFS('capacity data'!E:E, "PSO",'capacity data'!F:F, "&lt;&gt;0",'capacity data'!A:A, B5)</f>
        <v>#DIV/0!</v>
      </c>
      <c r="K9" s="82" t="e">
        <f>SUMIFS('capacity data'!F:F, 'capacity data'!E:E, "TPO",'capacity data'!F:F, "&lt;&gt;0", 'capacity data'!A:A, B5) / COUNTIFS('capacity data'!E:E, "TPO",'capacity data'!F:F, "&lt;&gt;0",'capacity data'!A:A, B5)</f>
        <v>#DIV/0!</v>
      </c>
      <c r="L9" s="82" t="e">
        <f>SUMIFS('capacity data'!F:F, 'capacity data'!E:E, "&lt;&gt;DMY",'capacity data'!F:F, "&lt;&gt;0", 'capacity data'!A:A, B5) / COUNTIFS('capacity data'!E:E, "&lt;&gt;DMY",'capacity data'!F:F, "&lt;&gt;0",'capacity data'!A:A, B5)</f>
        <v>#DIV/0!</v>
      </c>
      <c r="M9" s="293" t="e" cm="1">
        <f t="array" ref="M9">SUM(SUMIFS('capacity data'!F:F, 'capacity data'!E:E, {"PO","PSO"},'capacity data'!F:F, "&lt;&gt;0", 'capacity data'!A:A, B5)) / SUM(COUNTIFS('capacity data'!E:E, {"PO","PSO"},'capacity data'!F:F, "&lt;&gt;0",'capacity data'!A:A, B5))</f>
        <v>#DIV/0!</v>
      </c>
      <c r="N9" s="311" t="e">
        <f>W4/W6</f>
        <v>#DIV/0!</v>
      </c>
      <c r="O9" s="64"/>
      <c r="P9" s="64"/>
      <c r="Q9" s="64"/>
      <c r="R9" s="64"/>
      <c r="S9" s="64"/>
      <c r="T9" s="64"/>
    </row>
    <row r="10" spans="1:26" ht="18" customHeight="1" x14ac:dyDescent="0.15">
      <c r="B10" s="229" t="s">
        <v>1025</v>
      </c>
      <c r="C10" s="235" t="e">
        <f>SUMIFS('capacity data'!K:K,'capacity data'!E:E,"PO")/((SUMIFS('capacity data'!I:I,'capacity data'!E:E,"PO")-(SUMIFS('capacity data'!J:J,'capacity data'!E:E,"PO")))/37)</f>
        <v>#DIV/0!</v>
      </c>
      <c r="D10" s="236" t="e">
        <f>SUMIFS('capacity data'!K:K,'capacity data'!E:E,"PSO")/((SUMIFS('capacity data'!I:I,'capacity data'!E:E,"PSO")-(SUMIFS('capacity data'!J:J,'capacity data'!E:E,"PSO")))/37)</f>
        <v>#DIV/0!</v>
      </c>
      <c r="E10" s="236" t="e">
        <f>SUMIFS('capacity data'!K:K,'capacity data'!E:E,"TPO")/((SUMIFS('capacity data'!I:I,'capacity data'!E:E,"TPO")-(SUMIFS('capacity data'!J:J,'capacity data'!E:E,"TPO")))/37)</f>
        <v>#DIV/0!</v>
      </c>
      <c r="F10" s="236" t="e">
        <f>SUMIFS('capacity data'!K:K,'capacity data'!E:E,"&lt;&gt;DMY")/((SUMIFS('capacity data'!I:I,'capacity data'!E:E,"&lt;&gt;DMY")-(SUMIFS('capacity data'!J:J,'capacity data'!E:E,"&lt;&gt;DMY")))/37)</f>
        <v>#DIV/0!</v>
      </c>
      <c r="G10" s="64"/>
      <c r="H10" s="229" t="s">
        <v>1025</v>
      </c>
      <c r="I10" s="82" t="e">
        <f>SUMIFS('capacity data'!F:F, 'capacity data'!E:E, "PO",'capacity data'!F:F, "&lt;&gt;0") / COUNTIFS('capacity data'!E:E, "PO",'capacity data'!F:F, "&lt;&gt;0")</f>
        <v>#DIV/0!</v>
      </c>
      <c r="J10" s="82" t="e">
        <f>SUMIFS('capacity data'!F:F, 'capacity data'!E:E, "PSO",'capacity data'!F:F, "&lt;&gt;0") / COUNTIFS('capacity data'!E:E, "PSO",'capacity data'!F:F, "&lt;&gt;0")</f>
        <v>#DIV/0!</v>
      </c>
      <c r="K10" s="82" t="e">
        <f>SUMIFS('capacity data'!F:F, 'capacity data'!E:E, "TPO",'capacity data'!F:F, "&lt;&gt;0") / COUNTIFS('capacity data'!E:E, "TPO",'capacity data'!F:F, "&lt;&gt;0")</f>
        <v>#DIV/0!</v>
      </c>
      <c r="L10" s="82">
        <f>SUMIFS('capacity data'!F:F, 'capacity data'!E:E, "&lt;&gt;DMY",'capacity data'!F:F, "&lt;&gt;0") / COUNTIFS('capacity data'!E:E, "&lt;&gt;DMY",'capacity data'!F:F, "&lt;&gt;0", 'capacity data'!A:A, "&lt;&gt;")</f>
        <v>0</v>
      </c>
      <c r="M10" s="293" t="e" cm="1">
        <f t="array" ref="M10">SUM(SUMIFS('capacity data'!F:F,'capacity data'!E:E,{"PO","PSO"},'capacity data'!F:F,"&lt;&gt;0"))/SUM(COUNTIFS('capacity data'!E:E,{"PO","PSO"},'capacity data'!F:F,"&lt;&gt;0"))</f>
        <v>#DIV/0!</v>
      </c>
      <c r="N10" s="311" t="e">
        <f>Z4/Z6</f>
        <v>#DIV/0!</v>
      </c>
      <c r="O10" s="64"/>
      <c r="P10" s="64"/>
      <c r="Q10" s="64"/>
      <c r="R10" s="64"/>
      <c r="S10" s="64"/>
      <c r="T10" s="64"/>
    </row>
    <row r="11" spans="1:26" ht="17" customHeight="1" x14ac:dyDescent="0.15">
      <c r="B11" s="68" t="s">
        <v>951</v>
      </c>
      <c r="C11" s="235" t="e">
        <f>C9-C10</f>
        <v>#DIV/0!</v>
      </c>
      <c r="D11" s="235" t="e">
        <f t="shared" ref="D11:F11" si="0">D9-D10</f>
        <v>#DIV/0!</v>
      </c>
      <c r="E11" s="235" t="e">
        <f t="shared" si="0"/>
        <v>#DIV/0!</v>
      </c>
      <c r="F11" s="235" t="e">
        <f t="shared" si="0"/>
        <v>#DIV/0!</v>
      </c>
      <c r="G11" s="64"/>
      <c r="H11" s="68" t="s">
        <v>951</v>
      </c>
      <c r="I11" s="102" t="e">
        <f>I9-I10</f>
        <v>#DIV/0!</v>
      </c>
      <c r="J11" s="102" t="e">
        <f t="shared" ref="J11:K11" si="1">J9-J10</f>
        <v>#DIV/0!</v>
      </c>
      <c r="K11" s="102" t="e">
        <f t="shared" si="1"/>
        <v>#DIV/0!</v>
      </c>
      <c r="L11" s="102" t="e">
        <f>L9-L10</f>
        <v>#DIV/0!</v>
      </c>
      <c r="M11" s="102" t="e">
        <f>M9-M10</f>
        <v>#DIV/0!</v>
      </c>
      <c r="N11" s="312" t="e">
        <f>N9-N10</f>
        <v>#DIV/0!</v>
      </c>
      <c r="O11" s="64"/>
      <c r="P11" s="64"/>
      <c r="Q11" s="64"/>
      <c r="R11" s="64"/>
      <c r="S11" s="64"/>
      <c r="T11" s="64"/>
    </row>
    <row r="12" spans="1:26" ht="17" customHeight="1" x14ac:dyDescent="0.15">
      <c r="B12" s="64"/>
      <c r="C12" s="64"/>
      <c r="D12" s="238"/>
      <c r="E12" s="238"/>
      <c r="F12" s="238"/>
      <c r="G12" s="64"/>
      <c r="H12" s="64"/>
      <c r="I12" s="64"/>
      <c r="J12" s="64"/>
      <c r="K12" s="64"/>
      <c r="L12" s="64"/>
      <c r="M12" s="64"/>
      <c r="N12" s="64"/>
      <c r="O12" s="64"/>
      <c r="P12" s="64"/>
      <c r="Q12" s="64"/>
      <c r="R12" s="64"/>
      <c r="S12" s="238"/>
      <c r="T12" s="238"/>
      <c r="U12" s="238"/>
      <c r="V12" s="238"/>
    </row>
    <row r="13" spans="1:26" ht="17" customHeight="1" x14ac:dyDescent="0.15">
      <c r="B13" s="64"/>
      <c r="C13" s="64"/>
      <c r="D13" s="238"/>
      <c r="E13" s="238"/>
      <c r="F13" s="238"/>
      <c r="G13" s="64"/>
      <c r="H13" s="64"/>
      <c r="I13" s="64"/>
      <c r="J13" s="64"/>
      <c r="K13" s="64"/>
      <c r="L13" s="64"/>
      <c r="M13" s="64"/>
      <c r="N13" s="64"/>
      <c r="O13" s="64"/>
      <c r="P13" s="64"/>
      <c r="Q13" s="64"/>
      <c r="R13" s="64"/>
      <c r="S13" s="238"/>
      <c r="T13" s="238"/>
      <c r="U13" s="238"/>
      <c r="V13" s="238"/>
    </row>
    <row r="14" spans="1:26" ht="25" customHeight="1" x14ac:dyDescent="0.15">
      <c r="B14" s="297" t="s">
        <v>1026</v>
      </c>
      <c r="C14" s="295"/>
      <c r="D14" s="295"/>
      <c r="E14" s="295"/>
      <c r="F14" s="294"/>
      <c r="G14" s="64"/>
      <c r="H14" s="64"/>
      <c r="I14" s="64"/>
      <c r="J14" s="238"/>
      <c r="K14" s="238"/>
      <c r="L14" s="238"/>
      <c r="M14" s="238"/>
      <c r="N14" s="238"/>
      <c r="O14" s="64"/>
      <c r="P14" s="64"/>
      <c r="Q14" s="64"/>
      <c r="R14" s="238"/>
      <c r="S14" s="238"/>
      <c r="T14" s="238"/>
      <c r="U14" s="238"/>
      <c r="V14" s="238"/>
    </row>
    <row r="15" spans="1:26" ht="39.5" customHeight="1" x14ac:dyDescent="0.15">
      <c r="B15" s="62"/>
      <c r="C15" s="219" t="s">
        <v>1016</v>
      </c>
      <c r="D15" s="219" t="s">
        <v>1017</v>
      </c>
      <c r="E15" s="219" t="s">
        <v>1018</v>
      </c>
      <c r="F15" s="219" t="s">
        <v>1019</v>
      </c>
      <c r="G15" s="64"/>
      <c r="H15" s="432" t="s">
        <v>1027</v>
      </c>
      <c r="I15" s="433"/>
      <c r="J15" s="433"/>
      <c r="K15" s="433"/>
      <c r="L15" s="433"/>
      <c r="M15" s="433"/>
      <c r="N15" s="238"/>
      <c r="O15" s="64"/>
      <c r="P15" s="64"/>
      <c r="Q15" s="64"/>
      <c r="R15" s="238"/>
      <c r="S15" s="238"/>
      <c r="T15" s="238"/>
      <c r="U15" s="238"/>
      <c r="V15" s="238"/>
    </row>
    <row r="16" spans="1:26" ht="17" customHeight="1" x14ac:dyDescent="0.15">
      <c r="B16" s="306" t="str">
        <f>B5</f>
        <v>London</v>
      </c>
      <c r="C16" s="235" t="e">
        <f>SUMIFS('caseload data'!V:V,'caseload data'!A:A, B5, 'caseload data'!D:D, "PO", 'caseload data'!B:B, "Community")/((SUMIFS('capacity data'!I:I,'capacity data'!A:A,B5,'capacity data'!E:E,"PO")-(SUMIFS('capacity data'!J:J,'capacity data'!A:A,B5,'capacity data'!E:E,"PO")))/37)</f>
        <v>#DIV/0!</v>
      </c>
      <c r="D16" s="235" t="e">
        <f>SUMIFS('caseload data'!V:V,'caseload data'!A:A, B5, 'caseload data'!D:D, "PSO", 'caseload data'!B:B, "Community")/((SUMIFS('capacity data'!I:I,'capacity data'!A:A,B5,'capacity data'!E:E,"PSO")-(SUMIFS('capacity data'!J:J,'capacity data'!A:A,B5,'capacity data'!E:E,"PSO")))/37)</f>
        <v>#DIV/0!</v>
      </c>
      <c r="E16" s="235" t="e">
        <f>SUMIFS('caseload data'!V:V,'caseload data'!A:A, B5, 'caseload data'!D:D, "TPO", 'caseload data'!B:B, "Community")/((SUMIFS('capacity data'!I:I,'capacity data'!A:A,B5,'capacity data'!E:E,"TPO")-(SUMIFS('capacity data'!J:J,'capacity data'!A:A,B5,'capacity data'!E:E,"TPO")))/37)</f>
        <v>#DIV/0!</v>
      </c>
      <c r="F16" s="235" t="e">
        <f>SUMIFS('caseload data'!V:V,'caseload data'!B:B, "Community", 'caseload data'!D:D, "&lt;&gt;DMY", 'caseload data'!A:A, B5) /((SUMIFS('capacity data'!I:I,'capacity data'!A:A,B5,'capacity data'!E:E,"&lt;&gt;DMY")-(SUMIFS('capacity data'!J:J,'capacity data'!A:A,B5,'capacity data'!E:E,"&lt;&gt;DMY")))/37)</f>
        <v>#DIV/0!</v>
      </c>
      <c r="G16" s="64"/>
      <c r="H16" s="307" t="str">
        <f>B5</f>
        <v>London</v>
      </c>
      <c r="I16" s="219" t="s">
        <v>998</v>
      </c>
      <c r="J16" s="219" t="s">
        <v>997</v>
      </c>
      <c r="K16" s="219" t="s">
        <v>996</v>
      </c>
      <c r="L16" s="219" t="s">
        <v>1345</v>
      </c>
      <c r="M16" s="219" t="s">
        <v>999</v>
      </c>
      <c r="N16" s="238"/>
      <c r="O16" s="238"/>
      <c r="P16" s="64"/>
      <c r="Q16" s="64"/>
      <c r="R16" s="64"/>
      <c r="S16" s="238"/>
      <c r="T16" s="238"/>
      <c r="U16" s="238"/>
      <c r="V16" s="238"/>
      <c r="W16" s="238"/>
    </row>
    <row r="17" spans="2:23" ht="17" customHeight="1" x14ac:dyDescent="0.15">
      <c r="B17" s="229" t="s">
        <v>1025</v>
      </c>
      <c r="C17" s="235" t="e">
        <f>SUMIFS('caseload data'!V:V, 'caseload data'!D:D, "PO", 'caseload data'!B:B, "Community")/((SUMIFS('capacity data'!I:I,'capacity data'!E:E,"PO")-(SUMIFS('capacity data'!J:J,'capacity data'!E:E,"PO")))/37)</f>
        <v>#DIV/0!</v>
      </c>
      <c r="D17" s="235" t="e">
        <f>SUMIFS('caseload data'!V:V, 'caseload data'!D:D, "PSO", 'caseload data'!B:B, "Community")/((SUMIFS('capacity data'!I:I,'capacity data'!E:E,"PSO")-(SUMIFS('capacity data'!J:J,'capacity data'!E:E,"PSO")))/37)</f>
        <v>#DIV/0!</v>
      </c>
      <c r="E17" s="235" t="e">
        <f>SUMIFS('caseload data'!V:V, 'caseload data'!D:D, "TPO", 'caseload data'!B:B, "Community")/((SUMIFS('capacity data'!I:I,'capacity data'!E:E,"TPO")-(SUMIFS('capacity data'!J:J,'capacity data'!E:E,"TPO")))/37)</f>
        <v>#DIV/0!</v>
      </c>
      <c r="F17" s="235" t="e">
        <f>SUMIFS('caseload data'!V:V, 'caseload data'!D:D, "&lt;&gt;DMY", 'caseload data'!B:B, "Community")/((SUMIFS('capacity data'!I:I,'capacity data'!E:E,"&lt;&gt;DMY")-(SUMIFS('capacity data'!J:J,'capacity data'!E:E,"&lt;&gt;DMY")))/37)</f>
        <v>#DIV/0!</v>
      </c>
      <c r="G17" s="64"/>
      <c r="H17" s="65" t="s">
        <v>1028</v>
      </c>
      <c r="I17" s="234">
        <f>SUM(T44:T47)</f>
        <v>0</v>
      </c>
      <c r="J17" s="234">
        <f>SUM(T52:T55)</f>
        <v>0</v>
      </c>
      <c r="K17" s="234">
        <f>SUM(T60:T63)</f>
        <v>0</v>
      </c>
      <c r="L17" s="234">
        <f>T40</f>
        <v>0</v>
      </c>
      <c r="M17" s="234">
        <f>SUM(I17:L17)</f>
        <v>0</v>
      </c>
      <c r="N17" s="64"/>
      <c r="O17" s="64"/>
      <c r="P17" s="64"/>
      <c r="Q17" s="64"/>
      <c r="R17" s="64"/>
      <c r="S17" s="238"/>
      <c r="T17" s="238"/>
      <c r="U17" s="238"/>
      <c r="V17" s="238"/>
      <c r="W17" s="238"/>
    </row>
    <row r="18" spans="2:23" ht="17" customHeight="1" x14ac:dyDescent="0.15">
      <c r="B18" s="68" t="s">
        <v>951</v>
      </c>
      <c r="C18" s="235" t="e">
        <f>C16-C17</f>
        <v>#DIV/0!</v>
      </c>
      <c r="D18" s="235" t="e">
        <f t="shared" ref="D18:F18" si="2">D16-D17</f>
        <v>#DIV/0!</v>
      </c>
      <c r="E18" s="235" t="e">
        <f t="shared" si="2"/>
        <v>#DIV/0!</v>
      </c>
      <c r="F18" s="235" t="e">
        <f t="shared" si="2"/>
        <v>#DIV/0!</v>
      </c>
      <c r="G18" s="64"/>
      <c r="H18" s="64"/>
      <c r="I18" s="64"/>
      <c r="J18" s="64"/>
      <c r="K18" s="64"/>
      <c r="L18" s="64"/>
      <c r="M18" s="64"/>
      <c r="N18" s="64"/>
      <c r="O18" s="64"/>
      <c r="P18" s="64"/>
      <c r="Q18" s="64"/>
      <c r="R18" s="238"/>
      <c r="S18" s="238"/>
      <c r="T18" s="238"/>
      <c r="U18" s="238"/>
      <c r="V18" s="238"/>
    </row>
    <row r="19" spans="2:23" ht="17" customHeight="1" x14ac:dyDescent="0.15">
      <c r="B19" s="64"/>
      <c r="C19" s="238"/>
      <c r="D19" s="64"/>
      <c r="E19" s="64"/>
      <c r="F19" s="64"/>
      <c r="G19" s="64"/>
      <c r="H19" s="64"/>
      <c r="I19" s="64"/>
      <c r="J19" s="64"/>
      <c r="K19" s="64"/>
      <c r="L19" s="64"/>
      <c r="M19" s="64"/>
      <c r="N19" s="64"/>
      <c r="O19" s="64"/>
      <c r="P19" s="64"/>
      <c r="Q19" s="64"/>
      <c r="R19" s="238"/>
      <c r="S19" s="238"/>
      <c r="T19" s="238"/>
      <c r="U19" s="238"/>
      <c r="V19" s="238"/>
    </row>
    <row r="20" spans="2:23" ht="32" customHeight="1" x14ac:dyDescent="0.15">
      <c r="B20" s="297" t="s">
        <v>1029</v>
      </c>
      <c r="C20" s="295"/>
      <c r="D20" s="295"/>
      <c r="E20" s="295"/>
      <c r="F20" s="294"/>
      <c r="G20" s="64"/>
      <c r="H20" s="296"/>
      <c r="I20" s="64"/>
      <c r="J20" s="64"/>
      <c r="K20" s="64"/>
      <c r="L20" s="64"/>
      <c r="M20" s="64"/>
      <c r="N20" s="64"/>
      <c r="O20" s="64"/>
      <c r="P20" s="64"/>
      <c r="Q20" s="64"/>
      <c r="R20" s="64"/>
      <c r="S20" s="64"/>
      <c r="T20" s="64"/>
    </row>
    <row r="21" spans="2:23" ht="43.5" customHeight="1" x14ac:dyDescent="0.15">
      <c r="B21" s="62"/>
      <c r="C21" s="219" t="s">
        <v>1016</v>
      </c>
      <c r="D21" s="219" t="s">
        <v>1017</v>
      </c>
      <c r="E21" s="219" t="s">
        <v>1018</v>
      </c>
      <c r="F21" s="219" t="s">
        <v>1019</v>
      </c>
      <c r="G21" s="64"/>
      <c r="H21" s="64"/>
      <c r="I21" s="64"/>
      <c r="J21" s="64"/>
      <c r="K21" s="64"/>
      <c r="L21" s="64"/>
      <c r="M21" s="64"/>
      <c r="N21" s="64"/>
      <c r="O21" s="64"/>
      <c r="P21" s="64"/>
      <c r="Q21" s="64"/>
      <c r="R21" s="64"/>
      <c r="S21" s="64"/>
      <c r="T21" s="64"/>
    </row>
    <row r="22" spans="2:23" ht="15" customHeight="1" x14ac:dyDescent="0.15">
      <c r="B22" s="306" t="str">
        <f>B5</f>
        <v>London</v>
      </c>
      <c r="C22" s="235" t="e">
        <f>SUMIFS('caseload data'!V:V,'caseload data'!A:A, B5, 'caseload data'!D:D, "PO", 'caseload data'!B:B, "Licence")/((SUMIFS('capacity data'!I:I,'capacity data'!A:A,B5,'capacity data'!E:E,"PO")-(SUMIFS('capacity data'!J:J,'capacity data'!A:A,B5,'capacity data'!E:E,"PO")))/37)</f>
        <v>#DIV/0!</v>
      </c>
      <c r="D22" s="235" t="e">
        <f>SUMIFS('caseload data'!V:V,'caseload data'!A:A, B5, 'caseload data'!D:D, "PSO", 'caseload data'!B:B, "Licence")/((SUMIFS('capacity data'!I:I,'capacity data'!A:A,B5,'capacity data'!E:E,"PSO")-(SUMIFS('capacity data'!J:J,'capacity data'!A:A,B5,'capacity data'!E:E,"PSO")))/37)</f>
        <v>#DIV/0!</v>
      </c>
      <c r="E22" s="235" t="e">
        <f>SUMIFS('caseload data'!V:V,'caseload data'!A:A, B5, 'caseload data'!D:D, "TPO", 'caseload data'!B:B, "Licence")/((SUMIFS('capacity data'!I:I,'capacity data'!A:A,B5,'capacity data'!E:E,"TPO")-(SUMIFS('capacity data'!J:J,'capacity data'!A:A,B5,'capacity data'!E:E,"TPO")))/37)</f>
        <v>#DIV/0!</v>
      </c>
      <c r="F22" s="235" t="e">
        <f>SUMIFS('caseload data'!V:V,'caseload data'!B:B, "Licence", 'caseload data'!D:D, "&lt;&gt;DMY", 'caseload data'!A:A, B5) /((SUMIFS('capacity data'!I:I,'capacity data'!A:A,B5,'capacity data'!E:E,"&lt;&gt;DMY")-(SUMIFS('capacity data'!J:J,'capacity data'!A:A,B5,'capacity data'!E:E,"&lt;&gt;DMY")))/37)</f>
        <v>#DIV/0!</v>
      </c>
      <c r="G22" s="64"/>
      <c r="H22" s="64"/>
      <c r="I22" s="64"/>
      <c r="J22" s="238"/>
      <c r="K22" s="238"/>
      <c r="L22" s="238"/>
      <c r="M22" s="238"/>
      <c r="N22" s="238"/>
      <c r="O22" s="64"/>
      <c r="P22" s="64"/>
      <c r="Q22" s="64"/>
      <c r="R22" s="64"/>
      <c r="S22" s="64"/>
      <c r="T22" s="64"/>
    </row>
    <row r="23" spans="2:23" ht="15" customHeight="1" x14ac:dyDescent="0.15">
      <c r="B23" s="229" t="s">
        <v>1025</v>
      </c>
      <c r="C23" s="235" t="e">
        <f>SUMIFS('caseload data'!V:V, 'caseload data'!D:D, "PO", 'caseload data'!B:B, "Licence")/((SUMIFS('capacity data'!I:I,'capacity data'!E:E,"PO")-(SUMIFS('capacity data'!J:J,'capacity data'!E:E,"PO")))/37)</f>
        <v>#DIV/0!</v>
      </c>
      <c r="D23" s="235" t="e">
        <f>SUMIFS('caseload data'!V:V, 'caseload data'!D:D, "PSO", 'caseload data'!B:B, "Licence")/((SUMIFS('capacity data'!I:I,'capacity data'!E:E,"PSO")-(SUMIFS('capacity data'!J:J,'capacity data'!E:E,"PSO")))/37)</f>
        <v>#DIV/0!</v>
      </c>
      <c r="E23" s="235" t="e">
        <f>SUMIFS('caseload data'!V:V, 'caseload data'!D:D, "TPO", 'caseload data'!B:B, "Licence")/((SUMIFS('capacity data'!I:I,'capacity data'!E:E,"TPO")-(SUMIFS('capacity data'!J:J,'capacity data'!E:E,"TPO")))/37)</f>
        <v>#DIV/0!</v>
      </c>
      <c r="F23" s="235" t="e">
        <f>SUMIFS('caseload data'!V:V, 'caseload data'!D:D, "&lt;&gt;DMY", 'caseload data'!B:B, "Licence")/((SUMIFS('capacity data'!I:I,'capacity data'!E:E,"&lt;&gt;DMY")-(SUMIFS('capacity data'!J:J,'capacity data'!E:E,"&lt;&gt;DMY")))/37)</f>
        <v>#DIV/0!</v>
      </c>
      <c r="G23" s="64"/>
      <c r="H23" s="64"/>
      <c r="I23" s="64"/>
      <c r="J23" s="238"/>
      <c r="K23" s="238"/>
      <c r="L23" s="238"/>
      <c r="M23" s="238"/>
      <c r="N23" s="238"/>
      <c r="O23" s="64"/>
      <c r="P23" s="64"/>
      <c r="Q23" s="64"/>
      <c r="R23" s="64"/>
      <c r="S23" s="64"/>
      <c r="T23" s="64"/>
    </row>
    <row r="24" spans="2:23" ht="15" customHeight="1" x14ac:dyDescent="0.15">
      <c r="B24" s="68" t="s">
        <v>951</v>
      </c>
      <c r="C24" s="235" t="e">
        <f>C22-C23</f>
        <v>#DIV/0!</v>
      </c>
      <c r="D24" s="235" t="e">
        <f t="shared" ref="D24:F24" si="3">D22-D23</f>
        <v>#DIV/0!</v>
      </c>
      <c r="E24" s="235" t="e">
        <f t="shared" si="3"/>
        <v>#DIV/0!</v>
      </c>
      <c r="F24" s="235" t="e">
        <f t="shared" si="3"/>
        <v>#DIV/0!</v>
      </c>
      <c r="G24" s="64"/>
      <c r="H24" s="64"/>
      <c r="I24" s="64"/>
      <c r="J24" s="238"/>
      <c r="K24" s="238"/>
      <c r="L24" s="238"/>
      <c r="M24" s="238"/>
      <c r="N24" s="238"/>
      <c r="O24" s="64"/>
      <c r="P24" s="64"/>
      <c r="Q24" s="64"/>
      <c r="R24" s="64"/>
      <c r="S24" s="64"/>
      <c r="T24" s="64"/>
    </row>
    <row r="25" spans="2:23" ht="15" customHeight="1" x14ac:dyDescent="0.15">
      <c r="B25" s="64"/>
      <c r="C25" s="64"/>
      <c r="D25" s="64"/>
      <c r="E25" s="64"/>
      <c r="F25" s="64"/>
      <c r="G25" s="64"/>
      <c r="H25" s="64"/>
      <c r="I25" s="64"/>
      <c r="J25" s="238"/>
      <c r="K25" s="238"/>
      <c r="L25" s="238"/>
      <c r="M25" s="238"/>
      <c r="N25" s="238"/>
      <c r="O25" s="64"/>
      <c r="P25" s="64"/>
      <c r="Q25" s="64"/>
      <c r="R25" s="64"/>
      <c r="S25" s="64"/>
      <c r="T25" s="64"/>
    </row>
    <row r="26" spans="2:23" ht="28.5" customHeight="1" x14ac:dyDescent="0.15">
      <c r="B26" s="297" t="s">
        <v>1030</v>
      </c>
      <c r="C26" s="295"/>
      <c r="D26" s="295"/>
      <c r="E26" s="295"/>
      <c r="F26" s="294"/>
      <c r="G26" s="64"/>
      <c r="H26" s="64"/>
      <c r="I26" s="64"/>
      <c r="J26" s="238"/>
      <c r="K26" s="238"/>
      <c r="L26" s="238"/>
      <c r="M26" s="238"/>
      <c r="N26" s="238"/>
      <c r="O26" s="64"/>
      <c r="P26" s="64"/>
      <c r="Q26" s="64"/>
      <c r="R26" s="64"/>
      <c r="S26" s="64"/>
      <c r="T26" s="64"/>
    </row>
    <row r="27" spans="2:23" ht="49" customHeight="1" x14ac:dyDescent="0.15">
      <c r="B27" s="306" t="str">
        <f>B5</f>
        <v>London</v>
      </c>
      <c r="C27" s="219" t="s">
        <v>1016</v>
      </c>
      <c r="D27" s="219" t="s">
        <v>1017</v>
      </c>
      <c r="E27" s="219" t="s">
        <v>1018</v>
      </c>
      <c r="F27" s="219" t="s">
        <v>1019</v>
      </c>
      <c r="G27" s="64"/>
      <c r="H27" s="64"/>
      <c r="I27" s="64"/>
      <c r="J27" s="238"/>
      <c r="K27" s="238"/>
      <c r="L27" s="238"/>
      <c r="M27" s="238"/>
      <c r="N27" s="238"/>
      <c r="O27" s="64"/>
      <c r="P27" s="64"/>
      <c r="Q27" s="64"/>
      <c r="R27" s="64"/>
      <c r="S27" s="64"/>
      <c r="T27" s="64"/>
    </row>
    <row r="28" spans="2:23" ht="15" customHeight="1" x14ac:dyDescent="0.15">
      <c r="B28" s="65" t="str">
        <f>B11</f>
        <v>Variance</v>
      </c>
      <c r="C28" s="235" t="e">
        <f>SUMIFS('caseload data'!V:V,'caseload data'!A:A, B5, 'caseload data'!D:D, "PO", 'caseload data'!B:B, "Custody")/((SUMIFS('capacity data'!I:I,'capacity data'!A:A,B5,'capacity data'!E:E,"PO")-(SUMIFS('capacity data'!J:J,'capacity data'!A:A,B5,'capacity data'!E:E,"PO")))/37)</f>
        <v>#DIV/0!</v>
      </c>
      <c r="D28" s="235" t="e">
        <f>SUMIFS('caseload data'!V:V,'caseload data'!A:A, B5, 'caseload data'!D:D, "PSO", 'caseload data'!B:B, "Custody")/((SUMIFS('capacity data'!I:I,'capacity data'!A:A,B5,'capacity data'!E:E,"PSO")-(SUMIFS('capacity data'!J:J,'capacity data'!A:A,B5,'capacity data'!E:E,"PSO")))/37)</f>
        <v>#DIV/0!</v>
      </c>
      <c r="E28" s="235" t="e">
        <f>SUMIFS('caseload data'!V:V,'caseload data'!A:A, B5, 'caseload data'!D:D, "TPO", 'caseload data'!B:B, "Custody")/((SUMIFS('capacity data'!I:I,'capacity data'!A:A,B5,'capacity data'!E:E,"TPO")-(SUMIFS('capacity data'!J:J,'capacity data'!A:A,B5,'capacity data'!E:E,"TPO")))/37)</f>
        <v>#DIV/0!</v>
      </c>
      <c r="F28" s="235" t="e">
        <f>SUMIFS('caseload data'!V:V,'caseload data'!B:B, "Custody", 'caseload data'!D:D, "&lt;&gt;DMY", 'caseload data'!A:A, B5) /((SUMIFS('capacity data'!I:I,'capacity data'!A:A,B5,'capacity data'!E:E,"&lt;&gt;DMY")-(SUMIFS('capacity data'!J:J,'capacity data'!A:A,B5,'capacity data'!E:E,"&lt;&gt;DMY")))/37)</f>
        <v>#DIV/0!</v>
      </c>
      <c r="G28" s="64"/>
      <c r="H28" s="64"/>
      <c r="I28" s="64"/>
      <c r="J28" s="238"/>
      <c r="K28" s="238"/>
      <c r="L28" s="238"/>
      <c r="M28" s="238"/>
      <c r="N28" s="238"/>
      <c r="O28" s="64"/>
      <c r="P28" s="64"/>
      <c r="Q28" s="64"/>
      <c r="R28" s="64"/>
      <c r="S28" s="64"/>
      <c r="T28" s="64"/>
    </row>
    <row r="29" spans="2:23" ht="15" customHeight="1" x14ac:dyDescent="0.15">
      <c r="B29" s="229" t="s">
        <v>1025</v>
      </c>
      <c r="C29" s="235" t="e">
        <f>SUMIFS('caseload data'!V:V, 'caseload data'!D:D, "PO", 'caseload data'!B:B, "Custody")/((SUMIFS('capacity data'!I:I,'capacity data'!E:E,"PO")-(SUMIFS('capacity data'!J:J,'capacity data'!E:E,"PO")))/37)</f>
        <v>#DIV/0!</v>
      </c>
      <c r="D29" s="235" t="e">
        <f>SUMIFS('caseload data'!V:V, 'caseload data'!D:D, "PSO", 'caseload data'!B:B, "Custody")/((SUMIFS('capacity data'!I:I,'capacity data'!E:E,"PSO")-(SUMIFS('capacity data'!J:J,'capacity data'!E:E,"PSO")))/37)</f>
        <v>#DIV/0!</v>
      </c>
      <c r="E29" s="235" t="e">
        <f>SUMIFS('caseload data'!V:V, 'caseload data'!D:D, "TPO", 'caseload data'!B:B, "Custody")/((SUMIFS('capacity data'!I:I,'capacity data'!E:E,"TPO")-(SUMIFS('capacity data'!J:J,'capacity data'!E:E,"TPO")))/37)</f>
        <v>#DIV/0!</v>
      </c>
      <c r="F29" s="235" t="e">
        <f>SUMIFS('caseload data'!V:V, 'caseload data'!D:D, "&lt;&gt;DMY", 'caseload data'!B:B, "Custody")/((SUMIFS('capacity data'!I:I,'capacity data'!E:E,"&lt;&gt;DMY")-(SUMIFS('capacity data'!J:J,'capacity data'!E:E,"&lt;&gt;DMY")))/37)</f>
        <v>#DIV/0!</v>
      </c>
      <c r="G29" s="64"/>
      <c r="H29" s="64"/>
      <c r="I29" s="64"/>
      <c r="J29" s="238"/>
      <c r="K29" s="238"/>
      <c r="L29" s="238"/>
      <c r="M29" s="238"/>
      <c r="N29" s="238"/>
      <c r="O29" s="64"/>
      <c r="P29" s="64"/>
      <c r="Q29" s="64"/>
      <c r="R29" s="64"/>
      <c r="S29" s="64"/>
      <c r="T29" s="64"/>
    </row>
    <row r="30" spans="2:23" ht="15" customHeight="1" x14ac:dyDescent="0.15">
      <c r="B30" s="68" t="s">
        <v>951</v>
      </c>
      <c r="C30" s="235" t="e">
        <f>C28-C29</f>
        <v>#DIV/0!</v>
      </c>
      <c r="D30" s="235" t="e">
        <f t="shared" ref="D30:F30" si="4">D28-D29</f>
        <v>#DIV/0!</v>
      </c>
      <c r="E30" s="235" t="e">
        <f t="shared" si="4"/>
        <v>#DIV/0!</v>
      </c>
      <c r="F30" s="235" t="e">
        <f t="shared" si="4"/>
        <v>#DIV/0!</v>
      </c>
      <c r="G30" s="64"/>
      <c r="H30" s="64"/>
      <c r="I30" s="64"/>
      <c r="J30" s="238"/>
      <c r="K30" s="238"/>
      <c r="L30" s="238"/>
      <c r="M30" s="238"/>
      <c r="N30" s="238"/>
      <c r="O30" s="64"/>
      <c r="P30" s="64"/>
      <c r="Q30" s="64"/>
      <c r="R30" s="64"/>
      <c r="S30" s="64"/>
      <c r="T30" s="64"/>
    </row>
    <row r="31" spans="2:23" ht="15" customHeight="1" x14ac:dyDescent="0.15">
      <c r="B31" s="64"/>
      <c r="C31" s="64"/>
      <c r="D31" s="64"/>
      <c r="E31" s="64"/>
      <c r="F31" s="64"/>
      <c r="G31" s="64"/>
      <c r="H31" s="64"/>
      <c r="I31" s="64"/>
      <c r="J31" s="238"/>
      <c r="K31" s="238"/>
      <c r="L31" s="238"/>
      <c r="M31" s="238"/>
      <c r="N31" s="238"/>
      <c r="O31" s="64"/>
      <c r="P31" s="64"/>
      <c r="Q31" s="64"/>
      <c r="R31" s="64"/>
      <c r="S31" s="64"/>
      <c r="T31" s="64"/>
    </row>
    <row r="32" spans="2:23" ht="15" customHeight="1" x14ac:dyDescent="0.15">
      <c r="B32" s="64"/>
      <c r="C32" s="64"/>
      <c r="D32" s="64"/>
      <c r="E32" s="64"/>
      <c r="F32" s="64"/>
      <c r="G32" s="64"/>
      <c r="H32" s="64"/>
      <c r="I32" s="64"/>
      <c r="J32" s="238"/>
      <c r="K32" s="238"/>
      <c r="L32" s="238"/>
      <c r="M32" s="238"/>
      <c r="N32" s="238"/>
      <c r="O32" s="64"/>
      <c r="P32" s="64"/>
      <c r="Q32" s="64"/>
      <c r="R32" s="64"/>
      <c r="S32" s="64"/>
      <c r="T32" s="64"/>
    </row>
    <row r="33" spans="2:20" ht="15.5" customHeight="1" x14ac:dyDescent="0.15">
      <c r="B33" s="64"/>
      <c r="C33" s="64"/>
      <c r="D33" s="64"/>
      <c r="E33" s="64"/>
      <c r="F33" s="64"/>
      <c r="G33" s="64"/>
      <c r="H33" s="64"/>
      <c r="I33" s="64"/>
      <c r="J33" s="64"/>
      <c r="K33" s="64"/>
      <c r="L33" s="64"/>
      <c r="M33" s="64"/>
      <c r="N33" s="64"/>
      <c r="O33" s="64"/>
      <c r="P33" s="64"/>
      <c r="Q33" s="64"/>
      <c r="R33" s="64"/>
      <c r="S33" s="64"/>
      <c r="T33" s="64"/>
    </row>
    <row r="34" spans="2:20" ht="29.25" customHeight="1" x14ac:dyDescent="0.15">
      <c r="B34" s="367" t="str">
        <f>B5</f>
        <v>London</v>
      </c>
      <c r="C34" s="430" t="s">
        <v>1012</v>
      </c>
      <c r="D34" s="431"/>
      <c r="E34" s="431"/>
      <c r="F34" s="431"/>
      <c r="G34" s="431"/>
      <c r="H34" s="431"/>
      <c r="I34" s="431"/>
      <c r="J34" s="431"/>
      <c r="K34" s="431"/>
      <c r="L34" s="431"/>
      <c r="M34" s="431"/>
      <c r="N34" s="431"/>
      <c r="O34" s="431"/>
      <c r="P34" s="431"/>
      <c r="Q34" s="431"/>
      <c r="R34" s="431"/>
      <c r="S34" s="431"/>
      <c r="T34" s="431"/>
    </row>
    <row r="35" spans="2:20" x14ac:dyDescent="0.15">
      <c r="B35" s="368" t="s">
        <v>1006</v>
      </c>
      <c r="C35" s="288" t="s">
        <v>869</v>
      </c>
      <c r="D35" s="288" t="s">
        <v>870</v>
      </c>
      <c r="E35" s="288" t="s">
        <v>871</v>
      </c>
      <c r="F35" s="288" t="s">
        <v>872</v>
      </c>
      <c r="G35" s="288" t="s">
        <v>873</v>
      </c>
      <c r="H35" s="288" t="s">
        <v>874</v>
      </c>
      <c r="I35" s="288" t="s">
        <v>875</v>
      </c>
      <c r="J35" s="288" t="s">
        <v>876</v>
      </c>
      <c r="K35" s="288" t="s">
        <v>877</v>
      </c>
      <c r="L35" s="288" t="s">
        <v>878</v>
      </c>
      <c r="M35" s="288" t="s">
        <v>879</v>
      </c>
      <c r="N35" s="288" t="s">
        <v>880</v>
      </c>
      <c r="O35" s="288" t="s">
        <v>881</v>
      </c>
      <c r="P35" s="288" t="s">
        <v>882</v>
      </c>
      <c r="Q35" s="288" t="s">
        <v>883</v>
      </c>
      <c r="R35" s="288" t="s">
        <v>884</v>
      </c>
      <c r="S35" s="288" t="s">
        <v>1031</v>
      </c>
      <c r="T35" s="288" t="s">
        <v>964</v>
      </c>
    </row>
    <row r="36" spans="2:20" x14ac:dyDescent="0.15">
      <c r="B36" s="365" t="s">
        <v>1002</v>
      </c>
      <c r="C36" s="366">
        <f>SUMIFS('caseload data'!E:E,'caseload data'!$D:$D,"PO",'caseload data'!$A:$A,'HMIP caseload divisional'!$B$5)</f>
        <v>0</v>
      </c>
      <c r="D36" s="234">
        <f>SUMIFS('caseload data'!F:F,'caseload data'!$D:$D,"PO",'caseload data'!$A:$A,'HMIP caseload divisional'!$B$5)</f>
        <v>0</v>
      </c>
      <c r="E36" s="234">
        <f>SUMIFS('caseload data'!G:G,'caseload data'!$D:$D,"PO",'caseload data'!$A:$A,'HMIP caseload divisional'!$B$5)</f>
        <v>0</v>
      </c>
      <c r="F36" s="234">
        <f>SUMIFS('caseload data'!H:H,'caseload data'!$D:$D,"PO",'caseload data'!$A:$A,'HMIP caseload divisional'!$B$5)</f>
        <v>0</v>
      </c>
      <c r="G36" s="234">
        <f>SUMIFS('caseload data'!I:I,'caseload data'!$D:$D,"PO",'caseload data'!$A:$A,'HMIP caseload divisional'!$B$5)</f>
        <v>0</v>
      </c>
      <c r="H36" s="234">
        <f>SUMIFS('caseload data'!J:J,'caseload data'!$D:$D,"PO",'caseload data'!$A:$A,'HMIP caseload divisional'!$B$5)</f>
        <v>0</v>
      </c>
      <c r="I36" s="234">
        <f>SUMIFS('caseload data'!K:K,'caseload data'!$D:$D,"PO",'caseload data'!$A:$A,'HMIP caseload divisional'!$B$5)</f>
        <v>0</v>
      </c>
      <c r="J36" s="234">
        <f>SUMIFS('caseload data'!L:L,'caseload data'!$D:$D,"PO",'caseload data'!$A:$A,'HMIP caseload divisional'!$B$5)</f>
        <v>0</v>
      </c>
      <c r="K36" s="234">
        <f>SUMIFS('caseload data'!M:M,'caseload data'!$D:$D,"PO",'caseload data'!$A:$A,'HMIP caseload divisional'!$B$5)</f>
        <v>0</v>
      </c>
      <c r="L36" s="234">
        <f>SUMIFS('caseload data'!N:N,'caseload data'!$D:$D,"PO",'caseload data'!$A:$A,'HMIP caseload divisional'!$B$5)</f>
        <v>0</v>
      </c>
      <c r="M36" s="234">
        <f>SUMIFS('caseload data'!O:O,'caseload data'!$D:$D,"PO",'caseload data'!$A:$A,'HMIP caseload divisional'!$B$5)</f>
        <v>0</v>
      </c>
      <c r="N36" s="234">
        <f>SUMIFS('caseload data'!P:P,'caseload data'!$D:$D,"PO",'caseload data'!$A:$A,'HMIP caseload divisional'!$B$5)</f>
        <v>0</v>
      </c>
      <c r="O36" s="234">
        <f>SUMIFS('caseload data'!Q:Q,'caseload data'!$D:$D,"PO",'caseload data'!$A:$A,'HMIP caseload divisional'!$B$5)</f>
        <v>0</v>
      </c>
      <c r="P36" s="234">
        <f>SUMIFS('caseload data'!R:R,'caseload data'!$D:$D,"PO",'caseload data'!$A:$A,'HMIP caseload divisional'!$B$5)</f>
        <v>0</v>
      </c>
      <c r="Q36" s="234">
        <f>SUMIFS('caseload data'!S:S,'caseload data'!$D:$D,"PO",'caseload data'!$A:$A,'HMIP caseload divisional'!$B$5)</f>
        <v>0</v>
      </c>
      <c r="R36" s="234">
        <f>SUMIFS('caseload data'!T:T,'caseload data'!$D:$D,"PO",'caseload data'!$A:$A,'HMIP caseload divisional'!$B$5)</f>
        <v>0</v>
      </c>
      <c r="S36" s="234">
        <f>SUMIFS('caseload data'!U:U,'caseload data'!$D:$D,"PO",'caseload data'!$A:$A,'HMIP caseload divisional'!$B$5)</f>
        <v>0</v>
      </c>
      <c r="T36" s="234">
        <f>SUM(C36:S36)</f>
        <v>0</v>
      </c>
    </row>
    <row r="37" spans="2:20" x14ac:dyDescent="0.15">
      <c r="B37" s="365" t="s">
        <v>1007</v>
      </c>
      <c r="C37" s="366">
        <f>SUMIFS('caseload data'!E:E,'caseload data'!$D:$D,"PSO",'caseload data'!$A:$A,'HMIP caseload divisional'!$B$5)</f>
        <v>0</v>
      </c>
      <c r="D37" s="234">
        <f>SUMIFS('caseload data'!F:F,'caseload data'!$D:$D,"PSO",'caseload data'!$A:$A,'HMIP caseload divisional'!$B$5)</f>
        <v>0</v>
      </c>
      <c r="E37" s="234">
        <f>SUMIFS('caseload data'!G:G,'caseload data'!$D:$D,"PSO",'caseload data'!$A:$A,'HMIP caseload divisional'!$B$5)</f>
        <v>0</v>
      </c>
      <c r="F37" s="234">
        <f>SUMIFS('caseload data'!H:H,'caseload data'!$D:$D,"PSO",'caseload data'!$A:$A,'HMIP caseload divisional'!$B$5)</f>
        <v>0</v>
      </c>
      <c r="G37" s="234">
        <f>SUMIFS('caseload data'!I:I,'caseload data'!$D:$D,"PSO",'caseload data'!$A:$A,'HMIP caseload divisional'!$B$5)</f>
        <v>0</v>
      </c>
      <c r="H37" s="234">
        <f>SUMIFS('caseload data'!J:J,'caseload data'!$D:$D,"PSO",'caseload data'!$A:$A,'HMIP caseload divisional'!$B$5)</f>
        <v>0</v>
      </c>
      <c r="I37" s="234">
        <f>SUMIFS('caseload data'!K:K,'caseload data'!$D:$D,"PSO",'caseload data'!$A:$A,'HMIP caseload divisional'!$B$5)</f>
        <v>0</v>
      </c>
      <c r="J37" s="234">
        <f>SUMIFS('caseload data'!L:L,'caseload data'!$D:$D,"PSO",'caseload data'!$A:$A,'HMIP caseload divisional'!$B$5)</f>
        <v>0</v>
      </c>
      <c r="K37" s="234">
        <f>SUMIFS('caseload data'!M:M,'caseload data'!$D:$D,"PSO",'caseload data'!$A:$A,'HMIP caseload divisional'!$B$5)</f>
        <v>0</v>
      </c>
      <c r="L37" s="234">
        <f>SUMIFS('caseload data'!N:N,'caseload data'!$D:$D,"PSO",'caseload data'!$A:$A,'HMIP caseload divisional'!$B$5)</f>
        <v>0</v>
      </c>
      <c r="M37" s="234">
        <f>SUMIFS('caseload data'!O:O,'caseload data'!$D:$D,"PSO",'caseload data'!$A:$A,'HMIP caseload divisional'!$B$5)</f>
        <v>0</v>
      </c>
      <c r="N37" s="234">
        <f>SUMIFS('caseload data'!P:P,'caseload data'!$D:$D,"PSO",'caseload data'!$A:$A,'HMIP caseload divisional'!$B$5)</f>
        <v>0</v>
      </c>
      <c r="O37" s="234">
        <f>SUMIFS('caseload data'!Q:Q,'caseload data'!$D:$D,"PSO",'caseload data'!$A:$A,'HMIP caseload divisional'!$B$5)</f>
        <v>0</v>
      </c>
      <c r="P37" s="234">
        <f>SUMIFS('caseload data'!R:R,'caseload data'!$D:$D,"PSO",'caseload data'!$A:$A,'HMIP caseload divisional'!$B$5)</f>
        <v>0</v>
      </c>
      <c r="Q37" s="234">
        <f>SUMIFS('caseload data'!S:S,'caseload data'!$D:$D,"PSO",'caseload data'!$A:$A,'HMIP caseload divisional'!$B$5)</f>
        <v>0</v>
      </c>
      <c r="R37" s="234">
        <f>SUMIFS('caseload data'!T:T,'caseload data'!$D:$D,"PSO",'caseload data'!$A:$A,'HMIP caseload divisional'!$B$5)</f>
        <v>0</v>
      </c>
      <c r="S37" s="234">
        <f>SUMIFS('caseload data'!U:U,'caseload data'!$D:$D,"PSO",'caseload data'!$A:$A,'HMIP caseload divisional'!$B$5)</f>
        <v>0</v>
      </c>
      <c r="T37" s="234">
        <f t="shared" ref="T37:T39" si="5">SUM(C37:S37)</f>
        <v>0</v>
      </c>
    </row>
    <row r="38" spans="2:20" x14ac:dyDescent="0.15">
      <c r="B38" s="365" t="s">
        <v>1008</v>
      </c>
      <c r="C38" s="366">
        <f>SUMIFS('caseload data'!E:E,'caseload data'!$D:$D,"TPO",'caseload data'!$A:$A,'HMIP caseload divisional'!$B$5)</f>
        <v>0</v>
      </c>
      <c r="D38" s="234">
        <f>SUMIFS('caseload data'!F:F,'caseload data'!$D:$D,"TPO",'caseload data'!$A:$A,'HMIP caseload divisional'!$B$5)</f>
        <v>0</v>
      </c>
      <c r="E38" s="234">
        <f>SUMIFS('caseload data'!G:G,'caseload data'!$D:$D,"TPO",'caseload data'!$A:$A,'HMIP caseload divisional'!$B$5)</f>
        <v>0</v>
      </c>
      <c r="F38" s="234">
        <f>SUMIFS('caseload data'!H:H,'caseload data'!$D:$D,"TPO",'caseload data'!$A:$A,'HMIP caseload divisional'!$B$5)</f>
        <v>0</v>
      </c>
      <c r="G38" s="234">
        <f>SUMIFS('caseload data'!I:I,'caseload data'!$D:$D,"TPO",'caseload data'!$A:$A,'HMIP caseload divisional'!$B$5)</f>
        <v>0</v>
      </c>
      <c r="H38" s="234">
        <f>SUMIFS('caseload data'!J:J,'caseload data'!$D:$D,"TPO",'caseload data'!$A:$A,'HMIP caseload divisional'!$B$5)</f>
        <v>0</v>
      </c>
      <c r="I38" s="234">
        <f>SUMIFS('caseload data'!K:K,'caseload data'!$D:$D,"TPO",'caseload data'!$A:$A,'HMIP caseload divisional'!$B$5)</f>
        <v>0</v>
      </c>
      <c r="J38" s="234">
        <f>SUMIFS('caseload data'!L:L,'caseload data'!$D:$D,"TPO",'caseload data'!$A:$A,'HMIP caseload divisional'!$B$5)</f>
        <v>0</v>
      </c>
      <c r="K38" s="234">
        <f>SUMIFS('caseload data'!M:M,'caseload data'!$D:$D,"TPO",'caseload data'!$A:$A,'HMIP caseload divisional'!$B$5)</f>
        <v>0</v>
      </c>
      <c r="L38" s="234">
        <f>SUMIFS('caseload data'!N:N,'caseload data'!$D:$D,"TPO",'caseload data'!$A:$A,'HMIP caseload divisional'!$B$5)</f>
        <v>0</v>
      </c>
      <c r="M38" s="234">
        <f>SUMIFS('caseload data'!O:O,'caseload data'!$D:$D,"TPO",'caseload data'!$A:$A,'HMIP caseload divisional'!$B$5)</f>
        <v>0</v>
      </c>
      <c r="N38" s="234">
        <f>SUMIFS('caseload data'!P:P,'caseload data'!$D:$D,"TPO",'caseload data'!$A:$A,'HMIP caseload divisional'!$B$5)</f>
        <v>0</v>
      </c>
      <c r="O38" s="234">
        <f>SUMIFS('caseload data'!Q:Q,'caseload data'!$D:$D,"TPO",'caseload data'!$A:$A,'HMIP caseload divisional'!$B$5)</f>
        <v>0</v>
      </c>
      <c r="P38" s="234">
        <f>SUMIFS('caseload data'!R:R,'caseload data'!$D:$D,"TPO",'caseload data'!$A:$A,'HMIP caseload divisional'!$B$5)</f>
        <v>0</v>
      </c>
      <c r="Q38" s="234">
        <f>SUMIFS('caseload data'!S:S,'caseload data'!$D:$D,"TPO",'caseload data'!$A:$A,'HMIP caseload divisional'!$B$5)</f>
        <v>0</v>
      </c>
      <c r="R38" s="234">
        <f>SUMIFS('caseload data'!T:T,'caseload data'!$D:$D,"TPO",'caseload data'!$A:$A,'HMIP caseload divisional'!$B$5)</f>
        <v>0</v>
      </c>
      <c r="S38" s="234">
        <f>SUMIFS('caseload data'!U:U,'caseload data'!$D:$D,"TPO",'caseload data'!$A:$A,'HMIP caseload divisional'!$B$5)</f>
        <v>0</v>
      </c>
      <c r="T38" s="234">
        <f t="shared" si="5"/>
        <v>0</v>
      </c>
    </row>
    <row r="39" spans="2:20" x14ac:dyDescent="0.15">
      <c r="B39" s="365" t="s">
        <v>1009</v>
      </c>
      <c r="C39" s="366">
        <f>SUMIFS('caseload data'!E:E,'caseload data'!$D:$D,"SPO",'caseload data'!$A:$A,$B$5)</f>
        <v>0</v>
      </c>
      <c r="D39" s="234">
        <f>SUMIFS('caseload data'!F:F,'caseload data'!$D:$D,"SPO",'caseload data'!$A:$A,$B$5)</f>
        <v>0</v>
      </c>
      <c r="E39" s="234">
        <f>SUMIFS('caseload data'!G:G,'caseload data'!$D:$D,"SPO",'caseload data'!$A:$A,$B$5)</f>
        <v>0</v>
      </c>
      <c r="F39" s="234">
        <f>SUMIFS('caseload data'!H:H,'caseload data'!$D:$D,"SPO",'caseload data'!$A:$A,$B$5)</f>
        <v>0</v>
      </c>
      <c r="G39" s="234">
        <f>SUMIFS('caseload data'!I:I,'caseload data'!$D:$D,"SPO",'caseload data'!$A:$A,$B$5)</f>
        <v>0</v>
      </c>
      <c r="H39" s="234">
        <f>SUMIFS('caseload data'!J:J,'caseload data'!$D:$D,"SPO",'caseload data'!$A:$A,$B$5)</f>
        <v>0</v>
      </c>
      <c r="I39" s="234">
        <f>SUMIFS('caseload data'!K:K,'caseload data'!$D:$D,"SPO",'caseload data'!$A:$A,$B$5)</f>
        <v>0</v>
      </c>
      <c r="J39" s="234">
        <f>SUMIFS('caseload data'!L:L,'caseload data'!$D:$D,"SPO",'caseload data'!$A:$A,$B$5)</f>
        <v>0</v>
      </c>
      <c r="K39" s="234">
        <f>SUMIFS('caseload data'!M:M,'caseload data'!$D:$D,"SPO",'caseload data'!$A:$A,$B$5)</f>
        <v>0</v>
      </c>
      <c r="L39" s="234">
        <f>SUMIFS('caseload data'!N:N,'caseload data'!$D:$D,"SPO",'caseload data'!$A:$A,$B$5)</f>
        <v>0</v>
      </c>
      <c r="M39" s="234">
        <f>SUMIFS('caseload data'!O:O,'caseload data'!$D:$D,"SPO",'caseload data'!$A:$A,$B$5)</f>
        <v>0</v>
      </c>
      <c r="N39" s="234">
        <f>SUMIFS('caseload data'!P:P,'caseload data'!$D:$D,"SPO",'caseload data'!$A:$A,$B$5)</f>
        <v>0</v>
      </c>
      <c r="O39" s="234">
        <f>SUMIFS('caseload data'!Q:Q,'caseload data'!$D:$D,"SPO",'caseload data'!$A:$A,$B$5)</f>
        <v>0</v>
      </c>
      <c r="P39" s="234">
        <f>SUMIFS('caseload data'!R:R,'caseload data'!$D:$D,"SPO",'caseload data'!$A:$A,$B$5)</f>
        <v>0</v>
      </c>
      <c r="Q39" s="234">
        <f>SUMIFS('caseload data'!S:S,'caseload data'!$D:$D,"SPO",'caseload data'!$A:$A,$B$5)</f>
        <v>0</v>
      </c>
      <c r="R39" s="234">
        <f>SUMIFS('caseload data'!T:T,'caseload data'!$D:$D,"SPO",'caseload data'!$A:$A,$B$5)</f>
        <v>0</v>
      </c>
      <c r="S39" s="234">
        <f>SUMIFS('caseload data'!U:U,'caseload data'!$D:$D,"SPO",'caseload data'!$A:$A,$B$5)</f>
        <v>0</v>
      </c>
      <c r="T39" s="234">
        <f t="shared" si="5"/>
        <v>0</v>
      </c>
    </row>
    <row r="40" spans="2:20" x14ac:dyDescent="0.15">
      <c r="B40" s="144" t="s">
        <v>1344</v>
      </c>
      <c r="C40" s="366">
        <f>SUMIFS('caseload data'!E:E,'caseload data'!$D:$D,"DMY",'caseload data'!$A:$A,'HMIP caseload divisional'!$B$5)</f>
        <v>0</v>
      </c>
      <c r="D40" s="234">
        <f>SUMIFS('caseload data'!F:F,'caseload data'!$D:$D,"DMY",'caseload data'!$A:$A,'HMIP caseload divisional'!$B$5)</f>
        <v>0</v>
      </c>
      <c r="E40" s="234">
        <f>SUMIFS('caseload data'!G:G,'caseload data'!$D:$D,"DMY",'caseload data'!$A:$A,'HMIP caseload divisional'!$B$5)</f>
        <v>0</v>
      </c>
      <c r="F40" s="234">
        <f>SUMIFS('caseload data'!H:H,'caseload data'!$D:$D,"DMY",'caseload data'!$A:$A,'HMIP caseload divisional'!$B$5)</f>
        <v>0</v>
      </c>
      <c r="G40" s="234">
        <f>SUMIFS('caseload data'!I:I,'caseload data'!$D:$D,"DMY",'caseload data'!$A:$A,'HMIP caseload divisional'!$B$5)</f>
        <v>0</v>
      </c>
      <c r="H40" s="234">
        <f>SUMIFS('caseload data'!J:J,'caseload data'!$D:$D,"DMY",'caseload data'!$A:$A,'HMIP caseload divisional'!$B$5)</f>
        <v>0</v>
      </c>
      <c r="I40" s="234">
        <f>SUMIFS('caseload data'!K:K,'caseload data'!$D:$D,"DMY",'caseload data'!$A:$A,'HMIP caseload divisional'!$B$5)</f>
        <v>0</v>
      </c>
      <c r="J40" s="234">
        <f>SUMIFS('caseload data'!L:L,'caseload data'!$D:$D,"DMY",'caseload data'!$A:$A,'HMIP caseload divisional'!$B$5)</f>
        <v>0</v>
      </c>
      <c r="K40" s="234">
        <f>SUMIFS('caseload data'!M:M,'caseload data'!$D:$D,"DMY",'caseload data'!$A:$A,'HMIP caseload divisional'!$B$5)</f>
        <v>0</v>
      </c>
      <c r="L40" s="234">
        <f>SUMIFS('caseload data'!N:N,'caseload data'!$D:$D,"DMY",'caseload data'!$A:$A,'HMIP caseload divisional'!$B$5)</f>
        <v>0</v>
      </c>
      <c r="M40" s="234">
        <f>SUMIFS('caseload data'!O:O,'caseload data'!$D:$D,"DMY",'caseload data'!$A:$A,'HMIP caseload divisional'!$B$5)</f>
        <v>0</v>
      </c>
      <c r="N40" s="234">
        <f>SUMIFS('caseload data'!P:P,'caseload data'!$D:$D,"DMY",'caseload data'!$A:$A,'HMIP caseload divisional'!$B$5)</f>
        <v>0</v>
      </c>
      <c r="O40" s="234">
        <f>SUMIFS('caseload data'!Q:Q,'caseload data'!$D:$D,"DMY",'caseload data'!$A:$A,'HMIP caseload divisional'!$B$5)</f>
        <v>0</v>
      </c>
      <c r="P40" s="234">
        <f>SUMIFS('caseload data'!R:R,'caseload data'!$D:$D,"DMY",'caseload data'!$A:$A,'HMIP caseload divisional'!$B$5)</f>
        <v>0</v>
      </c>
      <c r="Q40" s="234">
        <f>SUMIFS('caseload data'!S:S,'caseload data'!$D:$D,"DMY",'caseload data'!$A:$A,'HMIP caseload divisional'!$B$5)</f>
        <v>0</v>
      </c>
      <c r="R40" s="234">
        <f>SUMIFS('caseload data'!T:T,'caseload data'!$D:$D,"DMY",'caseload data'!$A:$A,'HMIP caseload divisional'!$B$5)</f>
        <v>0</v>
      </c>
      <c r="S40" s="234">
        <f>SUMIFS('caseload data'!U:U,'caseload data'!$D:$D,"DMY",'caseload data'!$A:$A,'HMIP caseload divisional'!$B$5)</f>
        <v>0</v>
      </c>
      <c r="T40" s="234">
        <f t="shared" ref="T40" si="6">SUM(C40:S40)</f>
        <v>0</v>
      </c>
    </row>
    <row r="41" spans="2:20" x14ac:dyDescent="0.15">
      <c r="B41" s="171"/>
      <c r="C41" s="237"/>
      <c r="D41" s="237"/>
      <c r="E41" s="237"/>
      <c r="F41" s="237"/>
      <c r="G41" s="237"/>
      <c r="H41" s="237"/>
      <c r="I41" s="237"/>
      <c r="J41" s="237"/>
      <c r="K41" s="237"/>
      <c r="L41" s="237"/>
      <c r="M41" s="237"/>
      <c r="N41" s="237"/>
      <c r="O41" s="237"/>
      <c r="P41" s="237"/>
      <c r="Q41" s="237"/>
      <c r="R41" s="237"/>
      <c r="S41" s="237"/>
      <c r="T41" s="64"/>
    </row>
    <row r="42" spans="2:20" ht="29.25" customHeight="1" x14ac:dyDescent="0.15">
      <c r="B42" s="367" t="str">
        <f>B5</f>
        <v>London</v>
      </c>
      <c r="C42" s="430" t="s">
        <v>1032</v>
      </c>
      <c r="D42" s="431"/>
      <c r="E42" s="431"/>
      <c r="F42" s="431"/>
      <c r="G42" s="431"/>
      <c r="H42" s="431"/>
      <c r="I42" s="431"/>
      <c r="J42" s="431"/>
      <c r="K42" s="431"/>
      <c r="L42" s="431"/>
      <c r="M42" s="431"/>
      <c r="N42" s="431"/>
      <c r="O42" s="431"/>
      <c r="P42" s="431"/>
      <c r="Q42" s="431"/>
      <c r="R42" s="431"/>
      <c r="S42" s="431"/>
      <c r="T42" s="431"/>
    </row>
    <row r="43" spans="2:20" x14ac:dyDescent="0.15">
      <c r="B43" s="368" t="s">
        <v>1006</v>
      </c>
      <c r="C43" s="288" t="s">
        <v>869</v>
      </c>
      <c r="D43" s="288" t="s">
        <v>870</v>
      </c>
      <c r="E43" s="288" t="s">
        <v>871</v>
      </c>
      <c r="F43" s="288" t="s">
        <v>872</v>
      </c>
      <c r="G43" s="288" t="s">
        <v>873</v>
      </c>
      <c r="H43" s="288" t="s">
        <v>874</v>
      </c>
      <c r="I43" s="288" t="s">
        <v>875</v>
      </c>
      <c r="J43" s="288" t="s">
        <v>876</v>
      </c>
      <c r="K43" s="288" t="s">
        <v>877</v>
      </c>
      <c r="L43" s="288" t="s">
        <v>878</v>
      </c>
      <c r="M43" s="288" t="s">
        <v>879</v>
      </c>
      <c r="N43" s="288" t="s">
        <v>880</v>
      </c>
      <c r="O43" s="288" t="s">
        <v>881</v>
      </c>
      <c r="P43" s="288" t="s">
        <v>882</v>
      </c>
      <c r="Q43" s="288" t="s">
        <v>883</v>
      </c>
      <c r="R43" s="288" t="s">
        <v>884</v>
      </c>
      <c r="S43" s="288" t="s">
        <v>1031</v>
      </c>
      <c r="T43" s="288" t="s">
        <v>964</v>
      </c>
    </row>
    <row r="44" spans="2:20" x14ac:dyDescent="0.15">
      <c r="B44" s="365" t="s">
        <v>1002</v>
      </c>
      <c r="C44" s="366">
        <f>SUMIFS('caseload data'!E:E,'caseload data'!$D:$D,"PO",'caseload data'!$A:$A,'HMIP caseload divisional'!$B$5, 'caseload data'!$B:$B, "community")</f>
        <v>0</v>
      </c>
      <c r="D44" s="234">
        <f>SUMIFS('caseload data'!F:F,'caseload data'!$D:$D,"PO",'caseload data'!$A:$A,'HMIP caseload divisional'!$B$5, 'caseload data'!$B:$B, "community")</f>
        <v>0</v>
      </c>
      <c r="E44" s="234">
        <f>SUMIFS('caseload data'!G:G,'caseload data'!$D:$D,"PO",'caseload data'!$A:$A,'HMIP caseload divisional'!$B$5, 'caseload data'!$B:$B, "community")</f>
        <v>0</v>
      </c>
      <c r="F44" s="234">
        <f>SUMIFS('caseload data'!H:H,'caseload data'!$D:$D,"PO",'caseload data'!$A:$A,'HMIP caseload divisional'!$B$5, 'caseload data'!$B:$B, "community")</f>
        <v>0</v>
      </c>
      <c r="G44" s="234">
        <f>SUMIFS('caseload data'!I:I,'caseload data'!$D:$D,"PO",'caseload data'!$A:$A,'HMIP caseload divisional'!$B$5, 'caseload data'!$B:$B, "community")</f>
        <v>0</v>
      </c>
      <c r="H44" s="234">
        <f>SUMIFS('caseload data'!J:J,'caseload data'!$D:$D,"PO",'caseload data'!$A:$A,'HMIP caseload divisional'!$B$5, 'caseload data'!$B:$B, "community")</f>
        <v>0</v>
      </c>
      <c r="I44" s="234">
        <f>SUMIFS('caseload data'!K:K,'caseload data'!$D:$D,"PO",'caseload data'!$A:$A,'HMIP caseload divisional'!$B$5, 'caseload data'!$B:$B, "community")</f>
        <v>0</v>
      </c>
      <c r="J44" s="234">
        <f>SUMIFS('caseload data'!L:L,'caseload data'!$D:$D,"PO",'caseload data'!$A:$A,'HMIP caseload divisional'!$B$5, 'caseload data'!$B:$B, "community")</f>
        <v>0</v>
      </c>
      <c r="K44" s="234">
        <f>SUMIFS('caseload data'!M:M,'caseload data'!$D:$D,"PO",'caseload data'!$A:$A,'HMIP caseload divisional'!$B$5, 'caseload data'!$B:$B, "community")</f>
        <v>0</v>
      </c>
      <c r="L44" s="234">
        <f>SUMIFS('caseload data'!N:N,'caseload data'!$D:$D,"PO",'caseload data'!$A:$A,'HMIP caseload divisional'!$B$5, 'caseload data'!$B:$B, "community")</f>
        <v>0</v>
      </c>
      <c r="M44" s="234">
        <f>SUMIFS('caseload data'!O:O,'caseload data'!$D:$D,"PO",'caseload data'!$A:$A,'HMIP caseload divisional'!$B$5, 'caseload data'!$B:$B, "community")</f>
        <v>0</v>
      </c>
      <c r="N44" s="234">
        <f>SUMIFS('caseload data'!P:P,'caseload data'!$D:$D,"PO",'caseload data'!$A:$A,'HMIP caseload divisional'!$B$5, 'caseload data'!$B:$B, "community")</f>
        <v>0</v>
      </c>
      <c r="O44" s="234">
        <f>SUMIFS('caseload data'!Q:Q,'caseload data'!$D:$D,"PO",'caseload data'!$A:$A,'HMIP caseload divisional'!$B$5, 'caseload data'!$B:$B, "community")</f>
        <v>0</v>
      </c>
      <c r="P44" s="234">
        <f>SUMIFS('caseload data'!R:R,'caseload data'!$D:$D,"PO",'caseload data'!$A:$A,'HMIP caseload divisional'!$B$5, 'caseload data'!$B:$B, "community")</f>
        <v>0</v>
      </c>
      <c r="Q44" s="234">
        <f>SUMIFS('caseload data'!S:S,'caseload data'!$D:$D,"PO",'caseload data'!$A:$A,'HMIP caseload divisional'!$B$5, 'caseload data'!$B:$B, "community")</f>
        <v>0</v>
      </c>
      <c r="R44" s="234">
        <f>SUMIFS('caseload data'!T:T,'caseload data'!$D:$D,"PO",'caseload data'!$A:$A,'HMIP caseload divisional'!$B$5, 'caseload data'!$B:$B, "community")</f>
        <v>0</v>
      </c>
      <c r="S44" s="234">
        <f>SUMIFS('caseload data'!U:U,'caseload data'!$D:$D,"PO",'caseload data'!$A:$A,'HMIP caseload divisional'!$B$5, 'caseload data'!$B:$B, "community")</f>
        <v>0</v>
      </c>
      <c r="T44" s="234">
        <f>SUM(C44:S44)</f>
        <v>0</v>
      </c>
    </row>
    <row r="45" spans="2:20" x14ac:dyDescent="0.15">
      <c r="B45" s="365" t="s">
        <v>1007</v>
      </c>
      <c r="C45" s="366">
        <f>SUMIFS('caseload data'!E:E,'caseload data'!$D:$D,"PSO",'caseload data'!$A:$A,'HMIP caseload divisional'!$B$5, 'caseload data'!$B:$B, "community")</f>
        <v>0</v>
      </c>
      <c r="D45" s="234">
        <f>SUMIFS('caseload data'!F:F,'caseload data'!$D:$D,"PSO",'caseload data'!$A:$A,'HMIP caseload divisional'!$B$5, 'caseload data'!$B:$B, "community")</f>
        <v>0</v>
      </c>
      <c r="E45" s="234">
        <f>SUMIFS('caseload data'!G:G,'caseload data'!$D:$D,"PSO",'caseload data'!$A:$A,'HMIP caseload divisional'!$B$5, 'caseload data'!$B:$B, "community")</f>
        <v>0</v>
      </c>
      <c r="F45" s="234">
        <f>SUMIFS('caseload data'!H:H,'caseload data'!$D:$D,"PSO",'caseload data'!$A:$A,'HMIP caseload divisional'!$B$5, 'caseload data'!$B:$B, "community")</f>
        <v>0</v>
      </c>
      <c r="G45" s="234">
        <f>SUMIFS('caseload data'!I:I,'caseload data'!$D:$D,"PSO",'caseload data'!$A:$A,'HMIP caseload divisional'!$B$5, 'caseload data'!$B:$B, "community")</f>
        <v>0</v>
      </c>
      <c r="H45" s="234">
        <f>SUMIFS('caseload data'!J:J,'caseload data'!$D:$D,"PSO",'caseload data'!$A:$A,'HMIP caseload divisional'!$B$5, 'caseload data'!$B:$B, "community")</f>
        <v>0</v>
      </c>
      <c r="I45" s="234">
        <f>SUMIFS('caseload data'!K:K,'caseload data'!$D:$D,"PSO",'caseload data'!$A:$A,'HMIP caseload divisional'!$B$5, 'caseload data'!$B:$B, "community")</f>
        <v>0</v>
      </c>
      <c r="J45" s="234">
        <f>SUMIFS('caseload data'!L:L,'caseload data'!$D:$D,"PSO",'caseload data'!$A:$A,'HMIP caseload divisional'!$B$5, 'caseload data'!$B:$B, "community")</f>
        <v>0</v>
      </c>
      <c r="K45" s="234">
        <f>SUMIFS('caseload data'!M:M,'caseload data'!$D:$D,"PSO",'caseload data'!$A:$A,'HMIP caseload divisional'!$B$5, 'caseload data'!$B:$B, "community")</f>
        <v>0</v>
      </c>
      <c r="L45" s="234">
        <f>SUMIFS('caseload data'!N:N,'caseload data'!$D:$D,"PSO",'caseload data'!$A:$A,'HMIP caseload divisional'!$B$5, 'caseload data'!$B:$B, "community")</f>
        <v>0</v>
      </c>
      <c r="M45" s="234">
        <f>SUMIFS('caseload data'!O:O,'caseload data'!$D:$D,"PSO",'caseload data'!$A:$A,'HMIP caseload divisional'!$B$5, 'caseload data'!$B:$B, "community")</f>
        <v>0</v>
      </c>
      <c r="N45" s="234">
        <f>SUMIFS('caseload data'!P:P,'caseload data'!$D:$D,"PSO",'caseload data'!$A:$A,'HMIP caseload divisional'!$B$5, 'caseload data'!$B:$B, "community")</f>
        <v>0</v>
      </c>
      <c r="O45" s="234">
        <f>SUMIFS('caseload data'!Q:Q,'caseload data'!$D:$D,"PSO",'caseload data'!$A:$A,'HMIP caseload divisional'!$B$5, 'caseload data'!$B:$B, "community")</f>
        <v>0</v>
      </c>
      <c r="P45" s="234">
        <f>SUMIFS('caseload data'!R:R,'caseload data'!$D:$D,"PSO",'caseload data'!$A:$A,'HMIP caseload divisional'!$B$5, 'caseload data'!$B:$B, "community")</f>
        <v>0</v>
      </c>
      <c r="Q45" s="234">
        <f>SUMIFS('caseload data'!S:S,'caseload data'!$D:$D,"PSO",'caseload data'!$A:$A,'HMIP caseload divisional'!$B$5, 'caseload data'!$B:$B, "community")</f>
        <v>0</v>
      </c>
      <c r="R45" s="234">
        <f>SUMIFS('caseload data'!T:T,'caseload data'!$D:$D,"PSO",'caseload data'!$A:$A,'HMIP caseload divisional'!$B$5, 'caseload data'!$B:$B, "community")</f>
        <v>0</v>
      </c>
      <c r="S45" s="234">
        <f>SUMIFS('caseload data'!U:U,'caseload data'!$D:$D,"PSO",'caseload data'!$A:$A,'HMIP caseload divisional'!$B$5, 'caseload data'!$B:$B, "community")</f>
        <v>0</v>
      </c>
      <c r="T45" s="234">
        <f t="shared" ref="T45:T47" si="7">SUM(C45:S45)</f>
        <v>0</v>
      </c>
    </row>
    <row r="46" spans="2:20" x14ac:dyDescent="0.15">
      <c r="B46" s="365" t="s">
        <v>1008</v>
      </c>
      <c r="C46" s="366">
        <f>SUMIFS('caseload data'!E:E,'caseload data'!$D:$D,"TPO",'caseload data'!$A:$A,'HMIP caseload divisional'!$B$5, 'caseload data'!$B:$B, "community")</f>
        <v>0</v>
      </c>
      <c r="D46" s="234">
        <f>SUMIFS('caseload data'!F:F,'caseload data'!$D:$D,"TPO",'caseload data'!$A:$A,'HMIP caseload divisional'!$B$5, 'caseload data'!$B:$B, "community")</f>
        <v>0</v>
      </c>
      <c r="E46" s="234">
        <f>SUMIFS('caseload data'!G:G,'caseload data'!$D:$D,"TPO",'caseload data'!$A:$A,'HMIP caseload divisional'!$B$5, 'caseload data'!$B:$B, "community")</f>
        <v>0</v>
      </c>
      <c r="F46" s="234">
        <f>SUMIFS('caseload data'!H:H,'caseload data'!$D:$D,"TPO",'caseload data'!$A:$A,'HMIP caseload divisional'!$B$5, 'caseload data'!$B:$B, "community")</f>
        <v>0</v>
      </c>
      <c r="G46" s="234">
        <f>SUMIFS('caseload data'!I:I,'caseload data'!$D:$D,"TPO",'caseload data'!$A:$A,'HMIP caseload divisional'!$B$5, 'caseload data'!$B:$B, "community")</f>
        <v>0</v>
      </c>
      <c r="H46" s="234">
        <f>SUMIFS('caseload data'!J:J,'caseload data'!$D:$D,"TPO",'caseload data'!$A:$A,'HMIP caseload divisional'!$B$5, 'caseload data'!$B:$B, "community")</f>
        <v>0</v>
      </c>
      <c r="I46" s="234">
        <f>SUMIFS('caseload data'!K:K,'caseload data'!$D:$D,"TPO",'caseload data'!$A:$A,'HMIP caseload divisional'!$B$5, 'caseload data'!$B:$B, "community")</f>
        <v>0</v>
      </c>
      <c r="J46" s="234">
        <f>SUMIFS('caseload data'!L:L,'caseload data'!$D:$D,"TPO",'caseload data'!$A:$A,'HMIP caseload divisional'!$B$5, 'caseload data'!$B:$B, "community")</f>
        <v>0</v>
      </c>
      <c r="K46" s="234">
        <f>SUMIFS('caseload data'!M:M,'caseload data'!$D:$D,"TPO",'caseload data'!$A:$A,'HMIP caseload divisional'!$B$5, 'caseload data'!$B:$B, "community")</f>
        <v>0</v>
      </c>
      <c r="L46" s="234">
        <f>SUMIFS('caseload data'!N:N,'caseload data'!$D:$D,"TPO",'caseload data'!$A:$A,'HMIP caseload divisional'!$B$5, 'caseload data'!$B:$B, "community")</f>
        <v>0</v>
      </c>
      <c r="M46" s="234">
        <f>SUMIFS('caseload data'!O:O,'caseload data'!$D:$D,"TPO",'caseload data'!$A:$A,'HMIP caseload divisional'!$B$5, 'caseload data'!$B:$B, "community")</f>
        <v>0</v>
      </c>
      <c r="N46" s="234">
        <f>SUMIFS('caseload data'!P:P,'caseload data'!$D:$D,"TPO",'caseload data'!$A:$A,'HMIP caseload divisional'!$B$5, 'caseload data'!$B:$B, "community")</f>
        <v>0</v>
      </c>
      <c r="O46" s="234">
        <f>SUMIFS('caseload data'!Q:Q,'caseload data'!$D:$D,"TPO",'caseload data'!$A:$A,'HMIP caseload divisional'!$B$5, 'caseload data'!$B:$B, "community")</f>
        <v>0</v>
      </c>
      <c r="P46" s="234">
        <f>SUMIFS('caseload data'!R:R,'caseload data'!$D:$D,"TPO",'caseload data'!$A:$A,'HMIP caseload divisional'!$B$5, 'caseload data'!$B:$B, "community")</f>
        <v>0</v>
      </c>
      <c r="Q46" s="234">
        <f>SUMIFS('caseload data'!S:S,'caseload data'!$D:$D,"TPO",'caseload data'!$A:$A,'HMIP caseload divisional'!$B$5, 'caseload data'!$B:$B, "community")</f>
        <v>0</v>
      </c>
      <c r="R46" s="234">
        <f>SUMIFS('caseload data'!T:T,'caseload data'!$D:$D,"TPO",'caseload data'!$A:$A,'HMIP caseload divisional'!$B$5, 'caseload data'!$B:$B, "community")</f>
        <v>0</v>
      </c>
      <c r="S46" s="234">
        <f>SUMIFS('caseload data'!U:U,'caseload data'!$D:$D,"TPO",'caseload data'!$A:$A,'HMIP caseload divisional'!$B$5, 'caseload data'!$B:$B, "community")</f>
        <v>0</v>
      </c>
      <c r="T46" s="234">
        <f t="shared" si="7"/>
        <v>0</v>
      </c>
    </row>
    <row r="47" spans="2:20" x14ac:dyDescent="0.15">
      <c r="B47" s="365" t="s">
        <v>1009</v>
      </c>
      <c r="C47" s="366">
        <f>SUMIFS('caseload data'!E:E,'caseload data'!$D:$D,"SPO",'caseload data'!$A:$A,$B$5, 'caseload data'!$B:$B, "community")</f>
        <v>0</v>
      </c>
      <c r="D47" s="234">
        <f>SUMIFS('caseload data'!F:F,'caseload data'!$D:$D,"SPO",'caseload data'!$A:$A,$B$5, 'caseload data'!$B:$B, "community")</f>
        <v>0</v>
      </c>
      <c r="E47" s="234">
        <f>SUMIFS('caseload data'!G:G,'caseload data'!$D:$D,"SPO",'caseload data'!$A:$A,$B$5, 'caseload data'!$B:$B, "community")</f>
        <v>0</v>
      </c>
      <c r="F47" s="234">
        <f>SUMIFS('caseload data'!H:H,'caseload data'!$D:$D,"SPO",'caseload data'!$A:$A,$B$5, 'caseload data'!$B:$B, "community")</f>
        <v>0</v>
      </c>
      <c r="G47" s="234">
        <f>SUMIFS('caseload data'!I:I,'caseload data'!$D:$D,"SPO",'caseload data'!$A:$A,$B$5, 'caseload data'!$B:$B, "community")</f>
        <v>0</v>
      </c>
      <c r="H47" s="234">
        <f>SUMIFS('caseload data'!J:J,'caseload data'!$D:$D,"SPO",'caseload data'!$A:$A,$B$5, 'caseload data'!$B:$B, "community")</f>
        <v>0</v>
      </c>
      <c r="I47" s="234">
        <f>SUMIFS('caseload data'!K:K,'caseload data'!$D:$D,"SPO",'caseload data'!$A:$A,$B$5, 'caseload data'!$B:$B, "community")</f>
        <v>0</v>
      </c>
      <c r="J47" s="234">
        <f>SUMIFS('caseload data'!L:L,'caseload data'!$D:$D,"SPO",'caseload data'!$A:$A,$B$5, 'caseload data'!$B:$B, "community")</f>
        <v>0</v>
      </c>
      <c r="K47" s="234">
        <f>SUMIFS('caseload data'!M:M,'caseload data'!$D:$D,"SPO",'caseload data'!$A:$A,$B$5, 'caseload data'!$B:$B, "community")</f>
        <v>0</v>
      </c>
      <c r="L47" s="234">
        <f>SUMIFS('caseload data'!N:N,'caseload data'!$D:$D,"SPO",'caseload data'!$A:$A,$B$5, 'caseload data'!$B:$B, "community")</f>
        <v>0</v>
      </c>
      <c r="M47" s="234">
        <f>SUMIFS('caseload data'!O:O,'caseload data'!$D:$D,"SPO",'caseload data'!$A:$A,$B$5, 'caseload data'!$B:$B, "community")</f>
        <v>0</v>
      </c>
      <c r="N47" s="234">
        <f>SUMIFS('caseload data'!P:P,'caseload data'!$D:$D,"SPO",'caseload data'!$A:$A,$B$5, 'caseload data'!$B:$B, "community")</f>
        <v>0</v>
      </c>
      <c r="O47" s="234">
        <f>SUMIFS('caseload data'!Q:Q,'caseload data'!$D:$D,"SPO",'caseload data'!$A:$A,$B$5, 'caseload data'!$B:$B, "community")</f>
        <v>0</v>
      </c>
      <c r="P47" s="234">
        <f>SUMIFS('caseload data'!R:R,'caseload data'!$D:$D,"SPO",'caseload data'!$A:$A,$B$5, 'caseload data'!$B:$B, "community")</f>
        <v>0</v>
      </c>
      <c r="Q47" s="234">
        <f>SUMIFS('caseload data'!S:S,'caseload data'!$D:$D,"SPO",'caseload data'!$A:$A,$B$5, 'caseload data'!$B:$B, "community")</f>
        <v>0</v>
      </c>
      <c r="R47" s="234">
        <f>SUMIFS('caseload data'!T:T,'caseload data'!$D:$D,"SPO",'caseload data'!$A:$A,$B$5, 'caseload data'!$B:$B, "community")</f>
        <v>0</v>
      </c>
      <c r="S47" s="234">
        <f>SUMIFS('caseload data'!U:U,'caseload data'!$D:$D,"SPO",'caseload data'!$A:$A,$B$5, 'caseload data'!$B:$B, "community")</f>
        <v>0</v>
      </c>
      <c r="T47" s="234">
        <f t="shared" si="7"/>
        <v>0</v>
      </c>
    </row>
    <row r="48" spans="2:20" x14ac:dyDescent="0.15">
      <c r="B48" s="144" t="s">
        <v>1344</v>
      </c>
      <c r="C48" s="366">
        <f>SUMIFS('caseload data'!E:E,'caseload data'!$D:$D,"DMY",'caseload data'!$A:$A,'HMIP caseload divisional'!$B$5, 'caseload data'!$B:$B, "community")</f>
        <v>0</v>
      </c>
      <c r="D48" s="234">
        <f>SUMIFS('caseload data'!F:F,'caseload data'!$D:$D,"DMY",'caseload data'!$A:$A,'HMIP caseload divisional'!$B$5, 'caseload data'!$B:$B, "community")</f>
        <v>0</v>
      </c>
      <c r="E48" s="234">
        <f>SUMIFS('caseload data'!G:G,'caseload data'!$D:$D,"DMY",'caseload data'!$A:$A,'HMIP caseload divisional'!$B$5, 'caseload data'!$B:$B, "community")</f>
        <v>0</v>
      </c>
      <c r="F48" s="234">
        <f>SUMIFS('caseload data'!H:H,'caseload data'!$D:$D,"DMY",'caseload data'!$A:$A,'HMIP caseload divisional'!$B$5, 'caseload data'!$B:$B, "community")</f>
        <v>0</v>
      </c>
      <c r="G48" s="234">
        <f>SUMIFS('caseload data'!I:I,'caseload data'!$D:$D,"DMY",'caseload data'!$A:$A,'HMIP caseload divisional'!$B$5, 'caseload data'!$B:$B, "community")</f>
        <v>0</v>
      </c>
      <c r="H48" s="234">
        <f>SUMIFS('caseload data'!J:J,'caseload data'!$D:$D,"DMY",'caseload data'!$A:$A,'HMIP caseload divisional'!$B$5, 'caseload data'!$B:$B, "community")</f>
        <v>0</v>
      </c>
      <c r="I48" s="234">
        <f>SUMIFS('caseload data'!K:K,'caseload data'!$D:$D,"DMY",'caseload data'!$A:$A,'HMIP caseload divisional'!$B$5, 'caseload data'!$B:$B, "community")</f>
        <v>0</v>
      </c>
      <c r="J48" s="234">
        <f>SUMIFS('caseload data'!L:L,'caseload data'!$D:$D,"DMY",'caseload data'!$A:$A,'HMIP caseload divisional'!$B$5, 'caseload data'!$B:$B, "community")</f>
        <v>0</v>
      </c>
      <c r="K48" s="234">
        <f>SUMIFS('caseload data'!M:M,'caseload data'!$D:$D,"DMY",'caseload data'!$A:$A,'HMIP caseload divisional'!$B$5, 'caseload data'!$B:$B, "community")</f>
        <v>0</v>
      </c>
      <c r="L48" s="234">
        <f>SUMIFS('caseload data'!N:N,'caseload data'!$D:$D,"DMY",'caseload data'!$A:$A,'HMIP caseload divisional'!$B$5, 'caseload data'!$B:$B, "community")</f>
        <v>0</v>
      </c>
      <c r="M48" s="234">
        <f>SUMIFS('caseload data'!O:O,'caseload data'!$D:$D,"DMY",'caseload data'!$A:$A,'HMIP caseload divisional'!$B$5, 'caseload data'!$B:$B, "community")</f>
        <v>0</v>
      </c>
      <c r="N48" s="234">
        <f>SUMIFS('caseload data'!P:P,'caseload data'!$D:$D,"DMY",'caseload data'!$A:$A,'HMIP caseload divisional'!$B$5, 'caseload data'!$B:$B, "community")</f>
        <v>0</v>
      </c>
      <c r="O48" s="234">
        <f>SUMIFS('caseload data'!Q:Q,'caseload data'!$D:$D,"DMY",'caseload data'!$A:$A,'HMIP caseload divisional'!$B$5, 'caseload data'!$B:$B, "community")</f>
        <v>0</v>
      </c>
      <c r="P48" s="234">
        <f>SUMIFS('caseload data'!R:R,'caseload data'!$D:$D,"DMY",'caseload data'!$A:$A,'HMIP caseload divisional'!$B$5, 'caseload data'!$B:$B, "community")</f>
        <v>0</v>
      </c>
      <c r="Q48" s="234">
        <f>SUMIFS('caseload data'!S:S,'caseload data'!$D:$D,"DMY",'caseload data'!$A:$A,'HMIP caseload divisional'!$B$5, 'caseload data'!$B:$B, "community")</f>
        <v>0</v>
      </c>
      <c r="R48" s="234">
        <f>SUMIFS('caseload data'!T:T,'caseload data'!$D:$D,"DMY",'caseload data'!$A:$A,'HMIP caseload divisional'!$B$5, 'caseload data'!$B:$B, "community")</f>
        <v>0</v>
      </c>
      <c r="S48" s="234">
        <f>SUMIFS('caseload data'!U:U,'caseload data'!$D:$D,"DMY",'caseload data'!$A:$A,'HMIP caseload divisional'!$B$5, 'caseload data'!$B:$B, "community")</f>
        <v>0</v>
      </c>
      <c r="T48" s="234">
        <f t="shared" ref="T48" si="8">SUM(C48:S48)</f>
        <v>0</v>
      </c>
    </row>
    <row r="49" spans="2:20" x14ac:dyDescent="0.15">
      <c r="B49" s="171"/>
      <c r="C49" s="237"/>
      <c r="D49" s="237"/>
      <c r="E49" s="237"/>
      <c r="F49" s="237"/>
      <c r="G49" s="237"/>
      <c r="H49" s="237"/>
      <c r="I49" s="237"/>
      <c r="J49" s="237"/>
      <c r="K49" s="237"/>
      <c r="L49" s="237"/>
      <c r="M49" s="237"/>
      <c r="N49" s="237"/>
      <c r="O49" s="237"/>
      <c r="P49" s="237"/>
      <c r="Q49" s="237"/>
      <c r="R49" s="237"/>
      <c r="S49" s="237"/>
      <c r="T49" s="64"/>
    </row>
    <row r="50" spans="2:20" ht="27.75" customHeight="1" x14ac:dyDescent="0.15">
      <c r="B50" s="298" t="str">
        <f>B5</f>
        <v>London</v>
      </c>
      <c r="C50" s="430" t="s">
        <v>1033</v>
      </c>
      <c r="D50" s="431"/>
      <c r="E50" s="431"/>
      <c r="F50" s="431"/>
      <c r="G50" s="431"/>
      <c r="H50" s="431"/>
      <c r="I50" s="431"/>
      <c r="J50" s="431"/>
      <c r="K50" s="431"/>
      <c r="L50" s="431"/>
      <c r="M50" s="431"/>
      <c r="N50" s="431"/>
      <c r="O50" s="431"/>
      <c r="P50" s="431"/>
      <c r="Q50" s="431"/>
      <c r="R50" s="431"/>
      <c r="S50" s="431"/>
      <c r="T50" s="431"/>
    </row>
    <row r="51" spans="2:20" x14ac:dyDescent="0.15">
      <c r="B51" s="95" t="s">
        <v>1006</v>
      </c>
      <c r="C51" s="288" t="s">
        <v>869</v>
      </c>
      <c r="D51" s="288" t="s">
        <v>870</v>
      </c>
      <c r="E51" s="288" t="s">
        <v>871</v>
      </c>
      <c r="F51" s="288" t="s">
        <v>872</v>
      </c>
      <c r="G51" s="288" t="s">
        <v>873</v>
      </c>
      <c r="H51" s="288" t="s">
        <v>874</v>
      </c>
      <c r="I51" s="288" t="s">
        <v>875</v>
      </c>
      <c r="J51" s="288" t="s">
        <v>876</v>
      </c>
      <c r="K51" s="288" t="s">
        <v>877</v>
      </c>
      <c r="L51" s="288" t="s">
        <v>878</v>
      </c>
      <c r="M51" s="288" t="s">
        <v>879</v>
      </c>
      <c r="N51" s="288" t="s">
        <v>880</v>
      </c>
      <c r="O51" s="288" t="s">
        <v>881</v>
      </c>
      <c r="P51" s="288" t="s">
        <v>882</v>
      </c>
      <c r="Q51" s="288" t="s">
        <v>883</v>
      </c>
      <c r="R51" s="288" t="s">
        <v>884</v>
      </c>
      <c r="S51" s="288" t="s">
        <v>1031</v>
      </c>
      <c r="T51" s="288" t="s">
        <v>964</v>
      </c>
    </row>
    <row r="52" spans="2:20" x14ac:dyDescent="0.15">
      <c r="B52" s="365" t="s">
        <v>1002</v>
      </c>
      <c r="C52" s="366">
        <f>SUMIFS('caseload data'!E:E,'caseload data'!$D:$D,"PO",'caseload data'!$A:$A,'HMIP caseload divisional'!$B$5, 'caseload data'!$B:$B, "licence")</f>
        <v>0</v>
      </c>
      <c r="D52" s="234">
        <f>SUMIFS('caseload data'!F:F,'caseload data'!$D:$D,"PO",'caseload data'!$A:$A,'HMIP caseload divisional'!$B$5, 'caseload data'!$B:$B, "licence")</f>
        <v>0</v>
      </c>
      <c r="E52" s="234">
        <f>SUMIFS('caseload data'!G:G,'caseload data'!$D:$D,"PO",'caseload data'!$A:$A,'HMIP caseload divisional'!$B$5, 'caseload data'!$B:$B, "licence")</f>
        <v>0</v>
      </c>
      <c r="F52" s="234">
        <f>SUMIFS('caseload data'!H:H,'caseload data'!$D:$D,"PO",'caseload data'!$A:$A,'HMIP caseload divisional'!$B$5, 'caseload data'!$B:$B, "licence")</f>
        <v>0</v>
      </c>
      <c r="G52" s="234">
        <f>SUMIFS('caseload data'!I:I,'caseload data'!$D:$D,"PO",'caseload data'!$A:$A,'HMIP caseload divisional'!$B$5, 'caseload data'!$B:$B, "licence")</f>
        <v>0</v>
      </c>
      <c r="H52" s="234">
        <f>SUMIFS('caseload data'!J:J,'caseload data'!$D:$D,"PO",'caseload data'!$A:$A,'HMIP caseload divisional'!$B$5, 'caseload data'!$B:$B, "licence")</f>
        <v>0</v>
      </c>
      <c r="I52" s="234">
        <f>SUMIFS('caseload data'!K:K,'caseload data'!$D:$D,"PO",'caseload data'!$A:$A,'HMIP caseload divisional'!$B$5, 'caseload data'!$B:$B, "licence")</f>
        <v>0</v>
      </c>
      <c r="J52" s="234">
        <f>SUMIFS('caseload data'!L:L,'caseload data'!$D:$D,"PO",'caseload data'!$A:$A,'HMIP caseload divisional'!$B$5, 'caseload data'!$B:$B, "licence")</f>
        <v>0</v>
      </c>
      <c r="K52" s="234">
        <f>SUMIFS('caseload data'!M:M,'caseload data'!$D:$D,"PO",'caseload data'!$A:$A,'HMIP caseload divisional'!$B$5, 'caseload data'!$B:$B, "licence")</f>
        <v>0</v>
      </c>
      <c r="L52" s="234">
        <f>SUMIFS('caseload data'!N:N,'caseload data'!$D:$D,"PO",'caseload data'!$A:$A,'HMIP caseload divisional'!$B$5, 'caseload data'!$B:$B, "licence")</f>
        <v>0</v>
      </c>
      <c r="M52" s="234">
        <f>SUMIFS('caseload data'!O:O,'caseload data'!$D:$D,"PO",'caseload data'!$A:$A,'HMIP caseload divisional'!$B$5, 'caseload data'!$B:$B, "licence")</f>
        <v>0</v>
      </c>
      <c r="N52" s="234">
        <f>SUMIFS('caseload data'!P:P,'caseload data'!$D:$D,"PO",'caseload data'!$A:$A,'HMIP caseload divisional'!$B$5, 'caseload data'!$B:$B, "licence")</f>
        <v>0</v>
      </c>
      <c r="O52" s="234">
        <f>SUMIFS('caseload data'!Q:Q,'caseload data'!$D:$D,"PO",'caseload data'!$A:$A,'HMIP caseload divisional'!$B$5, 'caseload data'!$B:$B, "licence")</f>
        <v>0</v>
      </c>
      <c r="P52" s="234">
        <f>SUMIFS('caseload data'!R:R,'caseload data'!$D:$D,"PO",'caseload data'!$A:$A,'HMIP caseload divisional'!$B$5, 'caseload data'!$B:$B, "licence")</f>
        <v>0</v>
      </c>
      <c r="Q52" s="234">
        <f>SUMIFS('caseload data'!S:S,'caseload data'!$D:$D,"PO",'caseload data'!$A:$A,'HMIP caseload divisional'!$B$5, 'caseload data'!$B:$B, "licence")</f>
        <v>0</v>
      </c>
      <c r="R52" s="234">
        <f>SUMIFS('caseload data'!T:T,'caseload data'!$D:$D,"PO",'caseload data'!$A:$A,'HMIP caseload divisional'!$B$5, 'caseload data'!$B:$B, "licence")</f>
        <v>0</v>
      </c>
      <c r="S52" s="234">
        <f>SUMIFS('caseload data'!U:U,'caseload data'!$D:$D,"PO",'caseload data'!$A:$A,'HMIP caseload divisional'!$B$5, 'caseload data'!$B:$B, "licence")</f>
        <v>0</v>
      </c>
      <c r="T52" s="234">
        <f>SUM(C52:S52)</f>
        <v>0</v>
      </c>
    </row>
    <row r="53" spans="2:20" x14ac:dyDescent="0.15">
      <c r="B53" s="365" t="s">
        <v>1007</v>
      </c>
      <c r="C53" s="366">
        <f>SUMIFS('caseload data'!E:E,'caseload data'!$D:$D,"PSO",'caseload data'!$A:$A,'HMIP caseload divisional'!$B$5, 'caseload data'!$B:$B, "licence")</f>
        <v>0</v>
      </c>
      <c r="D53" s="234">
        <f>SUMIFS('caseload data'!F:F,'caseload data'!$D:$D,"PSO",'caseload data'!$A:$A,'HMIP caseload divisional'!$B$5, 'caseload data'!$B:$B, "licence")</f>
        <v>0</v>
      </c>
      <c r="E53" s="234">
        <f>SUMIFS('caseload data'!G:G,'caseload data'!$D:$D,"PSO",'caseload data'!$A:$A,'HMIP caseload divisional'!$B$5, 'caseload data'!$B:$B, "licence")</f>
        <v>0</v>
      </c>
      <c r="F53" s="234">
        <f>SUMIFS('caseload data'!H:H,'caseload data'!$D:$D,"PSO",'caseload data'!$A:$A,'HMIP caseload divisional'!$B$5, 'caseload data'!$B:$B, "licence")</f>
        <v>0</v>
      </c>
      <c r="G53" s="234">
        <f>SUMIFS('caseload data'!I:I,'caseload data'!$D:$D,"PSO",'caseload data'!$A:$A,'HMIP caseload divisional'!$B$5, 'caseload data'!$B:$B, "licence")</f>
        <v>0</v>
      </c>
      <c r="H53" s="234">
        <f>SUMIFS('caseload data'!J:J,'caseload data'!$D:$D,"PSO",'caseload data'!$A:$A,'HMIP caseload divisional'!$B$5, 'caseload data'!$B:$B, "licence")</f>
        <v>0</v>
      </c>
      <c r="I53" s="234">
        <f>SUMIFS('caseload data'!K:K,'caseload data'!$D:$D,"PSO",'caseload data'!$A:$A,'HMIP caseload divisional'!$B$5, 'caseload data'!$B:$B, "licence")</f>
        <v>0</v>
      </c>
      <c r="J53" s="234">
        <f>SUMIFS('caseload data'!L:L,'caseload data'!$D:$D,"PSO",'caseload data'!$A:$A,'HMIP caseload divisional'!$B$5, 'caseload data'!$B:$B, "licence")</f>
        <v>0</v>
      </c>
      <c r="K53" s="234">
        <f>SUMIFS('caseload data'!M:M,'caseload data'!$D:$D,"PSO",'caseload data'!$A:$A,'HMIP caseload divisional'!$B$5, 'caseload data'!$B:$B, "licence")</f>
        <v>0</v>
      </c>
      <c r="L53" s="234">
        <f>SUMIFS('caseload data'!N:N,'caseload data'!$D:$D,"PSO",'caseload data'!$A:$A,'HMIP caseload divisional'!$B$5, 'caseload data'!$B:$B, "licence")</f>
        <v>0</v>
      </c>
      <c r="M53" s="234">
        <f>SUMIFS('caseload data'!O:O,'caseload data'!$D:$D,"PSO",'caseload data'!$A:$A,'HMIP caseload divisional'!$B$5, 'caseload data'!$B:$B, "licence")</f>
        <v>0</v>
      </c>
      <c r="N53" s="234">
        <f>SUMIFS('caseload data'!P:P,'caseload data'!$D:$D,"PSO",'caseload data'!$A:$A,'HMIP caseload divisional'!$B$5, 'caseload data'!$B:$B, "licence")</f>
        <v>0</v>
      </c>
      <c r="O53" s="234">
        <f>SUMIFS('caseload data'!Q:Q,'caseload data'!$D:$D,"PSO",'caseload data'!$A:$A,'HMIP caseload divisional'!$B$5, 'caseload data'!$B:$B, "licence")</f>
        <v>0</v>
      </c>
      <c r="P53" s="234">
        <f>SUMIFS('caseload data'!R:R,'caseload data'!$D:$D,"PSO",'caseload data'!$A:$A,'HMIP caseload divisional'!$B$5, 'caseload data'!$B:$B, "licence")</f>
        <v>0</v>
      </c>
      <c r="Q53" s="234">
        <f>SUMIFS('caseload data'!S:S,'caseload data'!$D:$D,"PSO",'caseload data'!$A:$A,'HMIP caseload divisional'!$B$5, 'caseload data'!$B:$B, "licence")</f>
        <v>0</v>
      </c>
      <c r="R53" s="234">
        <f>SUMIFS('caseload data'!T:T,'caseload data'!$D:$D,"PSO",'caseload data'!$A:$A,'HMIP caseload divisional'!$B$5, 'caseload data'!$B:$B, "licence")</f>
        <v>0</v>
      </c>
      <c r="S53" s="234">
        <f>SUMIFS('caseload data'!U:U,'caseload data'!$D:$D,"PSO",'caseload data'!$A:$A,'HMIP caseload divisional'!$B$5, 'caseload data'!$B:$B, "licence")</f>
        <v>0</v>
      </c>
      <c r="T53" s="234">
        <f t="shared" ref="T53:T55" si="9">SUM(C53:S53)</f>
        <v>0</v>
      </c>
    </row>
    <row r="54" spans="2:20" x14ac:dyDescent="0.15">
      <c r="B54" s="365" t="s">
        <v>1008</v>
      </c>
      <c r="C54" s="366">
        <f>SUMIFS('caseload data'!E:E,'caseload data'!$D:$D,"TPO",'caseload data'!$A:$A,'HMIP caseload divisional'!$B$5, 'caseload data'!$B:$B, "licence")</f>
        <v>0</v>
      </c>
      <c r="D54" s="234">
        <f>SUMIFS('caseload data'!F:F,'caseload data'!$D:$D,"TPO",'caseload data'!$A:$A,'HMIP caseload divisional'!$B$5, 'caseload data'!$B:$B, "licence")</f>
        <v>0</v>
      </c>
      <c r="E54" s="234">
        <f>SUMIFS('caseload data'!G:G,'caseload data'!$D:$D,"TPO",'caseload data'!$A:$A,'HMIP caseload divisional'!$B$5, 'caseload data'!$B:$B, "licence")</f>
        <v>0</v>
      </c>
      <c r="F54" s="234">
        <f>SUMIFS('caseload data'!H:H,'caseload data'!$D:$D,"TPO",'caseload data'!$A:$A,'HMIP caseload divisional'!$B$5, 'caseload data'!$B:$B, "licence")</f>
        <v>0</v>
      </c>
      <c r="G54" s="234">
        <f>SUMIFS('caseload data'!I:I,'caseload data'!$D:$D,"TPO",'caseload data'!$A:$A,'HMIP caseload divisional'!$B$5, 'caseload data'!$B:$B, "licence")</f>
        <v>0</v>
      </c>
      <c r="H54" s="234">
        <f>SUMIFS('caseload data'!J:J,'caseload data'!$D:$D,"TPO",'caseload data'!$A:$A,'HMIP caseload divisional'!$B$5, 'caseload data'!$B:$B, "licence")</f>
        <v>0</v>
      </c>
      <c r="I54" s="234">
        <f>SUMIFS('caseload data'!K:K,'caseload data'!$D:$D,"TPO",'caseload data'!$A:$A,'HMIP caseload divisional'!$B$5, 'caseload data'!$B:$B, "licence")</f>
        <v>0</v>
      </c>
      <c r="J54" s="234">
        <f>SUMIFS('caseload data'!L:L,'caseload data'!$D:$D,"TPO",'caseload data'!$A:$A,'HMIP caseload divisional'!$B$5, 'caseload data'!$B:$B, "licence")</f>
        <v>0</v>
      </c>
      <c r="K54" s="234">
        <f>SUMIFS('caseload data'!M:M,'caseload data'!$D:$D,"TPO",'caseload data'!$A:$A,'HMIP caseload divisional'!$B$5, 'caseload data'!$B:$B, "licence")</f>
        <v>0</v>
      </c>
      <c r="L54" s="234">
        <f>SUMIFS('caseload data'!N:N,'caseload data'!$D:$D,"TPO",'caseload data'!$A:$A,'HMIP caseload divisional'!$B$5, 'caseload data'!$B:$B, "licence")</f>
        <v>0</v>
      </c>
      <c r="M54" s="234">
        <f>SUMIFS('caseload data'!O:O,'caseload data'!$D:$D,"TPO",'caseload data'!$A:$A,'HMIP caseload divisional'!$B$5, 'caseload data'!$B:$B, "licence")</f>
        <v>0</v>
      </c>
      <c r="N54" s="234">
        <f>SUMIFS('caseload data'!P:P,'caseload data'!$D:$D,"TPO",'caseload data'!$A:$A,'HMIP caseload divisional'!$B$5, 'caseload data'!$B:$B, "licence")</f>
        <v>0</v>
      </c>
      <c r="O54" s="234">
        <f>SUMIFS('caseload data'!Q:Q,'caseload data'!$D:$D,"TPO",'caseload data'!$A:$A,'HMIP caseload divisional'!$B$5, 'caseload data'!$B:$B, "licence")</f>
        <v>0</v>
      </c>
      <c r="P54" s="234">
        <f>SUMIFS('caseload data'!R:R,'caseload data'!$D:$D,"TPO",'caseload data'!$A:$A,'HMIP caseload divisional'!$B$5, 'caseload data'!$B:$B, "licence")</f>
        <v>0</v>
      </c>
      <c r="Q54" s="234">
        <f>SUMIFS('caseload data'!S:S,'caseload data'!$D:$D,"TPO",'caseload data'!$A:$A,'HMIP caseload divisional'!$B$5, 'caseload data'!$B:$B, "licence")</f>
        <v>0</v>
      </c>
      <c r="R54" s="234">
        <f>SUMIFS('caseload data'!T:T,'caseload data'!$D:$D,"TPO",'caseload data'!$A:$A,'HMIP caseload divisional'!$B$5, 'caseload data'!$B:$B, "licence")</f>
        <v>0</v>
      </c>
      <c r="S54" s="234">
        <f>SUMIFS('caseload data'!U:U,'caseload data'!$D:$D,"TPO",'caseload data'!$A:$A,'HMIP caseload divisional'!$B$5, 'caseload data'!$B:$B, "licence")</f>
        <v>0</v>
      </c>
      <c r="T54" s="234">
        <f t="shared" si="9"/>
        <v>0</v>
      </c>
    </row>
    <row r="55" spans="2:20" ht="12.5" customHeight="1" x14ac:dyDescent="0.15">
      <c r="B55" s="365" t="s">
        <v>1009</v>
      </c>
      <c r="C55" s="366">
        <f>SUMIFS('caseload data'!E:E,'caseload data'!$D:$D,"SPO",'caseload data'!$A:$A,$B$5, 'caseload data'!$B:$B, "licence")</f>
        <v>0</v>
      </c>
      <c r="D55" s="234">
        <f>SUMIFS('caseload data'!F:F,'caseload data'!$D:$D,"SPO",'caseload data'!$A:$A,$B$5, 'caseload data'!$B:$B, "licence")</f>
        <v>0</v>
      </c>
      <c r="E55" s="234">
        <f>SUMIFS('caseload data'!G:G,'caseload data'!$D:$D,"SPO",'caseload data'!$A:$A,$B$5, 'caseload data'!$B:$B, "licence")</f>
        <v>0</v>
      </c>
      <c r="F55" s="234">
        <f>SUMIFS('caseload data'!H:H,'caseload data'!$D:$D,"SPO",'caseload data'!$A:$A,$B$5, 'caseload data'!$B:$B, "licence")</f>
        <v>0</v>
      </c>
      <c r="G55" s="234">
        <f>SUMIFS('caseload data'!I:I,'caseload data'!$D:$D,"SPO",'caseload data'!$A:$A,$B$5, 'caseload data'!$B:$B, "licence")</f>
        <v>0</v>
      </c>
      <c r="H55" s="234">
        <f>SUMIFS('caseload data'!J:J,'caseload data'!$D:$D,"SPO",'caseload data'!$A:$A,$B$5, 'caseload data'!$B:$B, "licence")</f>
        <v>0</v>
      </c>
      <c r="I55" s="234">
        <f>SUMIFS('caseload data'!K:K,'caseload data'!$D:$D,"SPO",'caseload data'!$A:$A,$B$5, 'caseload data'!$B:$B, "licence")</f>
        <v>0</v>
      </c>
      <c r="J55" s="234">
        <f>SUMIFS('caseload data'!L:L,'caseload data'!$D:$D,"SPO",'caseload data'!$A:$A,$B$5, 'caseload data'!$B:$B, "licence")</f>
        <v>0</v>
      </c>
      <c r="K55" s="234">
        <f>SUMIFS('caseload data'!M:M,'caseload data'!$D:$D,"SPO",'caseload data'!$A:$A,$B$5, 'caseload data'!$B:$B, "licence")</f>
        <v>0</v>
      </c>
      <c r="L55" s="234">
        <f>SUMIFS('caseload data'!N:N,'caseload data'!$D:$D,"SPO",'caseload data'!$A:$A,$B$5, 'caseload data'!$B:$B, "licence")</f>
        <v>0</v>
      </c>
      <c r="M55" s="234">
        <f>SUMIFS('caseload data'!O:O,'caseload data'!$D:$D,"SPO",'caseload data'!$A:$A,$B$5, 'caseload data'!$B:$B, "licence")</f>
        <v>0</v>
      </c>
      <c r="N55" s="234">
        <f>SUMIFS('caseload data'!P:P,'caseload data'!$D:$D,"SPO",'caseload data'!$A:$A,$B$5, 'caseload data'!$B:$B, "licence")</f>
        <v>0</v>
      </c>
      <c r="O55" s="234">
        <f>SUMIFS('caseload data'!Q:Q,'caseload data'!$D:$D,"SPO",'caseload data'!$A:$A,$B$5, 'caseload data'!$B:$B, "licence")</f>
        <v>0</v>
      </c>
      <c r="P55" s="234">
        <f>SUMIFS('caseload data'!R:R,'caseload data'!$D:$D,"SPO",'caseload data'!$A:$A,$B$5, 'caseload data'!$B:$B, "licence")</f>
        <v>0</v>
      </c>
      <c r="Q55" s="234">
        <f>SUMIFS('caseload data'!S:S,'caseload data'!$D:$D,"SPO",'caseload data'!$A:$A,$B$5, 'caseload data'!$B:$B, "licence")</f>
        <v>0</v>
      </c>
      <c r="R55" s="234">
        <f>SUMIFS('caseload data'!T:T,'caseload data'!$D:$D,"SPO",'caseload data'!$A:$A,$B$5, 'caseload data'!$B:$B, "licence")</f>
        <v>0</v>
      </c>
      <c r="S55" s="234">
        <f>SUMIFS('caseload data'!U:U,'caseload data'!$D:$D,"SPO",'caseload data'!$A:$A,$B$5, 'caseload data'!$B:$B, "licence")</f>
        <v>0</v>
      </c>
      <c r="T55" s="234">
        <f t="shared" si="9"/>
        <v>0</v>
      </c>
    </row>
    <row r="56" spans="2:20" x14ac:dyDescent="0.15">
      <c r="B56" s="144" t="s">
        <v>1344</v>
      </c>
      <c r="C56" s="366">
        <f>SUMIFS('caseload data'!E:E,'caseload data'!$D:$D,"DMY",'caseload data'!$A:$A,'HMIP caseload divisional'!$B$5, 'caseload data'!$B:$B, "licence")</f>
        <v>0</v>
      </c>
      <c r="D56" s="234">
        <f>SUMIFS('caseload data'!F:F,'caseload data'!$D:$D,"DMY",'caseload data'!$A:$A,'HMIP caseload divisional'!$B$5, 'caseload data'!$B:$B, "licence")</f>
        <v>0</v>
      </c>
      <c r="E56" s="234">
        <f>SUMIFS('caseload data'!G:G,'caseload data'!$D:$D,"DMY",'caseload data'!$A:$A,'HMIP caseload divisional'!$B$5, 'caseload data'!$B:$B, "licence")</f>
        <v>0</v>
      </c>
      <c r="F56" s="234">
        <f>SUMIFS('caseload data'!H:H,'caseload data'!$D:$D,"DMY",'caseload data'!$A:$A,'HMIP caseload divisional'!$B$5, 'caseload data'!$B:$B, "licence")</f>
        <v>0</v>
      </c>
      <c r="G56" s="234">
        <f>SUMIFS('caseload data'!I:I,'caseload data'!$D:$D,"DMY",'caseload data'!$A:$A,'HMIP caseload divisional'!$B$5, 'caseload data'!$B:$B, "licence")</f>
        <v>0</v>
      </c>
      <c r="H56" s="234">
        <f>SUMIFS('caseload data'!J:J,'caseload data'!$D:$D,"DMY",'caseload data'!$A:$A,'HMIP caseload divisional'!$B$5, 'caseload data'!$B:$B, "licence")</f>
        <v>0</v>
      </c>
      <c r="I56" s="234">
        <f>SUMIFS('caseload data'!K:K,'caseload data'!$D:$D,"DMY",'caseload data'!$A:$A,'HMIP caseload divisional'!$B$5, 'caseload data'!$B:$B, "licence")</f>
        <v>0</v>
      </c>
      <c r="J56" s="234">
        <f>SUMIFS('caseload data'!L:L,'caseload data'!$D:$D,"DMY",'caseload data'!$A:$A,'HMIP caseload divisional'!$B$5, 'caseload data'!$B:$B, "licence")</f>
        <v>0</v>
      </c>
      <c r="K56" s="234">
        <f>SUMIFS('caseload data'!M:M,'caseload data'!$D:$D,"DMY",'caseload data'!$A:$A,'HMIP caseload divisional'!$B$5, 'caseload data'!$B:$B, "licence")</f>
        <v>0</v>
      </c>
      <c r="L56" s="234">
        <f>SUMIFS('caseload data'!N:N,'caseload data'!$D:$D,"DMY",'caseload data'!$A:$A,'HMIP caseload divisional'!$B$5, 'caseload data'!$B:$B, "licence")</f>
        <v>0</v>
      </c>
      <c r="M56" s="234">
        <f>SUMIFS('caseload data'!O:O,'caseload data'!$D:$D,"DMY",'caseload data'!$A:$A,'HMIP caseload divisional'!$B$5, 'caseload data'!$B:$B, "licence")</f>
        <v>0</v>
      </c>
      <c r="N56" s="234">
        <f>SUMIFS('caseload data'!P:P,'caseload data'!$D:$D,"DMY",'caseload data'!$A:$A,'HMIP caseload divisional'!$B$5, 'caseload data'!$B:$B, "licence")</f>
        <v>0</v>
      </c>
      <c r="O56" s="234">
        <f>SUMIFS('caseload data'!Q:Q,'caseload data'!$D:$D,"DMY",'caseload data'!$A:$A,'HMIP caseload divisional'!$B$5, 'caseload data'!$B:$B, "licence")</f>
        <v>0</v>
      </c>
      <c r="P56" s="234">
        <f>SUMIFS('caseload data'!R:R,'caseload data'!$D:$D,"DMY",'caseload data'!$A:$A,'HMIP caseload divisional'!$B$5, 'caseload data'!$B:$B, "licence")</f>
        <v>0</v>
      </c>
      <c r="Q56" s="234">
        <f>SUMIFS('caseload data'!S:S,'caseload data'!$D:$D,"DMY",'caseload data'!$A:$A,'HMIP caseload divisional'!$B$5, 'caseload data'!$B:$B, "licence")</f>
        <v>0</v>
      </c>
      <c r="R56" s="234">
        <f>SUMIFS('caseload data'!T:T,'caseload data'!$D:$D,"DMY",'caseload data'!$A:$A,'HMIP caseload divisional'!$B$5, 'caseload data'!$B:$B, "licence")</f>
        <v>0</v>
      </c>
      <c r="S56" s="234">
        <f>SUMIFS('caseload data'!U:U,'caseload data'!$D:$D,"DMY",'caseload data'!$A:$A,'HMIP caseload divisional'!$B$5, 'caseload data'!$B:$B, "licence")</f>
        <v>0</v>
      </c>
      <c r="T56" s="234">
        <f t="shared" ref="T56" si="10">SUM(C56:S56)</f>
        <v>0</v>
      </c>
    </row>
    <row r="57" spans="2:20" ht="12.5" customHeight="1" x14ac:dyDescent="0.15">
      <c r="B57" s="171"/>
      <c r="C57" s="237"/>
      <c r="D57" s="237"/>
      <c r="E57" s="237"/>
      <c r="F57" s="237"/>
      <c r="G57" s="237"/>
      <c r="H57" s="237"/>
      <c r="I57" s="237"/>
      <c r="J57" s="237"/>
      <c r="K57" s="237"/>
      <c r="L57" s="237"/>
      <c r="M57" s="237"/>
      <c r="N57" s="237"/>
      <c r="O57" s="237"/>
      <c r="P57" s="237"/>
      <c r="Q57" s="237"/>
      <c r="R57" s="237"/>
      <c r="S57" s="237"/>
      <c r="T57" s="64"/>
    </row>
    <row r="58" spans="2:20" ht="25.5" customHeight="1" x14ac:dyDescent="0.15">
      <c r="B58" s="298" t="str">
        <f>B5</f>
        <v>London</v>
      </c>
      <c r="C58" s="430" t="s">
        <v>1034</v>
      </c>
      <c r="D58" s="431"/>
      <c r="E58" s="431"/>
      <c r="F58" s="431"/>
      <c r="G58" s="431"/>
      <c r="H58" s="431"/>
      <c r="I58" s="431"/>
      <c r="J58" s="431"/>
      <c r="K58" s="431"/>
      <c r="L58" s="431"/>
      <c r="M58" s="431"/>
      <c r="N58" s="431"/>
      <c r="O58" s="431"/>
      <c r="P58" s="431"/>
      <c r="Q58" s="431"/>
      <c r="R58" s="431"/>
      <c r="S58" s="431"/>
      <c r="T58" s="431"/>
    </row>
    <row r="59" spans="2:20" x14ac:dyDescent="0.15">
      <c r="B59" s="95" t="s">
        <v>1006</v>
      </c>
      <c r="C59" s="288" t="s">
        <v>869</v>
      </c>
      <c r="D59" s="288" t="s">
        <v>870</v>
      </c>
      <c r="E59" s="288" t="s">
        <v>871</v>
      </c>
      <c r="F59" s="288" t="s">
        <v>872</v>
      </c>
      <c r="G59" s="288" t="s">
        <v>873</v>
      </c>
      <c r="H59" s="288" t="s">
        <v>874</v>
      </c>
      <c r="I59" s="288" t="s">
        <v>875</v>
      </c>
      <c r="J59" s="288" t="s">
        <v>876</v>
      </c>
      <c r="K59" s="288" t="s">
        <v>877</v>
      </c>
      <c r="L59" s="288" t="s">
        <v>878</v>
      </c>
      <c r="M59" s="288" t="s">
        <v>879</v>
      </c>
      <c r="N59" s="288" t="s">
        <v>880</v>
      </c>
      <c r="O59" s="288" t="s">
        <v>881</v>
      </c>
      <c r="P59" s="288" t="s">
        <v>882</v>
      </c>
      <c r="Q59" s="288" t="s">
        <v>883</v>
      </c>
      <c r="R59" s="288" t="s">
        <v>884</v>
      </c>
      <c r="S59" s="288" t="s">
        <v>1031</v>
      </c>
      <c r="T59" s="288" t="s">
        <v>964</v>
      </c>
    </row>
    <row r="60" spans="2:20" x14ac:dyDescent="0.15">
      <c r="B60" s="364" t="s">
        <v>1002</v>
      </c>
      <c r="C60" s="366">
        <f>SUMIFS('caseload data'!E:E,'caseload data'!$D:$D,"PO",'caseload data'!$A:$A,'HMIP caseload divisional'!$B$5, 'caseload data'!$B:$B, "custody")</f>
        <v>0</v>
      </c>
      <c r="D60" s="234">
        <f>SUMIFS('caseload data'!F:F,'caseload data'!$D:$D,"PO",'caseload data'!$A:$A,'HMIP caseload divisional'!$B$5, 'caseload data'!$B:$B, "custody")</f>
        <v>0</v>
      </c>
      <c r="E60" s="234">
        <f>SUMIFS('caseload data'!G:G,'caseload data'!$D:$D,"PO",'caseload data'!$A:$A,'HMIP caseload divisional'!$B$5, 'caseload data'!$B:$B, "custody")</f>
        <v>0</v>
      </c>
      <c r="F60" s="234">
        <f>SUMIFS('caseload data'!H:H,'caseload data'!$D:$D,"PO",'caseload data'!$A:$A,'HMIP caseload divisional'!$B$5, 'caseload data'!$B:$B, "custody")</f>
        <v>0</v>
      </c>
      <c r="G60" s="234">
        <f>SUMIFS('caseload data'!I:I,'caseload data'!$D:$D,"PO",'caseload data'!$A:$A,'HMIP caseload divisional'!$B$5, 'caseload data'!$B:$B, "custody")</f>
        <v>0</v>
      </c>
      <c r="H60" s="234">
        <f>SUMIFS('caseload data'!J:J,'caseload data'!$D:$D,"PO",'caseload data'!$A:$A,'HMIP caseload divisional'!$B$5, 'caseload data'!$B:$B, "custody")</f>
        <v>0</v>
      </c>
      <c r="I60" s="234">
        <f>SUMIFS('caseload data'!K:K,'caseload data'!$D:$D,"PO",'caseload data'!$A:$A,'HMIP caseload divisional'!$B$5, 'caseload data'!$B:$B, "custody")</f>
        <v>0</v>
      </c>
      <c r="J60" s="234">
        <f>SUMIFS('caseload data'!L:L,'caseload data'!$D:$D,"PO",'caseload data'!$A:$A,'HMIP caseload divisional'!$B$5, 'caseload data'!$B:$B, "custody")</f>
        <v>0</v>
      </c>
      <c r="K60" s="234">
        <f>SUMIFS('caseload data'!M:M,'caseload data'!$D:$D,"PO",'caseload data'!$A:$A,'HMIP caseload divisional'!$B$5, 'caseload data'!$B:$B, "custody")</f>
        <v>0</v>
      </c>
      <c r="L60" s="234">
        <f>SUMIFS('caseload data'!N:N,'caseload data'!$D:$D,"PO",'caseload data'!$A:$A,'HMIP caseload divisional'!$B$5, 'caseload data'!$B:$B, "custody")</f>
        <v>0</v>
      </c>
      <c r="M60" s="234">
        <f>SUMIFS('caseload data'!O:O,'caseload data'!$D:$D,"PO",'caseload data'!$A:$A,'HMIP caseload divisional'!$B$5, 'caseload data'!$B:$B, "custody")</f>
        <v>0</v>
      </c>
      <c r="N60" s="234">
        <f>SUMIFS('caseload data'!P:P,'caseload data'!$D:$D,"PO",'caseload data'!$A:$A,'HMIP caseload divisional'!$B$5, 'caseload data'!$B:$B, "custody")</f>
        <v>0</v>
      </c>
      <c r="O60" s="234">
        <f>SUMIFS('caseload data'!Q:Q,'caseload data'!$D:$D,"PO",'caseload data'!$A:$A,'HMIP caseload divisional'!$B$5, 'caseload data'!$B:$B, "custody")</f>
        <v>0</v>
      </c>
      <c r="P60" s="234">
        <f>SUMIFS('caseload data'!R:R,'caseload data'!$D:$D,"PO",'caseload data'!$A:$A,'HMIP caseload divisional'!$B$5, 'caseload data'!$B:$B, "custody")</f>
        <v>0</v>
      </c>
      <c r="Q60" s="234">
        <f>SUMIFS('caseload data'!S:S,'caseload data'!$D:$D,"PO",'caseload data'!$A:$A,'HMIP caseload divisional'!$B$5, 'caseload data'!$B:$B, "custody")</f>
        <v>0</v>
      </c>
      <c r="R60" s="234">
        <f>SUMIFS('caseload data'!T:T,'caseload data'!$D:$D,"PO",'caseload data'!$A:$A,'HMIP caseload divisional'!$B$5, 'caseload data'!$B:$B, "custody")</f>
        <v>0</v>
      </c>
      <c r="S60" s="234">
        <f>SUMIFS('caseload data'!U:U,'caseload data'!$D:$D,"PO",'caseload data'!$A:$A,'HMIP caseload divisional'!$B$5, 'caseload data'!$B:$B, "custody")</f>
        <v>0</v>
      </c>
      <c r="T60" s="234">
        <f>SUM(C60:S60)</f>
        <v>0</v>
      </c>
    </row>
    <row r="61" spans="2:20" x14ac:dyDescent="0.15">
      <c r="B61" s="365" t="s">
        <v>1007</v>
      </c>
      <c r="C61" s="366">
        <f>SUMIFS('caseload data'!E:E,'caseload data'!$D:$D,"PSO",'caseload data'!$A:$A,'HMIP caseload divisional'!$B$5, 'caseload data'!$B:$B, "custody")</f>
        <v>0</v>
      </c>
      <c r="D61" s="234">
        <f>SUMIFS('caseload data'!F:F,'caseload data'!$D:$D,"PSO",'caseload data'!$A:$A,'HMIP caseload divisional'!$B$5, 'caseload data'!$B:$B, "custody")</f>
        <v>0</v>
      </c>
      <c r="E61" s="234">
        <f>SUMIFS('caseload data'!G:G,'caseload data'!$D:$D,"PSO",'caseload data'!$A:$A,'HMIP caseload divisional'!$B$5, 'caseload data'!$B:$B, "custody")</f>
        <v>0</v>
      </c>
      <c r="F61" s="234">
        <f>SUMIFS('caseload data'!H:H,'caseload data'!$D:$D,"PSO",'caseload data'!$A:$A,'HMIP caseload divisional'!$B$5, 'caseload data'!$B:$B, "custody")</f>
        <v>0</v>
      </c>
      <c r="G61" s="234">
        <f>SUMIFS('caseload data'!I:I,'caseload data'!$D:$D,"PSO",'caseload data'!$A:$A,'HMIP caseload divisional'!$B$5, 'caseload data'!$B:$B, "custody")</f>
        <v>0</v>
      </c>
      <c r="H61" s="234">
        <f>SUMIFS('caseload data'!J:J,'caseload data'!$D:$D,"PSO",'caseload data'!$A:$A,'HMIP caseload divisional'!$B$5, 'caseload data'!$B:$B, "custody")</f>
        <v>0</v>
      </c>
      <c r="I61" s="234">
        <f>SUMIFS('caseload data'!K:K,'caseload data'!$D:$D,"PSO",'caseload data'!$A:$A,'HMIP caseload divisional'!$B$5, 'caseload data'!$B:$B, "custody")</f>
        <v>0</v>
      </c>
      <c r="J61" s="234">
        <f>SUMIFS('caseload data'!L:L,'caseload data'!$D:$D,"PSO",'caseload data'!$A:$A,'HMIP caseload divisional'!$B$5, 'caseload data'!$B:$B, "custody")</f>
        <v>0</v>
      </c>
      <c r="K61" s="234">
        <f>SUMIFS('caseload data'!M:M,'caseload data'!$D:$D,"PSO",'caseload data'!$A:$A,'HMIP caseload divisional'!$B$5, 'caseload data'!$B:$B, "custody")</f>
        <v>0</v>
      </c>
      <c r="L61" s="234">
        <f>SUMIFS('caseload data'!N:N,'caseload data'!$D:$D,"PSO",'caseload data'!$A:$A,'HMIP caseload divisional'!$B$5, 'caseload data'!$B:$B, "custody")</f>
        <v>0</v>
      </c>
      <c r="M61" s="234">
        <f>SUMIFS('caseload data'!O:O,'caseload data'!$D:$D,"PSO",'caseload data'!$A:$A,'HMIP caseload divisional'!$B$5, 'caseload data'!$B:$B, "custody")</f>
        <v>0</v>
      </c>
      <c r="N61" s="234">
        <f>SUMIFS('caseload data'!P:P,'caseload data'!$D:$D,"PSO",'caseload data'!$A:$A,'HMIP caseload divisional'!$B$5, 'caseload data'!$B:$B, "custody")</f>
        <v>0</v>
      </c>
      <c r="O61" s="234">
        <f>SUMIFS('caseload data'!Q:Q,'caseload data'!$D:$D,"PSO",'caseload data'!$A:$A,'HMIP caseload divisional'!$B$5, 'caseload data'!$B:$B, "custody")</f>
        <v>0</v>
      </c>
      <c r="P61" s="234">
        <f>SUMIFS('caseload data'!R:R,'caseload data'!$D:$D,"PSO",'caseload data'!$A:$A,'HMIP caseload divisional'!$B$5, 'caseload data'!$B:$B, "custody")</f>
        <v>0</v>
      </c>
      <c r="Q61" s="234">
        <f>SUMIFS('caseload data'!S:S,'caseload data'!$D:$D,"PSO",'caseload data'!$A:$A,'HMIP caseload divisional'!$B$5, 'caseload data'!$B:$B, "custody")</f>
        <v>0</v>
      </c>
      <c r="R61" s="234">
        <f>SUMIFS('caseload data'!T:T,'caseload data'!$D:$D,"PSO",'caseload data'!$A:$A,'HMIP caseload divisional'!$B$5, 'caseload data'!$B:$B, "custody")</f>
        <v>0</v>
      </c>
      <c r="S61" s="234">
        <f>SUMIFS('caseload data'!U:U,'caseload data'!$D:$D,"PSO",'caseload data'!$A:$A,'HMIP caseload divisional'!$B$5, 'caseload data'!$B:$B, "custody")</f>
        <v>0</v>
      </c>
      <c r="T61" s="234">
        <f t="shared" ref="T61:T63" si="11">SUM(C61:S61)</f>
        <v>0</v>
      </c>
    </row>
    <row r="62" spans="2:20" x14ac:dyDescent="0.15">
      <c r="B62" s="365" t="s">
        <v>1008</v>
      </c>
      <c r="C62" s="366">
        <f>SUMIFS('caseload data'!E:E,'caseload data'!$D:$D,"TPO",'caseload data'!$A:$A,'HMIP caseload divisional'!$B$5, 'caseload data'!$B:$B, "custody")</f>
        <v>0</v>
      </c>
      <c r="D62" s="234">
        <f>SUMIFS('caseload data'!F:F,'caseload data'!$D:$D,"TPO",'caseload data'!$A:$A,'HMIP caseload divisional'!$B$5, 'caseload data'!$B:$B, "custody")</f>
        <v>0</v>
      </c>
      <c r="E62" s="234">
        <f>SUMIFS('caseload data'!G:G,'caseload data'!$D:$D,"TPO",'caseload data'!$A:$A,'HMIP caseload divisional'!$B$5, 'caseload data'!$B:$B, "custody")</f>
        <v>0</v>
      </c>
      <c r="F62" s="234">
        <f>SUMIFS('caseload data'!H:H,'caseload data'!$D:$D,"TPO",'caseload data'!$A:$A,'HMIP caseload divisional'!$B$5, 'caseload data'!$B:$B, "custody")</f>
        <v>0</v>
      </c>
      <c r="G62" s="234">
        <f>SUMIFS('caseload data'!I:I,'caseload data'!$D:$D,"TPO",'caseload data'!$A:$A,'HMIP caseload divisional'!$B$5, 'caseload data'!$B:$B, "custody")</f>
        <v>0</v>
      </c>
      <c r="H62" s="234">
        <f>SUMIFS('caseload data'!J:J,'caseload data'!$D:$D,"TPO",'caseload data'!$A:$A,'HMIP caseload divisional'!$B$5, 'caseload data'!$B:$B, "custody")</f>
        <v>0</v>
      </c>
      <c r="I62" s="234">
        <f>SUMIFS('caseload data'!K:K,'caseload data'!$D:$D,"TPO",'caseload data'!$A:$A,'HMIP caseload divisional'!$B$5, 'caseload data'!$B:$B, "custody")</f>
        <v>0</v>
      </c>
      <c r="J62" s="234">
        <f>SUMIFS('caseload data'!L:L,'caseload data'!$D:$D,"TPO",'caseload data'!$A:$A,'HMIP caseload divisional'!$B$5, 'caseload data'!$B:$B, "custody")</f>
        <v>0</v>
      </c>
      <c r="K62" s="234">
        <f>SUMIFS('caseload data'!M:M,'caseload data'!$D:$D,"TPO",'caseload data'!$A:$A,'HMIP caseload divisional'!$B$5, 'caseload data'!$B:$B, "custody")</f>
        <v>0</v>
      </c>
      <c r="L62" s="234">
        <f>SUMIFS('caseload data'!N:N,'caseload data'!$D:$D,"TPO",'caseload data'!$A:$A,'HMIP caseload divisional'!$B$5, 'caseload data'!$B:$B, "custody")</f>
        <v>0</v>
      </c>
      <c r="M62" s="234">
        <f>SUMIFS('caseload data'!O:O,'caseload data'!$D:$D,"TPO",'caseload data'!$A:$A,'HMIP caseload divisional'!$B$5, 'caseload data'!$B:$B, "custody")</f>
        <v>0</v>
      </c>
      <c r="N62" s="234">
        <f>SUMIFS('caseload data'!P:P,'caseload data'!$D:$D,"TPO",'caseload data'!$A:$A,'HMIP caseload divisional'!$B$5, 'caseload data'!$B:$B, "custody")</f>
        <v>0</v>
      </c>
      <c r="O62" s="234">
        <f>SUMIFS('caseload data'!Q:Q,'caseload data'!$D:$D,"TPO",'caseload data'!$A:$A,'HMIP caseload divisional'!$B$5, 'caseload data'!$B:$B, "custody")</f>
        <v>0</v>
      </c>
      <c r="P62" s="234">
        <f>SUMIFS('caseload data'!R:R,'caseload data'!$D:$D,"TPO",'caseload data'!$A:$A,'HMIP caseload divisional'!$B$5, 'caseload data'!$B:$B, "custody")</f>
        <v>0</v>
      </c>
      <c r="Q62" s="234">
        <f>SUMIFS('caseload data'!S:S,'caseload data'!$D:$D,"TPO",'caseload data'!$A:$A,'HMIP caseload divisional'!$B$5, 'caseload data'!$B:$B, "custody")</f>
        <v>0</v>
      </c>
      <c r="R62" s="234">
        <f>SUMIFS('caseload data'!T:T,'caseload data'!$D:$D,"TPO",'caseload data'!$A:$A,'HMIP caseload divisional'!$B$5, 'caseload data'!$B:$B, "custody")</f>
        <v>0</v>
      </c>
      <c r="S62" s="234">
        <f>SUMIFS('caseload data'!U:U,'caseload data'!$D:$D,"TPO",'caseload data'!$A:$A,'HMIP caseload divisional'!$B$5, 'caseload data'!$B:$B, "custody")</f>
        <v>0</v>
      </c>
      <c r="T62" s="234">
        <f t="shared" si="11"/>
        <v>0</v>
      </c>
    </row>
    <row r="63" spans="2:20" x14ac:dyDescent="0.15">
      <c r="B63" s="365" t="s">
        <v>1009</v>
      </c>
      <c r="C63" s="366">
        <f>SUMIFS('caseload data'!E:E,'caseload data'!$D:$D,"SPO",'caseload data'!$A:$A,$B$5, 'caseload data'!$B:$B, "custody")</f>
        <v>0</v>
      </c>
      <c r="D63" s="234">
        <f>SUMIFS('caseload data'!F:F,'caseload data'!$D:$D,"SPO",'caseload data'!$A:$A,$B$5, 'caseload data'!$B:$B, "custody")</f>
        <v>0</v>
      </c>
      <c r="E63" s="234">
        <f>SUMIFS('caseload data'!G:G,'caseload data'!$D:$D,"SPO",'caseload data'!$A:$A,$B$5, 'caseload data'!$B:$B, "custody")</f>
        <v>0</v>
      </c>
      <c r="F63" s="234">
        <f>SUMIFS('caseload data'!H:H,'caseload data'!$D:$D,"SPO",'caseload data'!$A:$A,$B$5, 'caseload data'!$B:$B, "custody")</f>
        <v>0</v>
      </c>
      <c r="G63" s="234">
        <f>SUMIFS('caseload data'!I:I,'caseload data'!$D:$D,"SPO",'caseload data'!$A:$A,$B$5, 'caseload data'!$B:$B, "custody")</f>
        <v>0</v>
      </c>
      <c r="H63" s="234">
        <f>SUMIFS('caseload data'!J:J,'caseload data'!$D:$D,"SPO",'caseload data'!$A:$A,$B$5, 'caseload data'!$B:$B, "custody")</f>
        <v>0</v>
      </c>
      <c r="I63" s="234">
        <f>SUMIFS('caseload data'!K:K,'caseload data'!$D:$D,"SPO",'caseload data'!$A:$A,$B$5, 'caseload data'!$B:$B, "custody")</f>
        <v>0</v>
      </c>
      <c r="J63" s="234">
        <f>SUMIFS('caseload data'!L:L,'caseload data'!$D:$D,"SPO",'caseload data'!$A:$A,$B$5, 'caseload data'!$B:$B, "custody")</f>
        <v>0</v>
      </c>
      <c r="K63" s="234">
        <f>SUMIFS('caseload data'!M:M,'caseload data'!$D:$D,"SPO",'caseload data'!$A:$A,$B$5, 'caseload data'!$B:$B, "custody")</f>
        <v>0</v>
      </c>
      <c r="L63" s="234">
        <f>SUMIFS('caseload data'!N:N,'caseload data'!$D:$D,"SPO",'caseload data'!$A:$A,$B$5, 'caseload data'!$B:$B, "custody")</f>
        <v>0</v>
      </c>
      <c r="M63" s="234">
        <f>SUMIFS('caseload data'!O:O,'caseload data'!$D:$D,"SPO",'caseload data'!$A:$A,$B$5, 'caseload data'!$B:$B, "custody")</f>
        <v>0</v>
      </c>
      <c r="N63" s="234">
        <f>SUMIFS('caseload data'!P:P,'caseload data'!$D:$D,"SPO",'caseload data'!$A:$A,$B$5, 'caseload data'!$B:$B, "custody")</f>
        <v>0</v>
      </c>
      <c r="O63" s="234">
        <f>SUMIFS('caseload data'!Q:Q,'caseload data'!$D:$D,"SPO",'caseload data'!$A:$A,$B$5, 'caseload data'!$B:$B, "custody")</f>
        <v>0</v>
      </c>
      <c r="P63" s="234">
        <f>SUMIFS('caseload data'!R:R,'caseload data'!$D:$D,"SPO",'caseload data'!$A:$A,$B$5, 'caseload data'!$B:$B, "custody")</f>
        <v>0</v>
      </c>
      <c r="Q63" s="234">
        <f>SUMIFS('caseload data'!S:S,'caseload data'!$D:$D,"SPO",'caseload data'!$A:$A,$B$5, 'caseload data'!$B:$B, "custody")</f>
        <v>0</v>
      </c>
      <c r="R63" s="234">
        <f>SUMIFS('caseload data'!T:T,'caseload data'!$D:$D,"SPO",'caseload data'!$A:$A,$B$5, 'caseload data'!$B:$B, "custody")</f>
        <v>0</v>
      </c>
      <c r="S63" s="234">
        <f>SUMIFS('caseload data'!U:U,'caseload data'!$D:$D,"SPO",'caseload data'!$A:$A,$B$5, 'caseload data'!$B:$B, "custody")</f>
        <v>0</v>
      </c>
      <c r="T63" s="234">
        <f t="shared" si="11"/>
        <v>0</v>
      </c>
    </row>
    <row r="64" spans="2:20" x14ac:dyDescent="0.15">
      <c r="B64" s="144" t="s">
        <v>1344</v>
      </c>
      <c r="C64" s="366">
        <f>SUMIFS('caseload data'!E:E,'caseload data'!$D:$D,"DMY",'caseload data'!$A:$A,'HMIP caseload divisional'!$B$5, 'caseload data'!$B:$B, "custody")</f>
        <v>0</v>
      </c>
      <c r="D64" s="234">
        <f>SUMIFS('caseload data'!F:F,'caseload data'!$D:$D,"DMY",'caseload data'!$A:$A,'HMIP caseload divisional'!$B$5, 'caseload data'!$B:$B, "custody")</f>
        <v>0</v>
      </c>
      <c r="E64" s="234">
        <f>SUMIFS('caseload data'!G:G,'caseload data'!$D:$D,"DMY",'caseload data'!$A:$A,'HMIP caseload divisional'!$B$5, 'caseload data'!$B:$B, "custody")</f>
        <v>0</v>
      </c>
      <c r="F64" s="234">
        <f>SUMIFS('caseload data'!H:H,'caseload data'!$D:$D,"DMY",'caseload data'!$A:$A,'HMIP caseload divisional'!$B$5, 'caseload data'!$B:$B, "custody")</f>
        <v>0</v>
      </c>
      <c r="G64" s="234">
        <f>SUMIFS('caseload data'!I:I,'caseload data'!$D:$D,"DMY",'caseload data'!$A:$A,'HMIP caseload divisional'!$B$5, 'caseload data'!$B:$B, "custody")</f>
        <v>0</v>
      </c>
      <c r="H64" s="234">
        <f>SUMIFS('caseload data'!J:J,'caseload data'!$D:$D,"DMY",'caseload data'!$A:$A,'HMIP caseload divisional'!$B$5, 'caseload data'!$B:$B, "custody")</f>
        <v>0</v>
      </c>
      <c r="I64" s="234">
        <f>SUMIFS('caseload data'!K:K,'caseload data'!$D:$D,"DMY",'caseload data'!$A:$A,'HMIP caseload divisional'!$B$5, 'caseload data'!$B:$B, "custody")</f>
        <v>0</v>
      </c>
      <c r="J64" s="234">
        <f>SUMIFS('caseload data'!L:L,'caseload data'!$D:$D,"DMY",'caseload data'!$A:$A,'HMIP caseload divisional'!$B$5, 'caseload data'!$B:$B, "custody")</f>
        <v>0</v>
      </c>
      <c r="K64" s="234">
        <f>SUMIFS('caseload data'!M:M,'caseload data'!$D:$D,"DMY",'caseload data'!$A:$A,'HMIP caseload divisional'!$B$5, 'caseload data'!$B:$B, "custody")</f>
        <v>0</v>
      </c>
      <c r="L64" s="234">
        <f>SUMIFS('caseload data'!N:N,'caseload data'!$D:$D,"DMY",'caseload data'!$A:$A,'HMIP caseload divisional'!$B$5, 'caseload data'!$B:$B, "custody")</f>
        <v>0</v>
      </c>
      <c r="M64" s="234">
        <f>SUMIFS('caseload data'!O:O,'caseload data'!$D:$D,"DMY",'caseload data'!$A:$A,'HMIP caseload divisional'!$B$5, 'caseload data'!$B:$B, "custody")</f>
        <v>0</v>
      </c>
      <c r="N64" s="234">
        <f>SUMIFS('caseload data'!P:P,'caseload data'!$D:$D,"DMY",'caseload data'!$A:$A,'HMIP caseload divisional'!$B$5, 'caseload data'!$B:$B, "custody")</f>
        <v>0</v>
      </c>
      <c r="O64" s="234">
        <f>SUMIFS('caseload data'!Q:Q,'caseload data'!$D:$D,"DMY",'caseload data'!$A:$A,'HMIP caseload divisional'!$B$5, 'caseload data'!$B:$B, "custody")</f>
        <v>0</v>
      </c>
      <c r="P64" s="234">
        <f>SUMIFS('caseload data'!R:R,'caseload data'!$D:$D,"DMY",'caseload data'!$A:$A,'HMIP caseload divisional'!$B$5, 'caseload data'!$B:$B, "custody")</f>
        <v>0</v>
      </c>
      <c r="Q64" s="234">
        <f>SUMIFS('caseload data'!S:S,'caseload data'!$D:$D,"DMY",'caseload data'!$A:$A,'HMIP caseload divisional'!$B$5, 'caseload data'!$B:$B, "custody")</f>
        <v>0</v>
      </c>
      <c r="R64" s="234">
        <f>SUMIFS('caseload data'!T:T,'caseload data'!$D:$D,"DMY",'caseload data'!$A:$A,'HMIP caseload divisional'!$B$5, 'caseload data'!$B:$B, "custody")</f>
        <v>0</v>
      </c>
      <c r="S64" s="234">
        <f>SUMIFS('caseload data'!U:U,'caseload data'!$D:$D,"DMY",'caseload data'!$A:$A,'HMIP caseload divisional'!$B$5, 'caseload data'!$B:$B, "custody")</f>
        <v>0</v>
      </c>
      <c r="T64" s="234">
        <f t="shared" ref="T64" si="12">SUM(C64:S64)</f>
        <v>0</v>
      </c>
    </row>
    <row r="65" spans="2:20" x14ac:dyDescent="0.15">
      <c r="B65" s="171"/>
      <c r="C65" s="237"/>
      <c r="D65" s="237"/>
      <c r="E65" s="237"/>
      <c r="F65" s="237"/>
      <c r="G65" s="237"/>
      <c r="H65" s="237"/>
      <c r="I65" s="237"/>
      <c r="J65" s="237"/>
      <c r="K65" s="237"/>
      <c r="L65" s="237"/>
      <c r="M65" s="237"/>
      <c r="N65" s="237"/>
      <c r="O65" s="237"/>
      <c r="P65" s="237"/>
      <c r="Q65" s="237"/>
      <c r="R65" s="237"/>
      <c r="S65" s="237"/>
      <c r="T65" s="64"/>
    </row>
    <row r="66" spans="2:20" x14ac:dyDescent="0.15">
      <c r="B66" s="64"/>
      <c r="C66" s="64"/>
      <c r="D66" s="64"/>
      <c r="E66" s="64"/>
      <c r="F66" s="64"/>
      <c r="G66" s="64"/>
      <c r="H66" s="64"/>
      <c r="I66" s="64"/>
      <c r="J66" s="64"/>
      <c r="K66" s="64"/>
      <c r="L66" s="64"/>
      <c r="M66" s="64"/>
      <c r="N66" s="64"/>
      <c r="O66" s="64"/>
      <c r="P66" s="64"/>
      <c r="Q66" s="64"/>
      <c r="R66" s="64"/>
      <c r="S66" s="64"/>
      <c r="T66" s="64"/>
    </row>
    <row r="67" spans="2:20" ht="27.75" customHeight="1" x14ac:dyDescent="0.15">
      <c r="B67" s="298" t="str">
        <f>B5</f>
        <v>London</v>
      </c>
      <c r="C67" s="430" t="s">
        <v>1035</v>
      </c>
      <c r="D67" s="431"/>
      <c r="E67" s="431"/>
      <c r="F67" s="431"/>
      <c r="G67" s="431"/>
      <c r="H67" s="431"/>
      <c r="I67" s="431"/>
      <c r="J67" s="431"/>
      <c r="K67" s="431"/>
      <c r="L67" s="431"/>
      <c r="M67" s="431"/>
      <c r="N67" s="431"/>
      <c r="O67" s="431"/>
      <c r="P67" s="431"/>
      <c r="Q67" s="431"/>
      <c r="R67" s="431"/>
      <c r="S67" s="431"/>
      <c r="T67" s="64"/>
    </row>
    <row r="68" spans="2:20" x14ac:dyDescent="0.15">
      <c r="B68" s="95" t="s">
        <v>1006</v>
      </c>
      <c r="C68" s="288" t="s">
        <v>869</v>
      </c>
      <c r="D68" s="288" t="s">
        <v>870</v>
      </c>
      <c r="E68" s="288" t="s">
        <v>871</v>
      </c>
      <c r="F68" s="288" t="s">
        <v>872</v>
      </c>
      <c r="G68" s="288" t="s">
        <v>873</v>
      </c>
      <c r="H68" s="288" t="s">
        <v>874</v>
      </c>
      <c r="I68" s="288" t="s">
        <v>875</v>
      </c>
      <c r="J68" s="288" t="s">
        <v>876</v>
      </c>
      <c r="K68" s="288" t="s">
        <v>877</v>
      </c>
      <c r="L68" s="288" t="s">
        <v>878</v>
      </c>
      <c r="M68" s="288" t="s">
        <v>879</v>
      </c>
      <c r="N68" s="288" t="s">
        <v>880</v>
      </c>
      <c r="O68" s="288" t="s">
        <v>881</v>
      </c>
      <c r="P68" s="288" t="s">
        <v>882</v>
      </c>
      <c r="Q68" s="288" t="s">
        <v>883</v>
      </c>
      <c r="R68" s="288" t="s">
        <v>884</v>
      </c>
      <c r="S68" s="288" t="s">
        <v>1031</v>
      </c>
      <c r="T68" s="64"/>
    </row>
    <row r="69" spans="2:20" x14ac:dyDescent="0.15">
      <c r="B69" s="364" t="s">
        <v>1002</v>
      </c>
      <c r="C69" s="369" t="e">
        <f>AVERAGEIFS('caseload data'!E:E,'caseload data'!$D:$D,"PO",'caseload data'!$A:$A,$B$5)</f>
        <v>#DIV/0!</v>
      </c>
      <c r="D69" s="233" t="e">
        <f>AVERAGEIFS('caseload data'!F:F,'caseload data'!$D:$D,"PO",'caseload data'!$A:$A,$B$5)</f>
        <v>#DIV/0!</v>
      </c>
      <c r="E69" s="233" t="e">
        <f>AVERAGEIFS('caseload data'!G:G,'caseload data'!$D:$D,"PO",'caseload data'!$A:$A,$B$5)</f>
        <v>#DIV/0!</v>
      </c>
      <c r="F69" s="233" t="e">
        <f>AVERAGEIFS('caseload data'!H:H,'caseload data'!$D:$D,"PO",'caseload data'!$A:$A,$B$5)</f>
        <v>#DIV/0!</v>
      </c>
      <c r="G69" s="233" t="e">
        <f>AVERAGEIFS('caseload data'!I:I,'caseload data'!$D:$D,"PO",'caseload data'!$A:$A,$B$5)</f>
        <v>#DIV/0!</v>
      </c>
      <c r="H69" s="233" t="e">
        <f>AVERAGEIFS('caseload data'!J:J,'caseload data'!$D:$D,"PO",'caseload data'!$A:$A,$B$5)</f>
        <v>#DIV/0!</v>
      </c>
      <c r="I69" s="233" t="e">
        <f>AVERAGEIFS('caseload data'!K:K,'caseload data'!$D:$D,"PO",'caseload data'!$A:$A,$B$5)</f>
        <v>#DIV/0!</v>
      </c>
      <c r="J69" s="233" t="e">
        <f>AVERAGEIFS('caseload data'!L:L,'caseload data'!$D:$D,"PO",'caseload data'!$A:$A,$B$5)</f>
        <v>#DIV/0!</v>
      </c>
      <c r="K69" s="233" t="e">
        <f>AVERAGEIFS('caseload data'!M:M,'caseload data'!$D:$D,"PO",'caseload data'!$A:$A,$B$5)</f>
        <v>#DIV/0!</v>
      </c>
      <c r="L69" s="233" t="e">
        <f>AVERAGEIFS('caseload data'!N:N,'caseload data'!$D:$D,"PO",'caseload data'!$A:$A,$B$5)</f>
        <v>#DIV/0!</v>
      </c>
      <c r="M69" s="233" t="e">
        <f>AVERAGEIFS('caseload data'!O:O,'caseload data'!$D:$D,"PO",'caseload data'!$A:$A,$B$5)</f>
        <v>#DIV/0!</v>
      </c>
      <c r="N69" s="233" t="e">
        <f>AVERAGEIFS('caseload data'!P:P,'caseload data'!$D:$D,"PO",'caseload data'!$A:$A,$B$5)</f>
        <v>#DIV/0!</v>
      </c>
      <c r="O69" s="233" t="e">
        <f>AVERAGEIFS('caseload data'!Q:Q,'caseload data'!$D:$D,"PO",'caseload data'!$A:$A,$B$5)</f>
        <v>#DIV/0!</v>
      </c>
      <c r="P69" s="233" t="e">
        <f>AVERAGEIFS('caseload data'!R:R,'caseload data'!$D:$D,"PO",'caseload data'!$A:$A,$B$5)</f>
        <v>#DIV/0!</v>
      </c>
      <c r="Q69" s="233" t="e">
        <f>AVERAGEIFS('caseload data'!S:S,'caseload data'!$D:$D,"PO",'caseload data'!$A:$A,$B$5)</f>
        <v>#DIV/0!</v>
      </c>
      <c r="R69" s="233" t="e">
        <f>AVERAGEIFS('caseload data'!T:T,'caseload data'!$D:$D,"PO",'caseload data'!$A:$A,$B$5)</f>
        <v>#DIV/0!</v>
      </c>
      <c r="S69" s="233" t="e">
        <f>AVERAGEIFS('caseload data'!U:U,'caseload data'!$D:$D,"PO",'caseload data'!$A:$A,$B$5)</f>
        <v>#DIV/0!</v>
      </c>
      <c r="T69" s="64"/>
    </row>
    <row r="70" spans="2:20" x14ac:dyDescent="0.15">
      <c r="B70" s="365" t="s">
        <v>1007</v>
      </c>
      <c r="C70" s="369" t="e">
        <f>AVERAGEIFS('caseload data'!E:E,'caseload data'!$D:$D,"PSO",'caseload data'!$A:$A,$B$5)</f>
        <v>#DIV/0!</v>
      </c>
      <c r="D70" s="233" t="e">
        <f>AVERAGEIFS('caseload data'!F:F,'caseload data'!$D:$D,"PSO",'caseload data'!$A:$A,$B$5)</f>
        <v>#DIV/0!</v>
      </c>
      <c r="E70" s="233" t="e">
        <f>AVERAGEIFS('caseload data'!G:G,'caseload data'!$D:$D,"PSO",'caseload data'!$A:$A,$B$5)</f>
        <v>#DIV/0!</v>
      </c>
      <c r="F70" s="233" t="e">
        <f>AVERAGEIFS('caseload data'!H:H,'caseload data'!$D:$D,"PSO",'caseload data'!$A:$A,$B$5)</f>
        <v>#DIV/0!</v>
      </c>
      <c r="G70" s="233" t="e">
        <f>AVERAGEIFS('caseload data'!I:I,'caseload data'!$D:$D,"PSO",'caseload data'!$A:$A,$B$5)</f>
        <v>#DIV/0!</v>
      </c>
      <c r="H70" s="233" t="e">
        <f>AVERAGEIFS('caseload data'!J:J,'caseload data'!$D:$D,"PSO",'caseload data'!$A:$A,$B$5)</f>
        <v>#DIV/0!</v>
      </c>
      <c r="I70" s="233" t="e">
        <f>AVERAGEIFS('caseload data'!K:K,'caseload data'!$D:$D,"PSO",'caseload data'!$A:$A,$B$5)</f>
        <v>#DIV/0!</v>
      </c>
      <c r="J70" s="233" t="e">
        <f>AVERAGEIFS('caseload data'!L:L,'caseload data'!$D:$D,"PSO",'caseload data'!$A:$A,$B$5)</f>
        <v>#DIV/0!</v>
      </c>
      <c r="K70" s="233" t="e">
        <f>AVERAGEIFS('caseload data'!M:M,'caseload data'!$D:$D,"PSO",'caseload data'!$A:$A,$B$5)</f>
        <v>#DIV/0!</v>
      </c>
      <c r="L70" s="233" t="e">
        <f>AVERAGEIFS('caseload data'!N:N,'caseload data'!$D:$D,"PSO",'caseload data'!$A:$A,$B$5)</f>
        <v>#DIV/0!</v>
      </c>
      <c r="M70" s="233" t="e">
        <f>AVERAGEIFS('caseload data'!O:O,'caseload data'!$D:$D,"PSO",'caseload data'!$A:$A,$B$5)</f>
        <v>#DIV/0!</v>
      </c>
      <c r="N70" s="233" t="e">
        <f>AVERAGEIFS('caseload data'!P:P,'caseload data'!$D:$D,"PSO",'caseload data'!$A:$A,$B$5)</f>
        <v>#DIV/0!</v>
      </c>
      <c r="O70" s="233" t="e">
        <f>AVERAGEIFS('caseload data'!Q:Q,'caseload data'!$D:$D,"PSO",'caseload data'!$A:$A,$B$5)</f>
        <v>#DIV/0!</v>
      </c>
      <c r="P70" s="233" t="e">
        <f>AVERAGEIFS('caseload data'!R:R,'caseload data'!$D:$D,"PSO",'caseload data'!$A:$A,$B$5)</f>
        <v>#DIV/0!</v>
      </c>
      <c r="Q70" s="233" t="e">
        <f>AVERAGEIFS('caseload data'!S:S,'caseload data'!$D:$D,"PSO",'caseload data'!$A:$A,$B$5)</f>
        <v>#DIV/0!</v>
      </c>
      <c r="R70" s="233" t="e">
        <f>AVERAGEIFS('caseload data'!T:T,'caseload data'!$D:$D,"PSO",'caseload data'!$A:$A,$B$5)</f>
        <v>#DIV/0!</v>
      </c>
      <c r="S70" s="233" t="e">
        <f>AVERAGEIFS('caseload data'!U:U,'caseload data'!$D:$D,"PSO",'caseload data'!$A:$A,$B$5)</f>
        <v>#DIV/0!</v>
      </c>
      <c r="T70" s="64"/>
    </row>
    <row r="71" spans="2:20" x14ac:dyDescent="0.15">
      <c r="B71" s="365" t="s">
        <v>1008</v>
      </c>
      <c r="C71" s="369" t="e">
        <f>AVERAGEIFS('caseload data'!E:E,'caseload data'!$D:$D,"TPO",'caseload data'!$A:$A,$B$5)</f>
        <v>#DIV/0!</v>
      </c>
      <c r="D71" s="233" t="e">
        <f>AVERAGEIFS('caseload data'!F:F,'caseload data'!$D:$D,"TPO",'caseload data'!$A:$A,$B$5)</f>
        <v>#DIV/0!</v>
      </c>
      <c r="E71" s="233" t="e">
        <f>AVERAGEIFS('caseload data'!G:G,'caseload data'!$D:$D,"TPO",'caseload data'!$A:$A,$B$5)</f>
        <v>#DIV/0!</v>
      </c>
      <c r="F71" s="233" t="e">
        <f>AVERAGEIFS('caseload data'!H:H,'caseload data'!$D:$D,"TPO",'caseload data'!$A:$A,$B$5)</f>
        <v>#DIV/0!</v>
      </c>
      <c r="G71" s="233" t="e">
        <f>AVERAGEIFS('caseload data'!I:I,'caseload data'!$D:$D,"TPO",'caseload data'!$A:$A,$B$5)</f>
        <v>#DIV/0!</v>
      </c>
      <c r="H71" s="233" t="e">
        <f>AVERAGEIFS('caseload data'!J:J,'caseload data'!$D:$D,"TPO",'caseload data'!$A:$A,$B$5)</f>
        <v>#DIV/0!</v>
      </c>
      <c r="I71" s="233" t="e">
        <f>AVERAGEIFS('caseload data'!K:K,'caseload data'!$D:$D,"TPO",'caseload data'!$A:$A,$B$5)</f>
        <v>#DIV/0!</v>
      </c>
      <c r="J71" s="233" t="e">
        <f>AVERAGEIFS('caseload data'!L:L,'caseload data'!$D:$D,"TPO",'caseload data'!$A:$A,$B$5)</f>
        <v>#DIV/0!</v>
      </c>
      <c r="K71" s="233" t="e">
        <f>AVERAGEIFS('caseload data'!M:M,'caseload data'!$D:$D,"TPO",'caseload data'!$A:$A,$B$5)</f>
        <v>#DIV/0!</v>
      </c>
      <c r="L71" s="233" t="e">
        <f>AVERAGEIFS('caseload data'!N:N,'caseload data'!$D:$D,"TPO",'caseload data'!$A:$A,$B$5)</f>
        <v>#DIV/0!</v>
      </c>
      <c r="M71" s="233" t="e">
        <f>AVERAGEIFS('caseload data'!O:O,'caseload data'!$D:$D,"TPO",'caseload data'!$A:$A,$B$5)</f>
        <v>#DIV/0!</v>
      </c>
      <c r="N71" s="233" t="e">
        <f>AVERAGEIFS('caseload data'!P:P,'caseload data'!$D:$D,"TPO",'caseload data'!$A:$A,$B$5)</f>
        <v>#DIV/0!</v>
      </c>
      <c r="O71" s="233" t="e">
        <f>AVERAGEIFS('caseload data'!Q:Q,'caseload data'!$D:$D,"TPO",'caseload data'!$A:$A,$B$5)</f>
        <v>#DIV/0!</v>
      </c>
      <c r="P71" s="233" t="e">
        <f>AVERAGEIFS('caseload data'!R:R,'caseload data'!$D:$D,"TPO",'caseload data'!$A:$A,$B$5)</f>
        <v>#DIV/0!</v>
      </c>
      <c r="Q71" s="233" t="e">
        <f>AVERAGEIFS('caseload data'!S:S,'caseload data'!$D:$D,"TPO",'caseload data'!$A:$A,$B$5)</f>
        <v>#DIV/0!</v>
      </c>
      <c r="R71" s="233" t="e">
        <f>AVERAGEIFS('caseload data'!T:T,'caseload data'!$D:$D,"TPO",'caseload data'!$A:$A,$B$5)</f>
        <v>#DIV/0!</v>
      </c>
      <c r="S71" s="233" t="e">
        <f>AVERAGEIFS('caseload data'!U:U,'caseload data'!$D:$D,"TPO",'caseload data'!$A:$A,$B$5)</f>
        <v>#DIV/0!</v>
      </c>
      <c r="T71" s="64"/>
    </row>
    <row r="72" spans="2:20" x14ac:dyDescent="0.15">
      <c r="B72" s="365" t="s">
        <v>1009</v>
      </c>
      <c r="C72" s="369" t="e">
        <f>AVERAGEIFS('caseload data'!E:E,'caseload data'!$D:$D,"SPO",'caseload data'!$A:$A,$B$5)</f>
        <v>#DIV/0!</v>
      </c>
      <c r="D72" s="233" t="e">
        <f>AVERAGEIFS('caseload data'!F:F,'caseload data'!$D:$D,"SPO",'caseload data'!$A:$A,$B$5)</f>
        <v>#DIV/0!</v>
      </c>
      <c r="E72" s="233" t="e">
        <f>AVERAGEIFS('caseload data'!G:G,'caseload data'!$D:$D,"SPO",'caseload data'!$A:$A,$B$5)</f>
        <v>#DIV/0!</v>
      </c>
      <c r="F72" s="233" t="e">
        <f>AVERAGEIFS('caseload data'!H:H,'caseload data'!$D:$D,"SPO",'caseload data'!$A:$A,$B$5)</f>
        <v>#DIV/0!</v>
      </c>
      <c r="G72" s="233" t="e">
        <f>AVERAGEIFS('caseload data'!I:I,'caseload data'!$D:$D,"SPO",'caseload data'!$A:$A,$B$5)</f>
        <v>#DIV/0!</v>
      </c>
      <c r="H72" s="233" t="e">
        <f>AVERAGEIFS('caseload data'!J:J,'caseload data'!$D:$D,"SPO",'caseload data'!$A:$A,$B$5)</f>
        <v>#DIV/0!</v>
      </c>
      <c r="I72" s="233" t="e">
        <f>AVERAGEIFS('caseload data'!K:K,'caseload data'!$D:$D,"SPO",'caseload data'!$A:$A,$B$5)</f>
        <v>#DIV/0!</v>
      </c>
      <c r="J72" s="233" t="e">
        <f>AVERAGEIFS('caseload data'!L:L,'caseload data'!$D:$D,"SPO",'caseload data'!$A:$A,$B$5)</f>
        <v>#DIV/0!</v>
      </c>
      <c r="K72" s="233" t="e">
        <f>AVERAGEIFS('caseload data'!M:M,'caseload data'!$D:$D,"SPO",'caseload data'!$A:$A,$B$5)</f>
        <v>#DIV/0!</v>
      </c>
      <c r="L72" s="233" t="e">
        <f>AVERAGEIFS('caseload data'!N:N,'caseload data'!$D:$D,"SPO",'caseload data'!$A:$A,$B$5)</f>
        <v>#DIV/0!</v>
      </c>
      <c r="M72" s="233" t="e">
        <f>AVERAGEIFS('caseload data'!O:O,'caseload data'!$D:$D,"SPO",'caseload data'!$A:$A,$B$5)</f>
        <v>#DIV/0!</v>
      </c>
      <c r="N72" s="233" t="e">
        <f>AVERAGEIFS('caseload data'!P:P,'caseload data'!$D:$D,"SPO",'caseload data'!$A:$A,$B$5)</f>
        <v>#DIV/0!</v>
      </c>
      <c r="O72" s="233" t="e">
        <f>AVERAGEIFS('caseload data'!Q:Q,'caseload data'!$D:$D,"SPO",'caseload data'!$A:$A,$B$5)</f>
        <v>#DIV/0!</v>
      </c>
      <c r="P72" s="233" t="e">
        <f>AVERAGEIFS('caseload data'!R:R,'caseload data'!$D:$D,"SPO",'caseload data'!$A:$A,$B$5)</f>
        <v>#DIV/0!</v>
      </c>
      <c r="Q72" s="233" t="e">
        <f>AVERAGEIFS('caseload data'!S:S,'caseload data'!$D:$D,"SPO",'caseload data'!$A:$A,$B$5)</f>
        <v>#DIV/0!</v>
      </c>
      <c r="R72" s="233" t="e">
        <f>AVERAGEIFS('caseload data'!T:T,'caseload data'!$D:$D,"SPO",'caseload data'!$A:$A,$B$5)</f>
        <v>#DIV/0!</v>
      </c>
      <c r="S72" s="233" t="e">
        <f>AVERAGEIFS('caseload data'!U:U,'caseload data'!$D:$D,"SPO",'caseload data'!$A:$A,$B$5)</f>
        <v>#DIV/0!</v>
      </c>
      <c r="T72" s="64"/>
    </row>
    <row r="73" spans="2:20" x14ac:dyDescent="0.15">
      <c r="B73" s="144" t="s">
        <v>1344</v>
      </c>
      <c r="C73" s="369" t="e">
        <f>AVERAGEIFS('caseload data'!E:E,'caseload data'!$D:$D,"DMY",'caseload data'!$A:$A,$B$5)</f>
        <v>#DIV/0!</v>
      </c>
      <c r="D73" s="233" t="e">
        <f>AVERAGEIFS('caseload data'!F:F,'caseload data'!$D:$D,"DMY",'caseload data'!$A:$A,$B$5)</f>
        <v>#DIV/0!</v>
      </c>
      <c r="E73" s="233" t="e">
        <f>AVERAGEIFS('caseload data'!G:G,'caseload data'!$D:$D,"DMY",'caseload data'!$A:$A,$B$5)</f>
        <v>#DIV/0!</v>
      </c>
      <c r="F73" s="233" t="e">
        <f>AVERAGEIFS('caseload data'!H:H,'caseload data'!$D:$D,"DMY",'caseload data'!$A:$A,$B$5)</f>
        <v>#DIV/0!</v>
      </c>
      <c r="G73" s="233" t="e">
        <f>AVERAGEIFS('caseload data'!I:I,'caseload data'!$D:$D,"DMY",'caseload data'!$A:$A,$B$5)</f>
        <v>#DIV/0!</v>
      </c>
      <c r="H73" s="233" t="e">
        <f>AVERAGEIFS('caseload data'!J:J,'caseload data'!$D:$D,"DMY",'caseload data'!$A:$A,$B$5)</f>
        <v>#DIV/0!</v>
      </c>
      <c r="I73" s="233" t="e">
        <f>AVERAGEIFS('caseload data'!K:K,'caseload data'!$D:$D,"DMY",'caseload data'!$A:$A,$B$5)</f>
        <v>#DIV/0!</v>
      </c>
      <c r="J73" s="233" t="e">
        <f>AVERAGEIFS('caseload data'!L:L,'caseload data'!$D:$D,"DMY",'caseload data'!$A:$A,$B$5)</f>
        <v>#DIV/0!</v>
      </c>
      <c r="K73" s="233" t="e">
        <f>AVERAGEIFS('caseload data'!M:M,'caseload data'!$D:$D,"DMY",'caseload data'!$A:$A,$B$5)</f>
        <v>#DIV/0!</v>
      </c>
      <c r="L73" s="233" t="e">
        <f>AVERAGEIFS('caseload data'!N:N,'caseload data'!$D:$D,"DMY",'caseload data'!$A:$A,$B$5)</f>
        <v>#DIV/0!</v>
      </c>
      <c r="M73" s="233" t="e">
        <f>AVERAGEIFS('caseload data'!O:O,'caseload data'!$D:$D,"DMY",'caseload data'!$A:$A,$B$5)</f>
        <v>#DIV/0!</v>
      </c>
      <c r="N73" s="233" t="e">
        <f>AVERAGEIFS('caseload data'!P:P,'caseload data'!$D:$D,"DMY",'caseload data'!$A:$A,$B$5)</f>
        <v>#DIV/0!</v>
      </c>
      <c r="O73" s="233" t="e">
        <f>AVERAGEIFS('caseload data'!Q:Q,'caseload data'!$D:$D,"DMY",'caseload data'!$A:$A,$B$5)</f>
        <v>#DIV/0!</v>
      </c>
      <c r="P73" s="233" t="e">
        <f>AVERAGEIFS('caseload data'!R:R,'caseload data'!$D:$D,"DMY",'caseload data'!$A:$A,$B$5)</f>
        <v>#DIV/0!</v>
      </c>
      <c r="Q73" s="233" t="e">
        <f>AVERAGEIFS('caseload data'!S:S,'caseload data'!$D:$D,"DMY",'caseload data'!$A:$A,$B$5)</f>
        <v>#DIV/0!</v>
      </c>
      <c r="R73" s="233" t="e">
        <f>AVERAGEIFS('caseload data'!T:T,'caseload data'!$D:$D,"DMY",'caseload data'!$A:$A,$B$5)</f>
        <v>#DIV/0!</v>
      </c>
      <c r="S73" s="233" t="e">
        <f>AVERAGEIFS('caseload data'!U:U,'caseload data'!$D:$D,"DMY",'caseload data'!$A:$A,$B$5)</f>
        <v>#DIV/0!</v>
      </c>
      <c r="T73" s="64"/>
    </row>
  </sheetData>
  <mergeCells count="9">
    <mergeCell ref="A1:L1"/>
    <mergeCell ref="A2:L2"/>
    <mergeCell ref="C67:S67"/>
    <mergeCell ref="C58:T58"/>
    <mergeCell ref="C50:T50"/>
    <mergeCell ref="C42:T42"/>
    <mergeCell ref="C34:T34"/>
    <mergeCell ref="H7:N7"/>
    <mergeCell ref="H15:M15"/>
  </mergeCells>
  <conditionalFormatting sqref="I9:L10">
    <cfRule type="cellIs" dxfId="6107" priority="4" operator="lessThan">
      <formula>0.9</formula>
    </cfRule>
    <cfRule type="cellIs" dxfId="6106" priority="5" operator="greaterThanOrEqual">
      <formula>1.1</formula>
    </cfRule>
  </conditionalFormatting>
  <conditionalFormatting sqref="M9:M10">
    <cfRule type="cellIs" dxfId="6105" priority="3" operator="greaterThan">
      <formula>1.1</formula>
    </cfRule>
  </conditionalFormatting>
  <conditionalFormatting sqref="N9">
    <cfRule type="cellIs" dxfId="6104" priority="2" operator="greaterThan">
      <formula>1.1</formula>
    </cfRule>
  </conditionalFormatting>
  <conditionalFormatting sqref="N10">
    <cfRule type="cellIs" dxfId="6103"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5"/>
  <sheetViews>
    <sheetView showGridLines="0" topLeftCell="A25" zoomScale="70" zoomScaleNormal="70" workbookViewId="0">
      <selection activeCell="C62" sqref="C62"/>
    </sheetView>
  </sheetViews>
  <sheetFormatPr baseColWidth="10" defaultColWidth="8.83203125" defaultRowHeight="14" x14ac:dyDescent="0.15"/>
  <cols>
    <col min="2" max="2" width="48.83203125" customWidth="1"/>
    <col min="3" max="3" width="19.1640625" customWidth="1"/>
    <col min="4" max="4" width="20.5" bestFit="1" customWidth="1"/>
    <col min="5" max="5" width="14.83203125" customWidth="1"/>
    <col min="6" max="6" width="17.1640625" customWidth="1"/>
    <col min="7" max="7" width="12" customWidth="1"/>
    <col min="8" max="8" width="40.83203125" customWidth="1"/>
    <col min="9" max="9" width="15.5" customWidth="1"/>
    <col min="10" max="10" width="20.5" customWidth="1"/>
    <col min="11" max="11" width="18.6640625" customWidth="1"/>
    <col min="12" max="12" width="16.83203125" customWidth="1"/>
    <col min="13" max="13" width="17.83203125" bestFit="1" customWidth="1"/>
    <col min="14" max="14" width="17.1640625" bestFit="1" customWidth="1"/>
    <col min="17" max="17" width="10" bestFit="1" customWidth="1"/>
    <col min="19" max="19" width="10.5" customWidth="1"/>
    <col min="21" max="21" width="11.1640625" bestFit="1" customWidth="1"/>
    <col min="22" max="22" width="11.6640625" hidden="1" customWidth="1"/>
    <col min="23" max="23" width="13.1640625" hidden="1" customWidth="1"/>
  </cols>
  <sheetData>
    <row r="1" spans="1:23" ht="65.25" customHeight="1" x14ac:dyDescent="0.15">
      <c r="A1" s="434" t="s">
        <v>1036</v>
      </c>
      <c r="B1" s="434"/>
      <c r="C1" s="434"/>
      <c r="D1" s="434"/>
      <c r="E1" s="434"/>
      <c r="F1" s="434"/>
      <c r="G1" s="434"/>
      <c r="H1" s="434"/>
      <c r="I1" s="434"/>
      <c r="J1" s="434"/>
      <c r="K1" s="434"/>
      <c r="L1" s="434"/>
      <c r="M1" s="434"/>
      <c r="N1" s="252"/>
      <c r="O1" s="252"/>
      <c r="P1" s="252"/>
      <c r="Q1" s="252"/>
      <c r="R1" s="252"/>
      <c r="S1" s="252"/>
    </row>
    <row r="2" spans="1:23" ht="37.5" customHeight="1" x14ac:dyDescent="0.15">
      <c r="A2" s="424"/>
      <c r="B2" s="424"/>
      <c r="C2" s="424"/>
      <c r="D2" s="424"/>
      <c r="E2" s="424"/>
      <c r="F2" s="424"/>
      <c r="G2" s="424"/>
      <c r="H2" s="424"/>
      <c r="I2" s="424"/>
      <c r="J2" s="424"/>
      <c r="K2" s="424"/>
      <c r="L2" s="424"/>
      <c r="M2" s="424"/>
      <c r="N2" s="241"/>
      <c r="O2" s="241"/>
      <c r="P2" s="241"/>
      <c r="Q2" s="241"/>
      <c r="R2" s="241"/>
      <c r="S2" s="241"/>
    </row>
    <row r="4" spans="1:23" ht="33" customHeight="1" x14ac:dyDescent="0.15">
      <c r="B4" s="302" t="s">
        <v>1037</v>
      </c>
    </row>
    <row r="5" spans="1:23" ht="35.25" customHeight="1" x14ac:dyDescent="0.15">
      <c r="B5" s="242" t="s">
        <v>21</v>
      </c>
      <c r="F5" s="40"/>
      <c r="L5" s="40"/>
      <c r="V5" s="309" t="s">
        <v>1247</v>
      </c>
      <c r="W5" s="309" cm="1">
        <f t="array" ref="W5">SUM(SUMIFS('capacity data'!K:K,'capacity data'!B:B,B6,'capacity data'!E:E,{"PO","PSO"}))</f>
        <v>0</v>
      </c>
    </row>
    <row r="6" spans="1:23" ht="39.75" customHeight="1" x14ac:dyDescent="0.15">
      <c r="B6" s="300" t="s">
        <v>220</v>
      </c>
      <c r="V6" s="310" t="s">
        <v>1248</v>
      </c>
      <c r="W6" s="309" cm="1">
        <f t="array" ref="W6">SUM(SUMIFS('capacity data'!I:I,'capacity data'!B:B,B6,'capacity data'!E:E,{"PO","PSO"}))-SUM((SUMIFS('capacity data'!J:J,'capacity data'!B:B,B6,'capacity data'!E:E,{"PO","PSO"})))</f>
        <v>0</v>
      </c>
    </row>
    <row r="7" spans="1:23" ht="24" customHeight="1" x14ac:dyDescent="0.15">
      <c r="V7" s="309" t="s">
        <v>1249</v>
      </c>
      <c r="W7" s="309">
        <f>W6/37</f>
        <v>0</v>
      </c>
    </row>
    <row r="8" spans="1:23" x14ac:dyDescent="0.15">
      <c r="F8" s="238"/>
    </row>
    <row r="9" spans="1:23" ht="23" x14ac:dyDescent="0.15">
      <c r="B9" s="284" t="s">
        <v>1014</v>
      </c>
      <c r="C9" s="285"/>
      <c r="D9" s="285"/>
      <c r="E9" s="285"/>
      <c r="F9" s="286"/>
      <c r="H9" s="437" t="s">
        <v>1038</v>
      </c>
      <c r="I9" s="438"/>
      <c r="J9" s="438"/>
      <c r="K9" s="438"/>
      <c r="L9" s="438"/>
      <c r="M9" s="438"/>
      <c r="N9" s="438"/>
    </row>
    <row r="10" spans="1:23" ht="51" customHeight="1" x14ac:dyDescent="0.15">
      <c r="B10" s="62"/>
      <c r="C10" s="219" t="s">
        <v>1016</v>
      </c>
      <c r="D10" s="219" t="s">
        <v>1017</v>
      </c>
      <c r="E10" s="219" t="s">
        <v>1018</v>
      </c>
      <c r="F10" s="219" t="s">
        <v>1039</v>
      </c>
      <c r="H10" s="62"/>
      <c r="I10" s="219" t="s">
        <v>1020</v>
      </c>
      <c r="J10" s="63" t="s">
        <v>1021</v>
      </c>
      <c r="K10" s="63" t="s">
        <v>1022</v>
      </c>
      <c r="L10" s="63" t="s">
        <v>1040</v>
      </c>
      <c r="M10" s="219" t="s">
        <v>1024</v>
      </c>
      <c r="N10" s="219" t="s">
        <v>1246</v>
      </c>
    </row>
    <row r="11" spans="1:23" ht="15" x14ac:dyDescent="0.2">
      <c r="B11" s="299" t="str">
        <f>B6</f>
        <v>Hackney and City</v>
      </c>
      <c r="C11" s="235" t="e">
        <f>SUMIFS('capacity data'!K:K,'capacity data'!B:B,B6,'capacity data'!E:E,"PO")/((SUMIFS('capacity data'!I:I,'capacity data'!B:B,B6,'capacity data'!E:E,"PO")-(SUMIFS('capacity data'!J:J,'capacity data'!B:B,B6,'capacity data'!E:E,"PO")))/37)</f>
        <v>#DIV/0!</v>
      </c>
      <c r="D11" s="236" t="e">
        <f>SUMIFS('capacity data'!K:K,'capacity data'!B:B,B6,'capacity data'!E:E,"PSO")/((SUMIFS('capacity data'!I:I,'capacity data'!B:B,B6,'capacity data'!E:E,"PSO")-(SUMIFS('capacity data'!J:J,'capacity data'!B:B,B6,'capacity data'!E:E,"PSO")))/37)</f>
        <v>#DIV/0!</v>
      </c>
      <c r="E11" s="236" t="e">
        <f>SUMIFS('capacity data'!K:K,'capacity data'!B:B,B6,'capacity data'!E:E,"TPO")/((SUMIFS('capacity data'!I:I,'capacity data'!B:B,B6,'capacity data'!E:E,"TPO")-(SUMIFS('capacity data'!J:J,'capacity data'!B:B,B6,'capacity data'!E:E,"TPO")))/37)</f>
        <v>#DIV/0!</v>
      </c>
      <c r="F11" s="236" t="e">
        <f>SUMIFS('capacity data'!K:K,'capacity data'!B:B,B6,'capacity data'!E:E,"&lt;&gt;DMY")/((SUMIFS('capacity data'!I:I,'capacity data'!B:B,B6,'capacity data'!E:E,"&lt;&gt;DMY")-(SUMIFS('capacity data'!J:J,'capacity data'!B:B,B6,'capacity data'!E:E,"&lt;&gt;DMY")))/37)</f>
        <v>#DIV/0!</v>
      </c>
      <c r="H11" s="299" t="str">
        <f>B6</f>
        <v>Hackney and City</v>
      </c>
      <c r="I11" s="82" t="e">
        <f>SUMIFS('capacity data'!F:F, 'capacity data'!E:E, "PO",'capacity data'!F:F, "&lt;&gt;0", 'capacity data'!B:B, B6) / COUNTIFS('capacity data'!E:E, "PO",'capacity data'!F:F, "&lt;&gt;0",'capacity data'!B:B, B6)</f>
        <v>#DIV/0!</v>
      </c>
      <c r="J11" s="82" t="e">
        <f>SUMIFS('capacity data'!F:F, 'capacity data'!E:E, "PSO",'capacity data'!F:F, "&lt;&gt;0", 'capacity data'!B:B, B6) / COUNTIFS('capacity data'!E:E, "PSO",'capacity data'!F:F, "&lt;&gt;0",'capacity data'!B:B, B6)</f>
        <v>#DIV/0!</v>
      </c>
      <c r="K11" s="82" t="e">
        <f>SUMIFS('capacity data'!F:F, 'capacity data'!E:E, "TPO",'capacity data'!F:F, "&lt;&gt;0", 'capacity data'!B:B, B6) / COUNTIFS('capacity data'!E:E, "TPO",'capacity data'!F:F, "&lt;&gt;0",'capacity data'!B:B, B6)</f>
        <v>#DIV/0!</v>
      </c>
      <c r="L11" s="82" t="e">
        <f>SUMIFS('capacity data'!F:F, 'capacity data'!E:E, "&lt;&gt;DMY",'capacity data'!F:F, "&lt;&gt;0", 'capacity data'!B:B, B6) / COUNTIFS('capacity data'!E:E, "&lt;&gt;DMY",'capacity data'!F:F, "&lt;&gt;0",'capacity data'!B:B, B6)</f>
        <v>#DIV/0!</v>
      </c>
      <c r="M11" s="303" t="e" cm="1">
        <f t="array" ref="M11">SUM(SUMIFS('capacity data'!F:F, 'capacity data'!E:E, {"PO","PSO"},'capacity data'!F:F, "&lt;&gt;0", 'capacity data'!B:B, B6)) / SUM(COUNTIFS('capacity data'!E:E, {"PO","PSO"},'capacity data'!F:F, "&lt;&gt;0",'capacity data'!B:B, B6))</f>
        <v>#DIV/0!</v>
      </c>
      <c r="N11" s="313" t="e">
        <f>W5/W7</f>
        <v>#DIV/0!</v>
      </c>
    </row>
    <row r="12" spans="1:23" x14ac:dyDescent="0.15">
      <c r="B12" s="229" t="s">
        <v>1025</v>
      </c>
      <c r="C12" s="235" t="e">
        <f>SUMIFS('capacity data'!K:K,'capacity data'!E:E,"PO")/((SUMIFS('capacity data'!I:I,'capacity data'!E:E,"PO")-(SUMIFS('capacity data'!J:J,'capacity data'!E:E,"PO")))/37)</f>
        <v>#DIV/0!</v>
      </c>
      <c r="D12" s="236" t="e">
        <f>SUMIFS('capacity data'!K:K,'capacity data'!E:E,"PSO")/((SUMIFS('capacity data'!I:I,'capacity data'!E:E,"PSO")-(SUMIFS('capacity data'!J:J,'capacity data'!E:E,"PSO")))/37)</f>
        <v>#DIV/0!</v>
      </c>
      <c r="E12" s="236" t="e">
        <f>SUMIFS('capacity data'!K:K,'capacity data'!E:E,"TPO")/((SUMIFS('capacity data'!I:I,'capacity data'!E:E,"TPO")-(SUMIFS('capacity data'!J:J,'capacity data'!E:E,"TPO")))/37)</f>
        <v>#DIV/0!</v>
      </c>
      <c r="F12" s="236" t="e">
        <f>SUMIFS('capacity data'!K:K,'capacity data'!E:E,"&lt;&gt;DMY")/((SUMIFS('capacity data'!I:I,'capacity data'!E:E,"&lt;&gt;DMY")-(SUMIFS('capacity data'!J:J,'capacity data'!E:E,"&lt;&gt;DMY")))/37)</f>
        <v>#DIV/0!</v>
      </c>
      <c r="H12" s="229" t="s">
        <v>1025</v>
      </c>
      <c r="I12" s="82" t="e">
        <f>SUMIFS('capacity data'!F:F, 'capacity data'!E:E, "PO",'capacity data'!F:F, "&lt;&gt;0") / COUNTIFS('capacity data'!E:E, "PO",'capacity data'!F:F, "&lt;&gt;0")</f>
        <v>#DIV/0!</v>
      </c>
      <c r="J12" s="82" t="e">
        <f>SUMIFS('capacity data'!F:F, 'capacity data'!E:E, "PSO",'capacity data'!F:F, "&lt;&gt;0") / COUNTIFS('capacity data'!E:E, "PSO",'capacity data'!F:F, "&lt;&gt;0")</f>
        <v>#DIV/0!</v>
      </c>
      <c r="K12" s="82" t="e">
        <f>SUMIFS('capacity data'!F:F, 'capacity data'!E:E, "TPO",'capacity data'!F:F, "&lt;&gt;0") / COUNTIFS('capacity data'!E:E, "TPO",'capacity data'!F:F, "&lt;&gt;0")</f>
        <v>#DIV/0!</v>
      </c>
      <c r="L12" s="82">
        <f>SUMIFS('capacity data'!F:F, 'capacity data'!E:E, "&lt;&gt;DMY",'capacity data'!F:F, "&lt;&gt;0") / COUNTIFS('capacity data'!E:E, "&lt;&gt;DMY",'capacity data'!F:F, "&lt;&gt;0", 'capacity data'!A:A, "&lt;&gt;")</f>
        <v>0</v>
      </c>
      <c r="M12" s="293" t="e" cm="1">
        <f t="array" ref="M12">SUM(SUMIFS('capacity data'!F:F,'capacity data'!E:E,{"PO","PSO"},'capacity data'!F:F,"&lt;&gt;0"))/SUM(COUNTIFS('capacity data'!E:E,{"PO","PSO"},'capacity data'!F:F,"&lt;&gt;0"))</f>
        <v>#DIV/0!</v>
      </c>
      <c r="N12" s="311" t="e">
        <f>'HMIP caseload divisional'!N10</f>
        <v>#DIV/0!</v>
      </c>
    </row>
    <row r="13" spans="1:23" x14ac:dyDescent="0.15">
      <c r="B13" s="68" t="s">
        <v>1041</v>
      </c>
      <c r="C13" s="235" t="e">
        <f>C11-C12</f>
        <v>#DIV/0!</v>
      </c>
      <c r="D13" s="235" t="e">
        <f t="shared" ref="D13:F13" si="0">D11-D12</f>
        <v>#DIV/0!</v>
      </c>
      <c r="E13" s="235" t="e">
        <f t="shared" si="0"/>
        <v>#DIV/0!</v>
      </c>
      <c r="F13" s="235" t="e">
        <f t="shared" si="0"/>
        <v>#DIV/0!</v>
      </c>
      <c r="H13" s="68" t="s">
        <v>1041</v>
      </c>
      <c r="I13" s="102" t="e">
        <f>+I11-I12</f>
        <v>#DIV/0!</v>
      </c>
      <c r="J13" s="102" t="str">
        <f>IFERROR(+J11-J12,"N/A")</f>
        <v>N/A</v>
      </c>
      <c r="K13" s="102" t="str">
        <f>IFERROR(+K11-K12,"N/A")</f>
        <v>N/A</v>
      </c>
      <c r="L13" s="102" t="e">
        <f>+L11-L12</f>
        <v>#DIV/0!</v>
      </c>
      <c r="M13" s="102" t="e">
        <f>(M11-M12)</f>
        <v>#DIV/0!</v>
      </c>
      <c r="N13" s="312" t="e">
        <f>(N11-N12)</f>
        <v>#DIV/0!</v>
      </c>
    </row>
    <row r="14" spans="1:23" x14ac:dyDescent="0.15">
      <c r="C14" s="238"/>
      <c r="D14" s="238"/>
      <c r="E14" s="238"/>
      <c r="F14" s="238"/>
    </row>
    <row r="16" spans="1:23" ht="23" x14ac:dyDescent="0.15">
      <c r="B16" s="284" t="s">
        <v>1026</v>
      </c>
      <c r="C16" s="285"/>
      <c r="D16" s="285"/>
      <c r="E16" s="285"/>
      <c r="F16" s="286"/>
      <c r="H16" s="432" t="s">
        <v>1042</v>
      </c>
      <c r="I16" s="433"/>
      <c r="J16" s="433"/>
      <c r="K16" s="433"/>
      <c r="L16" s="433"/>
      <c r="M16" s="433"/>
    </row>
    <row r="17" spans="2:13" ht="50.25" customHeight="1" x14ac:dyDescent="0.15">
      <c r="B17" s="62"/>
      <c r="C17" s="219" t="s">
        <v>1016</v>
      </c>
      <c r="D17" s="219" t="s">
        <v>1017</v>
      </c>
      <c r="E17" s="219" t="s">
        <v>1018</v>
      </c>
      <c r="F17" s="219" t="s">
        <v>1039</v>
      </c>
      <c r="H17" s="299" t="str">
        <f>B6</f>
        <v>Hackney and City</v>
      </c>
      <c r="I17" s="219" t="s">
        <v>998</v>
      </c>
      <c r="J17" s="219" t="s">
        <v>997</v>
      </c>
      <c r="K17" s="219" t="s">
        <v>996</v>
      </c>
      <c r="L17" s="219" t="s">
        <v>1345</v>
      </c>
      <c r="M17" s="219" t="s">
        <v>999</v>
      </c>
    </row>
    <row r="18" spans="2:13" ht="15" x14ac:dyDescent="0.15">
      <c r="B18" s="299" t="str">
        <f>B6</f>
        <v>Hackney and City</v>
      </c>
      <c r="C18" s="235" t="e">
        <f>SUMIFS('caseload data'!V:V,'caseload data'!C:C, B6, 'caseload data'!D:D, "PO", 'caseload data'!B:B, "Community")/((SUMIFS('capacity data'!I:I,'capacity data'!B:B,B6,'capacity data'!E:E,"PO")-(SUMIFS('capacity data'!J:J,'capacity data'!B:B,B6,'capacity data'!E:E,"PO")))/37)</f>
        <v>#DIV/0!</v>
      </c>
      <c r="D18" s="236" t="e">
        <f>SUMIFS('caseload data'!V:V,'caseload data'!C:C, B6, 'caseload data'!D:D, "PSO", 'caseload data'!B:B, "Community")/((SUMIFS('capacity data'!I:I,'capacity data'!B:B,B6,'capacity data'!E:E,"PSO")-(SUMIFS('capacity data'!J:J,'capacity data'!B:B,B6,'capacity data'!E:E,"PSO")))/37)</f>
        <v>#DIV/0!</v>
      </c>
      <c r="E18" s="236" t="e">
        <f>SUMIFS('caseload data'!V:V,'caseload data'!C:C, B6, 'caseload data'!D:D, "TPO", 'caseload data'!B:B, "Community")/((SUMIFS('capacity data'!I:I,'capacity data'!B:B,B6,'capacity data'!E:E,"TPO")-(SUMIFS('capacity data'!J:J,'capacity data'!B:B,B6,'capacity data'!E:E,"TPO")))/37)</f>
        <v>#DIV/0!</v>
      </c>
      <c r="F18" s="236" t="e">
        <f>SUMIFS('caseload data'!V:V,'caseload data'!B:B, "Community", 'caseload data'!D:D, "&lt;&gt;DMY", 'caseload data'!C:C, B6) /((SUMIFS('capacity data'!I:I,'capacity data'!B:B,B6,'capacity data'!E:E,"&lt;&gt;DMY")-(SUMIFS('capacity data'!J:J,'capacity data'!B:B,B6,'capacity data'!E:E,"&lt;&gt;DMY")))/37)</f>
        <v>#DIV/0!</v>
      </c>
      <c r="H18" s="65" t="s">
        <v>1028</v>
      </c>
      <c r="I18" s="234">
        <f>SUM(T47:T50)</f>
        <v>0</v>
      </c>
      <c r="J18" s="234">
        <f>SUM(T55:T58)</f>
        <v>0</v>
      </c>
      <c r="K18" s="234">
        <f>SUM(T63:T66)</f>
        <v>0</v>
      </c>
      <c r="L18" s="234">
        <f>T43</f>
        <v>0</v>
      </c>
      <c r="M18" s="234">
        <f>SUM(I18:L18)</f>
        <v>0</v>
      </c>
    </row>
    <row r="19" spans="2:13" x14ac:dyDescent="0.15">
      <c r="B19" s="229" t="s">
        <v>1025</v>
      </c>
      <c r="C19" s="235" t="e">
        <f>SUMIFS('caseload data'!V:V, 'caseload data'!D:D, "PO", 'caseload data'!B:B, "Community")/((SUMIFS('capacity data'!I:I,'capacity data'!E:E,"PO")-(SUMIFS('capacity data'!J:J,'capacity data'!E:E,"PO")))/37)</f>
        <v>#DIV/0!</v>
      </c>
      <c r="D19" s="235" t="e">
        <f>SUMIFS('caseload data'!V:V, 'caseload data'!D:D, "PSO", 'caseload data'!B:B, "Community")/((SUMIFS('capacity data'!I:I,'capacity data'!E:E,"PSO")-(SUMIFS('capacity data'!J:J,'capacity data'!E:E,"PSO")))/37)</f>
        <v>#DIV/0!</v>
      </c>
      <c r="E19" s="235" t="e">
        <f>SUMIFS('caseload data'!V:V, 'caseload data'!D:D, "TPO", 'caseload data'!B:B, "Community")/((SUMIFS('capacity data'!I:I,'capacity data'!E:E,"TPO")-(SUMIFS('capacity data'!J:J,'capacity data'!E:E,"TPO")))/37)</f>
        <v>#DIV/0!</v>
      </c>
      <c r="F19" s="235" t="e">
        <f>SUMIFS('caseload data'!V:V, 'caseload data'!D:D, "&lt;&gt;DMY", 'caseload data'!B:B, "Community")/((SUMIFS('capacity data'!I:I,'capacity data'!E:E,"&lt;&gt;DMY")-(SUMIFS('capacity data'!J:J,'capacity data'!E:E,"&lt;&gt;DMY")))/37)</f>
        <v>#DIV/0!</v>
      </c>
    </row>
    <row r="20" spans="2:13" x14ac:dyDescent="0.15">
      <c r="B20" s="68" t="s">
        <v>1041</v>
      </c>
      <c r="C20" s="235" t="e">
        <f>C18-C19</f>
        <v>#DIV/0!</v>
      </c>
      <c r="D20" s="235" t="e">
        <f t="shared" ref="D20:F20" si="1">D18-D19</f>
        <v>#DIV/0!</v>
      </c>
      <c r="E20" s="235" t="e">
        <f t="shared" si="1"/>
        <v>#DIV/0!</v>
      </c>
      <c r="F20" s="235" t="e">
        <f t="shared" si="1"/>
        <v>#DIV/0!</v>
      </c>
    </row>
    <row r="21" spans="2:13" x14ac:dyDescent="0.15">
      <c r="C21" s="238"/>
      <c r="D21" s="238"/>
      <c r="E21" s="238"/>
      <c r="F21" s="238"/>
    </row>
    <row r="22" spans="2:13" ht="23" x14ac:dyDescent="0.15">
      <c r="B22" s="280" t="s">
        <v>1029</v>
      </c>
      <c r="C22" s="287"/>
      <c r="D22" s="287"/>
      <c r="E22" s="287"/>
      <c r="F22" s="286"/>
    </row>
    <row r="23" spans="2:13" ht="57.75" customHeight="1" x14ac:dyDescent="0.15">
      <c r="B23" s="62"/>
      <c r="C23" s="219" t="s">
        <v>1016</v>
      </c>
      <c r="D23" s="219" t="s">
        <v>1017</v>
      </c>
      <c r="E23" s="219" t="s">
        <v>1018</v>
      </c>
      <c r="F23" s="219" t="s">
        <v>1039</v>
      </c>
    </row>
    <row r="24" spans="2:13" ht="15" x14ac:dyDescent="0.15">
      <c r="B24" s="299" t="str">
        <f>B6</f>
        <v>Hackney and City</v>
      </c>
      <c r="C24" s="235" t="e">
        <f>SUMIFS('caseload data'!V:V,'caseload data'!C:C, B6, 'caseload data'!D:D, "PO", 'caseload data'!B:B, "Licence")/((SUMIFS('capacity data'!I:I,'capacity data'!B:B,B6,'capacity data'!E:E,"PO")-(SUMIFS('capacity data'!J:J,'capacity data'!B:B,B6,'capacity data'!E:E,"PO")))/37)</f>
        <v>#DIV/0!</v>
      </c>
      <c r="D24" s="236" t="e">
        <f>SUMIFS('caseload data'!V:V,'caseload data'!C:C, B6, 'caseload data'!D:D, "PSO", 'caseload data'!B:B, "Licence")/((SUMIFS('capacity data'!I:I,'capacity data'!B:B,B6,'capacity data'!E:E,"PSO")-(SUMIFS('capacity data'!J:J,'capacity data'!B:B,B6,'capacity data'!E:E,"PSO")))/37)</f>
        <v>#DIV/0!</v>
      </c>
      <c r="E24" s="236" t="e">
        <f>SUMIFS('caseload data'!V:V,'caseload data'!C:C, B6, 'caseload data'!D:D, "TPO", 'caseload data'!B:B, "Licence")/((SUMIFS('capacity data'!I:I,'capacity data'!B:B,B6,'capacity data'!E:E,"TPO")-(SUMIFS('capacity data'!J:J,'capacity data'!B:B,B6,'capacity data'!E:E,"TPO")))/37)</f>
        <v>#DIV/0!</v>
      </c>
      <c r="F24" s="236" t="e">
        <f>SUMIFS('caseload data'!V:V,'caseload data'!B:B, "Licence", 'caseload data'!D:D, "&lt;&gt;DMY", 'caseload data'!C:C, B6) /((SUMIFS('capacity data'!I:I,'capacity data'!B:B,B6,'capacity data'!E:E,"&lt;&gt;DMY")-(SUMIFS('capacity data'!J:J,'capacity data'!B:B,B6,'capacity data'!E:E,"&lt;&gt;DMY")))/37)</f>
        <v>#DIV/0!</v>
      </c>
    </row>
    <row r="25" spans="2:13" x14ac:dyDescent="0.15">
      <c r="B25" s="229" t="s">
        <v>1025</v>
      </c>
      <c r="C25" s="235" t="e">
        <f>SUMIFS('caseload data'!V:V, 'caseload data'!D:D, "PO", 'caseload data'!B:B, "Licence")/((SUMIFS('capacity data'!I:I,'capacity data'!E:E,"PO")-(SUMIFS('capacity data'!J:J,'capacity data'!E:E,"PO")))/37)</f>
        <v>#DIV/0!</v>
      </c>
      <c r="D25" s="235" t="e">
        <f>SUMIFS('caseload data'!V:V, 'caseload data'!D:D, "PSO", 'caseload data'!B:B, "Licence")/((SUMIFS('capacity data'!I:I,'capacity data'!E:E,"PSO")-(SUMIFS('capacity data'!J:J,'capacity data'!E:E,"PSO")))/37)</f>
        <v>#DIV/0!</v>
      </c>
      <c r="E25" s="235" t="e">
        <f>SUMIFS('caseload data'!V:V, 'caseload data'!D:D, "TPO", 'caseload data'!B:B, "Licence")/((SUMIFS('capacity data'!I:I,'capacity data'!E:E,"TPO")-(SUMIFS('capacity data'!J:J,'capacity data'!E:E,"TPO")))/37)</f>
        <v>#DIV/0!</v>
      </c>
      <c r="F25" s="235" t="e">
        <f>SUMIFS('caseload data'!V:V, 'caseload data'!D:D, "&lt;&gt;DMY", 'caseload data'!B:B, "Licence")/((SUMIFS('capacity data'!I:I,'capacity data'!E:E,"&lt;&gt;DMY")-(SUMIFS('capacity data'!J:J,'capacity data'!E:E,"&lt;&gt;DMY")))/37)</f>
        <v>#DIV/0!</v>
      </c>
    </row>
    <row r="26" spans="2:13" x14ac:dyDescent="0.15">
      <c r="B26" s="68" t="s">
        <v>1041</v>
      </c>
      <c r="C26" s="235" t="e">
        <f>C24-C25</f>
        <v>#DIV/0!</v>
      </c>
      <c r="D26" s="235" t="e">
        <f t="shared" ref="D26:F26" si="2">D24-D25</f>
        <v>#DIV/0!</v>
      </c>
      <c r="E26" s="235" t="e">
        <f t="shared" si="2"/>
        <v>#DIV/0!</v>
      </c>
      <c r="F26" s="235" t="e">
        <f t="shared" si="2"/>
        <v>#DIV/0!</v>
      </c>
    </row>
    <row r="28" spans="2:13" ht="23" x14ac:dyDescent="0.15">
      <c r="B28" s="280" t="s">
        <v>1043</v>
      </c>
      <c r="C28" s="287"/>
      <c r="D28" s="287"/>
      <c r="E28" s="287"/>
      <c r="F28" s="286"/>
    </row>
    <row r="29" spans="2:13" ht="54" customHeight="1" x14ac:dyDescent="0.15">
      <c r="B29" s="62"/>
      <c r="C29" s="219" t="s">
        <v>1016</v>
      </c>
      <c r="D29" s="219" t="s">
        <v>1017</v>
      </c>
      <c r="E29" s="219" t="s">
        <v>1018</v>
      </c>
      <c r="F29" s="219" t="s">
        <v>1039</v>
      </c>
    </row>
    <row r="30" spans="2:13" ht="15" x14ac:dyDescent="0.15">
      <c r="B30" s="299" t="str">
        <f>B6</f>
        <v>Hackney and City</v>
      </c>
      <c r="C30" s="235" t="e">
        <f>SUMIFS('caseload data'!V:V,'caseload data'!C:C, B6, 'caseload data'!D:D, "PO", 'caseload data'!B:B, "Custody")/((SUMIFS('capacity data'!I:I,'capacity data'!B:B,B6,'capacity data'!E:E,"PO")-(SUMIFS('capacity data'!J:J,'capacity data'!B:B,B6,'capacity data'!E:E,"PO")))/37)</f>
        <v>#DIV/0!</v>
      </c>
      <c r="D30" s="236" t="e">
        <f>SUMIFS('caseload data'!V:V,'caseload data'!C:C, B6, 'caseload data'!D:D, "PSO", 'caseload data'!B:B, "Custody")/((SUMIFS('capacity data'!I:I,'capacity data'!B:B,B6,'capacity data'!E:E,"PSO")-(SUMIFS('capacity data'!J:J,'capacity data'!B:B,B6,'capacity data'!E:E,"PSO")))/37)</f>
        <v>#DIV/0!</v>
      </c>
      <c r="E30" s="236" t="e">
        <f>SUMIFS('caseload data'!V:V,'caseload data'!C:C, B6, 'caseload data'!D:D, "TPO", 'caseload data'!B:B, "Custody")/((SUMIFS('capacity data'!I:I,'capacity data'!B:B,B6,'capacity data'!E:E,"TPO")-(SUMIFS('capacity data'!J:J,'capacity data'!B:B,B6,'capacity data'!E:E,"TPO")))/37)</f>
        <v>#DIV/0!</v>
      </c>
      <c r="F30" s="236" t="e">
        <f>SUMIFS('caseload data'!V:V,'caseload data'!B:B, "Custody", 'caseload data'!D:D, "&lt;&gt;DMY", 'caseload data'!C:C, B6) /((SUMIFS('capacity data'!I:I,'capacity data'!B:B,B6,'capacity data'!E:E,"&lt;&gt;DMY")-(SUMIFS('capacity data'!J:J,'capacity data'!B:B,B6,'capacity data'!E:E,"&lt;&gt;DMY")))/37)</f>
        <v>#DIV/0!</v>
      </c>
    </row>
    <row r="31" spans="2:13" x14ac:dyDescent="0.15">
      <c r="B31" s="229" t="s">
        <v>1025</v>
      </c>
      <c r="C31" s="235" t="e">
        <f>SUMIFS('caseload data'!V:V, 'caseload data'!D:D, "PO", 'caseload data'!B:B, "Custody")/((SUMIFS('capacity data'!I:I,'capacity data'!E:E,"PO")-(SUMIFS('capacity data'!J:J,'capacity data'!E:E,"PO")))/37)</f>
        <v>#DIV/0!</v>
      </c>
      <c r="D31" s="235" t="e">
        <f>SUMIFS('caseload data'!V:V, 'caseload data'!D:D, "PSO", 'caseload data'!B:B, "Custody")/((SUMIFS('capacity data'!I:I,'capacity data'!E:E,"PSO")-(SUMIFS('capacity data'!J:J,'capacity data'!E:E,"PSO")))/37)</f>
        <v>#DIV/0!</v>
      </c>
      <c r="E31" s="235" t="e">
        <f>SUMIFS('caseload data'!V:V, 'caseload data'!D:D, "TPO", 'caseload data'!B:B, "Custody")/((SUMIFS('capacity data'!I:I,'capacity data'!E:E,"TPO")-(SUMIFS('capacity data'!J:J,'capacity data'!E:E,"TPO")))/37)</f>
        <v>#DIV/0!</v>
      </c>
      <c r="F31" s="235" t="e">
        <f>SUMIFS('caseload data'!V:V, 'caseload data'!D:D, "&lt;&gt;DMY", 'caseload data'!B:B, "Custody")/((SUMIFS('capacity data'!I:I,'capacity data'!E:E,"&lt;&gt;DMY")-(SUMIFS('capacity data'!J:J,'capacity data'!E:E,"&lt;&gt;DMY")))/37)</f>
        <v>#DIV/0!</v>
      </c>
    </row>
    <row r="32" spans="2:13" x14ac:dyDescent="0.15">
      <c r="B32" s="68" t="s">
        <v>1041</v>
      </c>
      <c r="C32" s="235" t="e">
        <f>C30-C31</f>
        <v>#DIV/0!</v>
      </c>
      <c r="D32" s="235" t="e">
        <f t="shared" ref="D32:F32" si="3">D30-D31</f>
        <v>#DIV/0!</v>
      </c>
      <c r="E32" s="235" t="e">
        <f t="shared" si="3"/>
        <v>#DIV/0!</v>
      </c>
      <c r="F32" s="235" t="e">
        <f t="shared" si="3"/>
        <v>#DIV/0!</v>
      </c>
    </row>
    <row r="33" spans="2:21" x14ac:dyDescent="0.15">
      <c r="B33" s="238"/>
      <c r="C33" s="238"/>
      <c r="D33" s="238"/>
      <c r="E33" s="238"/>
      <c r="F33" s="238"/>
    </row>
    <row r="34" spans="2:21" x14ac:dyDescent="0.15">
      <c r="B34" s="238"/>
      <c r="C34" s="238"/>
      <c r="D34" s="238"/>
      <c r="E34" s="238"/>
      <c r="F34" s="238"/>
    </row>
    <row r="35" spans="2:21" ht="14.25" customHeight="1" x14ac:dyDescent="0.15"/>
    <row r="36" spans="2:21" ht="14.25" customHeight="1" x14ac:dyDescent="0.15"/>
    <row r="37" spans="2:21" ht="42" customHeight="1" x14ac:dyDescent="0.15">
      <c r="B37" s="301" t="str">
        <f>B6</f>
        <v>Hackney and City</v>
      </c>
      <c r="C37" s="436" t="s">
        <v>1012</v>
      </c>
      <c r="D37" s="436"/>
      <c r="E37" s="436"/>
      <c r="F37" s="436"/>
      <c r="G37" s="436"/>
      <c r="H37" s="436"/>
      <c r="I37" s="436"/>
      <c r="J37" s="436"/>
      <c r="K37" s="436"/>
      <c r="L37" s="436"/>
      <c r="M37" s="436"/>
      <c r="N37" s="436"/>
      <c r="O37" s="436"/>
      <c r="P37" s="436"/>
      <c r="Q37" s="436"/>
      <c r="R37" s="436"/>
      <c r="S37" s="436"/>
      <c r="T37" s="436"/>
    </row>
    <row r="38" spans="2:21" ht="19.5" customHeight="1" x14ac:dyDescent="0.15">
      <c r="B38" s="39" t="s">
        <v>1006</v>
      </c>
      <c r="C38" s="39" t="s">
        <v>869</v>
      </c>
      <c r="D38" s="39" t="s">
        <v>870</v>
      </c>
      <c r="E38" s="39" t="s">
        <v>871</v>
      </c>
      <c r="F38" s="39" t="s">
        <v>872</v>
      </c>
      <c r="G38" s="39" t="s">
        <v>873</v>
      </c>
      <c r="H38" s="39" t="s">
        <v>874</v>
      </c>
      <c r="I38" s="39" t="s">
        <v>875</v>
      </c>
      <c r="J38" s="39" t="s">
        <v>876</v>
      </c>
      <c r="K38" s="39" t="s">
        <v>877</v>
      </c>
      <c r="L38" s="39" t="s">
        <v>878</v>
      </c>
      <c r="M38" s="39" t="s">
        <v>879</v>
      </c>
      <c r="N38" s="39" t="s">
        <v>880</v>
      </c>
      <c r="O38" s="39" t="s">
        <v>881</v>
      </c>
      <c r="P38" s="39" t="s">
        <v>882</v>
      </c>
      <c r="Q38" s="39" t="s">
        <v>883</v>
      </c>
      <c r="R38" s="39" t="s">
        <v>884</v>
      </c>
      <c r="S38" s="39" t="s">
        <v>1031</v>
      </c>
      <c r="T38" s="39" t="s">
        <v>964</v>
      </c>
    </row>
    <row r="39" spans="2:21" ht="14.25" customHeight="1" x14ac:dyDescent="0.15">
      <c r="B39" s="75" t="s">
        <v>1002</v>
      </c>
      <c r="C39" s="234">
        <f>SUMIFS('caseload data'!E:E,'caseload data'!$D:$D,"PO",'caseload data'!$C:$C,$B$6)</f>
        <v>0</v>
      </c>
      <c r="D39" s="234">
        <f>SUMIFS('caseload data'!F:F,'caseload data'!$D:$D,"PO",'caseload data'!$C:$C,$B$6)</f>
        <v>0</v>
      </c>
      <c r="E39" s="234">
        <f>SUMIFS('caseload data'!G:G,'caseload data'!$D:$D,"PO",'caseload data'!$C:$C,$B$6)</f>
        <v>0</v>
      </c>
      <c r="F39" s="234">
        <f>SUMIFS('caseload data'!H:H,'caseload data'!$D:$D,"PO",'caseload data'!$C:$C,$B$6)</f>
        <v>0</v>
      </c>
      <c r="G39" s="234">
        <f>SUMIFS('caseload data'!I:I,'caseload data'!$D:$D,"PO",'caseload data'!$C:$C,$B$6)</f>
        <v>0</v>
      </c>
      <c r="H39" s="234">
        <f>SUMIFS('caseload data'!J:J,'caseload data'!$D:$D,"PO",'caseload data'!$C:$C,$B$6)</f>
        <v>0</v>
      </c>
      <c r="I39" s="234">
        <f>SUMIFS('caseload data'!K:K,'caseload data'!$D:$D,"PO",'caseload data'!$C:$C,$B$6)</f>
        <v>0</v>
      </c>
      <c r="J39" s="234">
        <f>SUMIFS('caseload data'!L:L,'caseload data'!$D:$D,"PO",'caseload data'!$C:$C,$B$6)</f>
        <v>0</v>
      </c>
      <c r="K39" s="234">
        <f>SUMIFS('caseload data'!M:M,'caseload data'!$D:$D,"PO",'caseload data'!$C:$C,$B$6)</f>
        <v>0</v>
      </c>
      <c r="L39" s="234">
        <f>SUMIFS('caseload data'!N:N,'caseload data'!$D:$D,"PO",'caseload data'!$C:$C,$B$6)</f>
        <v>0</v>
      </c>
      <c r="M39" s="234">
        <f>SUMIFS('caseload data'!O:O,'caseload data'!$D:$D,"PO",'caseload data'!$C:$C,$B$6)</f>
        <v>0</v>
      </c>
      <c r="N39" s="234">
        <f>SUMIFS('caseload data'!P:P,'caseload data'!$D:$D,"PO",'caseload data'!$C:$C,$B$6)</f>
        <v>0</v>
      </c>
      <c r="O39" s="234">
        <f>SUMIFS('caseload data'!Q:Q,'caseload data'!$D:$D,"PO",'caseload data'!$C:$C,$B$6)</f>
        <v>0</v>
      </c>
      <c r="P39" s="234">
        <f>SUMIFS('caseload data'!R:R,'caseload data'!$D:$D,"PO",'caseload data'!$C:$C,$B$6)</f>
        <v>0</v>
      </c>
      <c r="Q39" s="234">
        <f>SUMIFS('caseload data'!S:S,'caseload data'!$D:$D,"PO",'caseload data'!$C:$C,$B$6)</f>
        <v>0</v>
      </c>
      <c r="R39" s="234">
        <f>SUMIFS('caseload data'!T:T,'caseload data'!$D:$D,"PO",'caseload data'!$C:$C,$B$6)</f>
        <v>0</v>
      </c>
      <c r="S39" s="234">
        <f>SUMIFS('caseload data'!U:U,'caseload data'!$D:$D,"PO",'caseload data'!$C:$C,$B$6)</f>
        <v>0</v>
      </c>
      <c r="T39" s="234">
        <f>SUM(C39:S39)</f>
        <v>0</v>
      </c>
    </row>
    <row r="40" spans="2:21" x14ac:dyDescent="0.15">
      <c r="B40" s="75" t="s">
        <v>1007</v>
      </c>
      <c r="C40" s="234">
        <f>SUMIFS('caseload data'!E:E,'caseload data'!$D:$D,"PSO",'caseload data'!$C:$C,$B$6)</f>
        <v>0</v>
      </c>
      <c r="D40" s="234">
        <f>SUMIFS('caseload data'!F:F,'caseload data'!$D:$D,"PSO",'caseload data'!$C:$C,$B$6)</f>
        <v>0</v>
      </c>
      <c r="E40" s="234">
        <f>SUMIFS('caseload data'!G:G,'caseload data'!$D:$D,"PSO",'caseload data'!$C:$C,$B$6)</f>
        <v>0</v>
      </c>
      <c r="F40" s="234">
        <f>SUMIFS('caseload data'!H:H,'caseload data'!$D:$D,"PSO",'caseload data'!$C:$C,$B$6)</f>
        <v>0</v>
      </c>
      <c r="G40" s="234">
        <f>SUMIFS('caseload data'!I:I,'caseload data'!$D:$D,"PSO",'caseload data'!$C:$C,$B$6)</f>
        <v>0</v>
      </c>
      <c r="H40" s="234">
        <f>SUMIFS('caseload data'!J:J,'caseload data'!$D:$D,"PSO",'caseload data'!$C:$C,$B$6)</f>
        <v>0</v>
      </c>
      <c r="I40" s="234">
        <f>SUMIFS('caseload data'!K:K,'caseload data'!$D:$D,"PSO",'caseload data'!$C:$C,$B$6)</f>
        <v>0</v>
      </c>
      <c r="J40" s="234">
        <f>SUMIFS('caseload data'!L:L,'caseload data'!$D:$D,"PSO",'caseload data'!$C:$C,$B$6)</f>
        <v>0</v>
      </c>
      <c r="K40" s="234">
        <f>SUMIFS('caseload data'!M:M,'caseload data'!$D:$D,"PSO",'caseload data'!$C:$C,$B$6)</f>
        <v>0</v>
      </c>
      <c r="L40" s="234">
        <f>SUMIFS('caseload data'!N:N,'caseload data'!$D:$D,"PSO",'caseload data'!$C:$C,$B$6)</f>
        <v>0</v>
      </c>
      <c r="M40" s="234">
        <f>SUMIFS('caseload data'!O:O,'caseload data'!$D:$D,"PSO",'caseload data'!$C:$C,$B$6)</f>
        <v>0</v>
      </c>
      <c r="N40" s="234">
        <f>SUMIFS('caseload data'!P:P,'caseload data'!$D:$D,"PSO",'caseload data'!$C:$C,$B$6)</f>
        <v>0</v>
      </c>
      <c r="O40" s="234">
        <f>SUMIFS('caseload data'!Q:Q,'caseload data'!$D:$D,"PSO",'caseload data'!$C:$C,$B$6)</f>
        <v>0</v>
      </c>
      <c r="P40" s="234">
        <f>SUMIFS('caseload data'!R:R,'caseload data'!$D:$D,"PSO",'caseload data'!$C:$C,$B$6)</f>
        <v>0</v>
      </c>
      <c r="Q40" s="234">
        <f>SUMIFS('caseload data'!S:S,'caseload data'!$D:$D,"PSO",'caseload data'!$C:$C,$B$6)</f>
        <v>0</v>
      </c>
      <c r="R40" s="234">
        <f>SUMIFS('caseload data'!T:T,'caseload data'!$D:$D,"PSO",'caseload data'!$C:$C,$B$6)</f>
        <v>0</v>
      </c>
      <c r="S40" s="234">
        <f>SUMIFS('caseload data'!U:U,'caseload data'!$D:$D,"PSO",'caseload data'!$C:$C,$B$6)</f>
        <v>0</v>
      </c>
      <c r="T40" s="234">
        <f t="shared" ref="T40:T66" si="4">SUM(C40:S40)</f>
        <v>0</v>
      </c>
    </row>
    <row r="41" spans="2:21" ht="14.25" customHeight="1" x14ac:dyDescent="0.15">
      <c r="B41" s="75" t="s">
        <v>1008</v>
      </c>
      <c r="C41" s="234">
        <f>SUMIFS('caseload data'!E:E,'caseload data'!$D:$D,"TPO",'caseload data'!$C:$C,$B$6)</f>
        <v>0</v>
      </c>
      <c r="D41" s="234">
        <f>SUMIFS('caseload data'!F:F,'caseload data'!$D:$D,"TPO",'caseload data'!$C:$C,$B$6)</f>
        <v>0</v>
      </c>
      <c r="E41" s="234">
        <f>SUMIFS('caseload data'!G:G,'caseload data'!$D:$D,"TPO",'caseload data'!$C:$C,$B$6)</f>
        <v>0</v>
      </c>
      <c r="F41" s="234">
        <f>SUMIFS('caseload data'!H:H,'caseload data'!$D:$D,"TPO",'caseload data'!$C:$C,$B$6)</f>
        <v>0</v>
      </c>
      <c r="G41" s="234">
        <f>SUMIFS('caseload data'!I:I,'caseload data'!$D:$D,"TPO",'caseload data'!$C:$C,$B$6)</f>
        <v>0</v>
      </c>
      <c r="H41" s="234">
        <f>SUMIFS('caseload data'!J:J,'caseload data'!$D:$D,"TPO",'caseload data'!$C:$C,$B$6)</f>
        <v>0</v>
      </c>
      <c r="I41" s="234">
        <f>SUMIFS('caseload data'!K:K,'caseload data'!$D:$D,"TPO",'caseload data'!$C:$C,$B$6)</f>
        <v>0</v>
      </c>
      <c r="J41" s="234">
        <f>SUMIFS('caseload data'!L:L,'caseload data'!$D:$D,"TPO",'caseload data'!$C:$C,$B$6)</f>
        <v>0</v>
      </c>
      <c r="K41" s="234">
        <f>SUMIFS('caseload data'!M:M,'caseload data'!$D:$D,"TPO",'caseload data'!$C:$C,$B$6)</f>
        <v>0</v>
      </c>
      <c r="L41" s="234">
        <f>SUMIFS('caseload data'!N:N,'caseload data'!$D:$D,"TPO",'caseload data'!$C:$C,$B$6)</f>
        <v>0</v>
      </c>
      <c r="M41" s="234">
        <f>SUMIFS('caseload data'!O:O,'caseload data'!$D:$D,"TPO",'caseload data'!$C:$C,$B$6)</f>
        <v>0</v>
      </c>
      <c r="N41" s="234">
        <f>SUMIFS('caseload data'!P:P,'caseload data'!$D:$D,"TPO",'caseload data'!$C:$C,$B$6)</f>
        <v>0</v>
      </c>
      <c r="O41" s="234">
        <f>SUMIFS('caseload data'!Q:Q,'caseload data'!$D:$D,"TPO",'caseload data'!$C:$C,$B$6)</f>
        <v>0</v>
      </c>
      <c r="P41" s="234">
        <f>SUMIFS('caseload data'!R:R,'caseload data'!$D:$D,"TPO",'caseload data'!$C:$C,$B$6)</f>
        <v>0</v>
      </c>
      <c r="Q41" s="234">
        <f>SUMIFS('caseload data'!S:S,'caseload data'!$D:$D,"TPO",'caseload data'!$C:$C,$B$6)</f>
        <v>0</v>
      </c>
      <c r="R41" s="234">
        <f>SUMIFS('caseload data'!T:T,'caseload data'!$D:$D,"TPO",'caseload data'!$C:$C,$B$6)</f>
        <v>0</v>
      </c>
      <c r="S41" s="234">
        <f>SUMIFS('caseload data'!U:U,'caseload data'!$D:$D,"TPO",'caseload data'!$C:$C,$B$6)</f>
        <v>0</v>
      </c>
      <c r="T41" s="234">
        <f t="shared" si="4"/>
        <v>0</v>
      </c>
    </row>
    <row r="42" spans="2:21" ht="14.25" customHeight="1" x14ac:dyDescent="0.15">
      <c r="B42" s="75" t="s">
        <v>1009</v>
      </c>
      <c r="C42" s="234">
        <f>SUMIFS('caseload data'!E:E,'caseload data'!$D:$D,"SPO",'caseload data'!$C:$C,$B$6)</f>
        <v>0</v>
      </c>
      <c r="D42" s="234">
        <f>SUMIFS('caseload data'!F:F,'caseload data'!$D:$D,"SPO",'caseload data'!$C:$C,$B$6)</f>
        <v>0</v>
      </c>
      <c r="E42" s="234">
        <f>SUMIFS('caseload data'!G:G,'caseload data'!$D:$D,"SPO",'caseload data'!$C:$C,$B$6)</f>
        <v>0</v>
      </c>
      <c r="F42" s="234">
        <f>SUMIFS('caseload data'!H:H,'caseload data'!$D:$D,"SPO",'caseload data'!$C:$C,$B$6)</f>
        <v>0</v>
      </c>
      <c r="G42" s="234">
        <f>SUMIFS('caseload data'!I:I,'caseload data'!$D:$D,"SPO",'caseload data'!$C:$C,$B$6)</f>
        <v>0</v>
      </c>
      <c r="H42" s="234">
        <f>SUMIFS('caseload data'!J:J,'caseload data'!$D:$D,"SPO",'caseload data'!$C:$C,$B$6)</f>
        <v>0</v>
      </c>
      <c r="I42" s="234">
        <f>SUMIFS('caseload data'!K:K,'caseload data'!$D:$D,"SPO",'caseload data'!$C:$C,$B$6)</f>
        <v>0</v>
      </c>
      <c r="J42" s="234">
        <f>SUMIFS('caseload data'!L:L,'caseload data'!$D:$D,"SPO",'caseload data'!$C:$C,$B$6)</f>
        <v>0</v>
      </c>
      <c r="K42" s="234">
        <f>SUMIFS('caseload data'!M:M,'caseload data'!$D:$D,"SPO",'caseload data'!$C:$C,$B$6)</f>
        <v>0</v>
      </c>
      <c r="L42" s="234">
        <f>SUMIFS('caseload data'!N:N,'caseload data'!$D:$D,"SPO",'caseload data'!$C:$C,$B$6)</f>
        <v>0</v>
      </c>
      <c r="M42" s="234">
        <f>SUMIFS('caseload data'!O:O,'caseload data'!$D:$D,"SPO",'caseload data'!$C:$C,$B$6)</f>
        <v>0</v>
      </c>
      <c r="N42" s="234">
        <f>SUMIFS('caseload data'!P:P,'caseload data'!$D:$D,"SPO",'caseload data'!$C:$C,$B$6)</f>
        <v>0</v>
      </c>
      <c r="O42" s="234">
        <f>SUMIFS('caseload data'!Q:Q,'caseload data'!$D:$D,"SPO",'caseload data'!$C:$C,$B$6)</f>
        <v>0</v>
      </c>
      <c r="P42" s="234">
        <f>SUMIFS('caseload data'!R:R,'caseload data'!$D:$D,"SPO",'caseload data'!$C:$C,$B$6)</f>
        <v>0</v>
      </c>
      <c r="Q42" s="234">
        <f>SUMIFS('caseload data'!S:S,'caseload data'!$D:$D,"SPO",'caseload data'!$C:$C,$B$6)</f>
        <v>0</v>
      </c>
      <c r="R42" s="234">
        <f>SUMIFS('caseload data'!T:T,'caseload data'!$D:$D,"SPO",'caseload data'!$C:$C,$B$6)</f>
        <v>0</v>
      </c>
      <c r="S42" s="234">
        <f>SUMIFS('caseload data'!U:U,'caseload data'!$D:$D,"SPO",'caseload data'!$C:$C,$B$6)</f>
        <v>0</v>
      </c>
      <c r="T42" s="234">
        <f t="shared" si="4"/>
        <v>0</v>
      </c>
      <c r="U42" s="239"/>
    </row>
    <row r="43" spans="2:21" ht="14.25" customHeight="1" x14ac:dyDescent="0.15">
      <c r="B43" s="75" t="s">
        <v>1344</v>
      </c>
      <c r="C43" s="234">
        <f>SUMIFS('caseload data'!E:E,'caseload data'!$D:$D,"DMY",'caseload data'!$C:$C,$B$6)</f>
        <v>0</v>
      </c>
      <c r="D43" s="234">
        <f>SUMIFS('caseload data'!F:F,'caseload data'!$D:$D,"DMY",'caseload data'!$C:$C,$B$6)</f>
        <v>0</v>
      </c>
      <c r="E43" s="234">
        <f>SUMIFS('caseload data'!G:G,'caseload data'!$D:$D,"DMY",'caseload data'!$C:$C,$B$6)</f>
        <v>0</v>
      </c>
      <c r="F43" s="234">
        <f>SUMIFS('caseload data'!H:H,'caseload data'!$D:$D,"DMY",'caseload data'!$C:$C,$B$6)</f>
        <v>0</v>
      </c>
      <c r="G43" s="234">
        <f>SUMIFS('caseload data'!I:I,'caseload data'!$D:$D,"DMY",'caseload data'!$C:$C,$B$6)</f>
        <v>0</v>
      </c>
      <c r="H43" s="234">
        <f>SUMIFS('caseload data'!J:J,'caseload data'!$D:$D,"DMY",'caseload data'!$C:$C,$B$6)</f>
        <v>0</v>
      </c>
      <c r="I43" s="234">
        <f>SUMIFS('caseload data'!K:K,'caseload data'!$D:$D,"DMY",'caseload data'!$C:$C,$B$6)</f>
        <v>0</v>
      </c>
      <c r="J43" s="234">
        <f>SUMIFS('caseload data'!L:L,'caseload data'!$D:$D,"DMY",'caseload data'!$C:$C,$B$6)</f>
        <v>0</v>
      </c>
      <c r="K43" s="234">
        <f>SUMIFS('caseload data'!M:M,'caseload data'!$D:$D,"DMY",'caseload data'!$C:$C,$B$6)</f>
        <v>0</v>
      </c>
      <c r="L43" s="234">
        <f>SUMIFS('caseload data'!N:N,'caseload data'!$D:$D,"DMY",'caseload data'!$C:$C,$B$6)</f>
        <v>0</v>
      </c>
      <c r="M43" s="234">
        <f>SUMIFS('caseload data'!O:O,'caseload data'!$D:$D,"DMY",'caseload data'!$C:$C,$B$6)</f>
        <v>0</v>
      </c>
      <c r="N43" s="234">
        <f>SUMIFS('caseload data'!P:P,'caseload data'!$D:$D,"DMY",'caseload data'!$C:$C,$B$6)</f>
        <v>0</v>
      </c>
      <c r="O43" s="234">
        <f>SUMIFS('caseload data'!Q:Q,'caseload data'!$D:$D,"DMY",'caseload data'!$C:$C,$B$6)</f>
        <v>0</v>
      </c>
      <c r="P43" s="234">
        <f>SUMIFS('caseload data'!R:R,'caseload data'!$D:$D,"DMY",'caseload data'!$C:$C,$B$6)</f>
        <v>0</v>
      </c>
      <c r="Q43" s="234">
        <f>SUMIFS('caseload data'!S:S,'caseload data'!$D:$D,"DMY",'caseload data'!$C:$C,$B$6)</f>
        <v>0</v>
      </c>
      <c r="R43" s="234">
        <f>SUMIFS('caseload data'!T:T,'caseload data'!$D:$D,"DMY",'caseload data'!$C:$C,$B$6)</f>
        <v>0</v>
      </c>
      <c r="S43" s="234">
        <f>SUMIFS('caseload data'!U:U,'caseload data'!$D:$D,"DMY",'caseload data'!$C:$C,$B$6)</f>
        <v>0</v>
      </c>
      <c r="T43" s="234">
        <f t="shared" ref="T43" si="5">SUM(C43:S43)</f>
        <v>0</v>
      </c>
      <c r="U43" s="239"/>
    </row>
    <row r="44" spans="2:21" ht="14.25" customHeight="1" x14ac:dyDescent="0.15">
      <c r="B44" s="171"/>
      <c r="C44" s="171"/>
      <c r="D44" s="171"/>
      <c r="E44" s="171"/>
      <c r="F44" s="171"/>
      <c r="G44" s="171"/>
      <c r="H44" s="171"/>
      <c r="I44" s="171"/>
      <c r="J44" s="171"/>
      <c r="K44" s="171"/>
      <c r="L44" s="171"/>
      <c r="M44" s="171"/>
      <c r="N44" s="171"/>
      <c r="O44" s="171"/>
      <c r="P44" s="171"/>
      <c r="Q44" s="171"/>
      <c r="R44" s="171"/>
    </row>
    <row r="45" spans="2:21" ht="36.75" customHeight="1" x14ac:dyDescent="0.15">
      <c r="B45" s="301" t="str">
        <f>$B$6</f>
        <v>Hackney and City</v>
      </c>
      <c r="C45" s="435" t="s">
        <v>1032</v>
      </c>
      <c r="D45" s="431"/>
      <c r="E45" s="431"/>
      <c r="F45" s="431"/>
      <c r="G45" s="431"/>
      <c r="H45" s="431"/>
      <c r="I45" s="431"/>
      <c r="J45" s="431"/>
      <c r="K45" s="431"/>
      <c r="L45" s="431"/>
      <c r="M45" s="431"/>
      <c r="N45" s="431"/>
      <c r="O45" s="431"/>
      <c r="P45" s="431"/>
      <c r="Q45" s="431"/>
      <c r="R45" s="431"/>
      <c r="S45" s="431"/>
      <c r="T45" s="431"/>
    </row>
    <row r="46" spans="2:21" ht="18" customHeight="1" x14ac:dyDescent="0.15">
      <c r="B46" s="95" t="s">
        <v>1006</v>
      </c>
      <c r="C46" s="38" t="s">
        <v>869</v>
      </c>
      <c r="D46" s="38" t="s">
        <v>870</v>
      </c>
      <c r="E46" s="38" t="s">
        <v>871</v>
      </c>
      <c r="F46" s="38" t="s">
        <v>872</v>
      </c>
      <c r="G46" s="38" t="s">
        <v>873</v>
      </c>
      <c r="H46" s="38" t="s">
        <v>874</v>
      </c>
      <c r="I46" s="38" t="s">
        <v>875</v>
      </c>
      <c r="J46" s="38" t="s">
        <v>876</v>
      </c>
      <c r="K46" s="38" t="s">
        <v>877</v>
      </c>
      <c r="L46" s="38" t="s">
        <v>878</v>
      </c>
      <c r="M46" s="38" t="s">
        <v>879</v>
      </c>
      <c r="N46" s="38" t="s">
        <v>880</v>
      </c>
      <c r="O46" s="38" t="s">
        <v>881</v>
      </c>
      <c r="P46" s="38" t="s">
        <v>882</v>
      </c>
      <c r="Q46" s="38" t="s">
        <v>883</v>
      </c>
      <c r="R46" s="38" t="s">
        <v>884</v>
      </c>
      <c r="S46" s="38" t="s">
        <v>1031</v>
      </c>
      <c r="T46" s="38" t="s">
        <v>964</v>
      </c>
    </row>
    <row r="47" spans="2:21" ht="14.25" customHeight="1" x14ac:dyDescent="0.15">
      <c r="B47" s="75" t="s">
        <v>1002</v>
      </c>
      <c r="C47" s="234">
        <f>SUMIFS('caseload data'!E:E,'caseload data'!$D:$D,"PO",'caseload data'!$C:$C,$B$6, 'caseload data'!$B:$B, "community")</f>
        <v>0</v>
      </c>
      <c r="D47" s="234">
        <f>SUMIFS('caseload data'!F:F,'caseload data'!$D:$D,"PO",'caseload data'!$C:$C,$B$6, 'caseload data'!$B:$B, "community")</f>
        <v>0</v>
      </c>
      <c r="E47" s="234">
        <f>SUMIFS('caseload data'!G:G,'caseload data'!$D:$D,"PO",'caseload data'!$C:$C,$B$6, 'caseload data'!$B:$B, "community")</f>
        <v>0</v>
      </c>
      <c r="F47" s="234">
        <f>SUMIFS('caseload data'!H:H,'caseload data'!$D:$D,"PO",'caseload data'!$C:$C,$B$6, 'caseload data'!$B:$B, "community")</f>
        <v>0</v>
      </c>
      <c r="G47" s="234">
        <f>SUMIFS('caseload data'!I:I,'caseload data'!$D:$D,"PO",'caseload data'!$C:$C,$B$6, 'caseload data'!$B:$B, "community")</f>
        <v>0</v>
      </c>
      <c r="H47" s="234">
        <f>SUMIFS('caseload data'!J:J,'caseload data'!$D:$D,"PO",'caseload data'!$C:$C,$B$6, 'caseload data'!$B:$B, "community")</f>
        <v>0</v>
      </c>
      <c r="I47" s="234">
        <f>SUMIFS('caseload data'!K:K,'caseload data'!$D:$D,"PO",'caseload data'!$C:$C,$B$6, 'caseload data'!$B:$B, "community")</f>
        <v>0</v>
      </c>
      <c r="J47" s="234">
        <f>SUMIFS('caseload data'!L:L,'caseload data'!$D:$D,"PO",'caseload data'!$C:$C,$B$6, 'caseload data'!$B:$B, "community")</f>
        <v>0</v>
      </c>
      <c r="K47" s="234">
        <f>SUMIFS('caseload data'!M:M,'caseload data'!$D:$D,"PO",'caseload data'!$C:$C,$B$6, 'caseload data'!$B:$B, "community")</f>
        <v>0</v>
      </c>
      <c r="L47" s="234">
        <f>SUMIFS('caseload data'!N:N,'caseload data'!$D:$D,"PO",'caseload data'!$C:$C,$B$6, 'caseload data'!$B:$B, "community")</f>
        <v>0</v>
      </c>
      <c r="M47" s="234">
        <f>SUMIFS('caseload data'!O:O,'caseload data'!$D:$D,"PO",'caseload data'!$C:$C,$B$6, 'caseload data'!$B:$B, "community")</f>
        <v>0</v>
      </c>
      <c r="N47" s="234">
        <f>SUMIFS('caseload data'!P:P,'caseload data'!$D:$D,"PO",'caseload data'!$C:$C,$B$6, 'caseload data'!$B:$B, "community")</f>
        <v>0</v>
      </c>
      <c r="O47" s="234">
        <f>SUMIFS('caseload data'!Q:Q,'caseload data'!$D:$D,"PO",'caseload data'!$C:$C,$B$6, 'caseload data'!$B:$B, "community")</f>
        <v>0</v>
      </c>
      <c r="P47" s="234">
        <f>SUMIFS('caseload data'!R:R,'caseload data'!$D:$D,"PO",'caseload data'!$C:$C,$B$6, 'caseload data'!$B:$B, "community")</f>
        <v>0</v>
      </c>
      <c r="Q47" s="234">
        <f>SUMIFS('caseload data'!S:S,'caseload data'!$D:$D,"PO",'caseload data'!$C:$C,$B$6, 'caseload data'!$B:$B, "community")</f>
        <v>0</v>
      </c>
      <c r="R47" s="234">
        <f>SUMIFS('caseload data'!T:T,'caseload data'!$D:$D,"PO",'caseload data'!$C:$C,$B$6, 'caseload data'!$B:$B, "community")</f>
        <v>0</v>
      </c>
      <c r="S47" s="234">
        <f>SUMIFS('caseload data'!U:U,'caseload data'!$D:$D,"PO",'caseload data'!$C:$C,$B$6, 'caseload data'!$B:$B, "community")</f>
        <v>0</v>
      </c>
      <c r="T47" s="234">
        <f t="shared" si="4"/>
        <v>0</v>
      </c>
    </row>
    <row r="48" spans="2:21" ht="14.25" customHeight="1" x14ac:dyDescent="0.15">
      <c r="B48" s="75" t="s">
        <v>1007</v>
      </c>
      <c r="C48" s="234">
        <f>SUMIFS('caseload data'!E:E,'caseload data'!$D:$D,"PSO",'caseload data'!$C:$C,$B$6, 'caseload data'!$B:$B, "community")</f>
        <v>0</v>
      </c>
      <c r="D48" s="234">
        <f>SUMIFS('caseload data'!F:F,'caseload data'!$D:$D,"PSO",'caseload data'!$C:$C,$B$6, 'caseload data'!$B:$B, "community")</f>
        <v>0</v>
      </c>
      <c r="E48" s="234">
        <f>SUMIFS('caseload data'!G:G,'caseload data'!$D:$D,"PSO",'caseload data'!$C:$C,$B$6, 'caseload data'!$B:$B, "community")</f>
        <v>0</v>
      </c>
      <c r="F48" s="234">
        <f>SUMIFS('caseload data'!H:H,'caseload data'!$D:$D,"PSO",'caseload data'!$C:$C,$B$6, 'caseload data'!$B:$B, "community")</f>
        <v>0</v>
      </c>
      <c r="G48" s="234">
        <f>SUMIFS('caseload data'!I:I,'caseload data'!$D:$D,"PSO",'caseload data'!$C:$C,$B$6, 'caseload data'!$B:$B, "community")</f>
        <v>0</v>
      </c>
      <c r="H48" s="234">
        <f>SUMIFS('caseload data'!J:J,'caseload data'!$D:$D,"PSO",'caseload data'!$C:$C,$B$6, 'caseload data'!$B:$B, "community")</f>
        <v>0</v>
      </c>
      <c r="I48" s="234">
        <f>SUMIFS('caseload data'!K:K,'caseload data'!$D:$D,"PSO",'caseload data'!$C:$C,$B$6, 'caseload data'!$B:$B, "community")</f>
        <v>0</v>
      </c>
      <c r="J48" s="234">
        <f>SUMIFS('caseload data'!L:L,'caseload data'!$D:$D,"PSO",'caseload data'!$C:$C,$B$6, 'caseload data'!$B:$B, "community")</f>
        <v>0</v>
      </c>
      <c r="K48" s="234">
        <f>SUMIFS('caseload data'!M:M,'caseload data'!$D:$D,"PSO",'caseload data'!$C:$C,$B$6, 'caseload data'!$B:$B, "community")</f>
        <v>0</v>
      </c>
      <c r="L48" s="234">
        <f>SUMIFS('caseload data'!N:N,'caseload data'!$D:$D,"PSO",'caseload data'!$C:$C,$B$6, 'caseload data'!$B:$B, "community")</f>
        <v>0</v>
      </c>
      <c r="M48" s="234">
        <f>SUMIFS('caseload data'!O:O,'caseload data'!$D:$D,"PSO",'caseload data'!$C:$C,$B$6, 'caseload data'!$B:$B, "community")</f>
        <v>0</v>
      </c>
      <c r="N48" s="234">
        <f>SUMIFS('caseload data'!P:P,'caseload data'!$D:$D,"PSO",'caseload data'!$C:$C,$B$6, 'caseload data'!$B:$B, "community")</f>
        <v>0</v>
      </c>
      <c r="O48" s="234">
        <f>SUMIFS('caseload data'!Q:Q,'caseload data'!$D:$D,"PSO",'caseload data'!$C:$C,$B$6, 'caseload data'!$B:$B, "community")</f>
        <v>0</v>
      </c>
      <c r="P48" s="234">
        <f>SUMIFS('caseload data'!R:R,'caseload data'!$D:$D,"PSO",'caseload data'!$C:$C,$B$6, 'caseload data'!$B:$B, "community")</f>
        <v>0</v>
      </c>
      <c r="Q48" s="234">
        <f>SUMIFS('caseload data'!S:S,'caseload data'!$D:$D,"PSO",'caseload data'!$C:$C,$B$6, 'caseload data'!$B:$B, "community")</f>
        <v>0</v>
      </c>
      <c r="R48" s="234">
        <f>SUMIFS('caseload data'!T:T,'caseload data'!$D:$D,"PSO",'caseload data'!$C:$C,$B$6, 'caseload data'!$B:$B, "community")</f>
        <v>0</v>
      </c>
      <c r="S48" s="234">
        <f>SUMIFS('caseload data'!U:U,'caseload data'!$D:$D,"PSO",'caseload data'!$C:$C,$B$6, 'caseload data'!$B:$B, "community")</f>
        <v>0</v>
      </c>
      <c r="T48" s="234">
        <f t="shared" si="4"/>
        <v>0</v>
      </c>
    </row>
    <row r="49" spans="2:21" ht="14.25" customHeight="1" x14ac:dyDescent="0.15">
      <c r="B49" s="75" t="s">
        <v>1008</v>
      </c>
      <c r="C49" s="234">
        <f>SUMIFS('caseload data'!E:E,'caseload data'!$D:$D,"TPO",'caseload data'!$C:$C,$B$6, 'caseload data'!$B:$B, "community")</f>
        <v>0</v>
      </c>
      <c r="D49" s="234">
        <f>SUMIFS('caseload data'!F:F,'caseload data'!$D:$D,"TPO",'caseload data'!$C:$C,$B$6, 'caseload data'!$B:$B, "community")</f>
        <v>0</v>
      </c>
      <c r="E49" s="234">
        <f>SUMIFS('caseload data'!G:G,'caseload data'!$D:$D,"TPO",'caseload data'!$C:$C,$B$6, 'caseload data'!$B:$B, "community")</f>
        <v>0</v>
      </c>
      <c r="F49" s="234">
        <f>SUMIFS('caseload data'!H:H,'caseload data'!$D:$D,"TPO",'caseload data'!$C:$C,$B$6, 'caseload data'!$B:$B, "community")</f>
        <v>0</v>
      </c>
      <c r="G49" s="234">
        <f>SUMIFS('caseload data'!I:I,'caseload data'!$D:$D,"TPO",'caseload data'!$C:$C,$B$6, 'caseload data'!$B:$B, "community")</f>
        <v>0</v>
      </c>
      <c r="H49" s="234">
        <f>SUMIFS('caseload data'!J:J,'caseload data'!$D:$D,"TPO",'caseload data'!$C:$C,$B$6, 'caseload data'!$B:$B, "community")</f>
        <v>0</v>
      </c>
      <c r="I49" s="234">
        <f>SUMIFS('caseload data'!K:K,'caseload data'!$D:$D,"TPO",'caseload data'!$C:$C,$B$6, 'caseload data'!$B:$B, "community")</f>
        <v>0</v>
      </c>
      <c r="J49" s="234">
        <f>SUMIFS('caseload data'!L:L,'caseload data'!$D:$D,"TPO",'caseload data'!$C:$C,$B$6, 'caseload data'!$B:$B, "community")</f>
        <v>0</v>
      </c>
      <c r="K49" s="234">
        <f>SUMIFS('caseload data'!M:M,'caseload data'!$D:$D,"TPO",'caseload data'!$C:$C,$B$6, 'caseload data'!$B:$B, "community")</f>
        <v>0</v>
      </c>
      <c r="L49" s="234">
        <f>SUMIFS('caseload data'!N:N,'caseload data'!$D:$D,"TPO",'caseload data'!$C:$C,$B$6, 'caseload data'!$B:$B, "community")</f>
        <v>0</v>
      </c>
      <c r="M49" s="234">
        <f>SUMIFS('caseload data'!O:O,'caseload data'!$D:$D,"TPO",'caseload data'!$C:$C,$B$6, 'caseload data'!$B:$B, "community")</f>
        <v>0</v>
      </c>
      <c r="N49" s="234">
        <f>SUMIFS('caseload data'!P:P,'caseload data'!$D:$D,"TPO",'caseload data'!$C:$C,$B$6, 'caseload data'!$B:$B, "community")</f>
        <v>0</v>
      </c>
      <c r="O49" s="234">
        <f>SUMIFS('caseload data'!Q:Q,'caseload data'!$D:$D,"TPO",'caseload data'!$C:$C,$B$6, 'caseload data'!$B:$B, "community")</f>
        <v>0</v>
      </c>
      <c r="P49" s="234">
        <f>SUMIFS('caseload data'!R:R,'caseload data'!$D:$D,"TPO",'caseload data'!$C:$C,$B$6, 'caseload data'!$B:$B, "community")</f>
        <v>0</v>
      </c>
      <c r="Q49" s="234">
        <f>SUMIFS('caseload data'!S:S,'caseload data'!$D:$D,"TPO",'caseload data'!$C:$C,$B$6, 'caseload data'!$B:$B, "community")</f>
        <v>0</v>
      </c>
      <c r="R49" s="234">
        <f>SUMIFS('caseload data'!T:T,'caseload data'!$D:$D,"TPO",'caseload data'!$C:$C,$B$6, 'caseload data'!$B:$B, "community")</f>
        <v>0</v>
      </c>
      <c r="S49" s="234">
        <f>SUMIFS('caseload data'!U:U,'caseload data'!$D:$D,"TPO",'caseload data'!$C:$C,$B$6, 'caseload data'!$B:$B, "community")</f>
        <v>0</v>
      </c>
      <c r="T49" s="234">
        <f t="shared" si="4"/>
        <v>0</v>
      </c>
    </row>
    <row r="50" spans="2:21" ht="14.25" customHeight="1" x14ac:dyDescent="0.15">
      <c r="B50" s="75" t="s">
        <v>1009</v>
      </c>
      <c r="C50" s="234">
        <f>SUMIFS('caseload data'!E:E,'caseload data'!$D:$D,"SPO",'caseload data'!$C:$C,$B$6, 'caseload data'!$B:$B, "community")</f>
        <v>0</v>
      </c>
      <c r="D50" s="234">
        <f>SUMIFS('caseload data'!F:F,'caseload data'!$D:$D,"SPO",'caseload data'!$C:$C,$B$6, 'caseload data'!$B:$B, "community")</f>
        <v>0</v>
      </c>
      <c r="E50" s="234">
        <f>SUMIFS('caseload data'!G:G,'caseload data'!$D:$D,"SPO",'caseload data'!$C:$C,$B$6, 'caseload data'!$B:$B, "community")</f>
        <v>0</v>
      </c>
      <c r="F50" s="234">
        <f>SUMIFS('caseload data'!H:H,'caseload data'!$D:$D,"SPO",'caseload data'!$C:$C,$B$6, 'caseload data'!$B:$B, "community")</f>
        <v>0</v>
      </c>
      <c r="G50" s="234">
        <f>SUMIFS('caseload data'!I:I,'caseload data'!$D:$D,"SPO",'caseload data'!$C:$C,$B$6, 'caseload data'!$B:$B, "community")</f>
        <v>0</v>
      </c>
      <c r="H50" s="234">
        <f>SUMIFS('caseload data'!J:J,'caseload data'!$D:$D,"SPO",'caseload data'!$C:$C,$B$6, 'caseload data'!$B:$B, "community")</f>
        <v>0</v>
      </c>
      <c r="I50" s="234">
        <f>SUMIFS('caseload data'!K:K,'caseload data'!$D:$D,"SPO",'caseload data'!$C:$C,$B$6, 'caseload data'!$B:$B, "community")</f>
        <v>0</v>
      </c>
      <c r="J50" s="234">
        <f>SUMIFS('caseload data'!L:L,'caseload data'!$D:$D,"SPO",'caseload data'!$C:$C,$B$6, 'caseload data'!$B:$B, "community")</f>
        <v>0</v>
      </c>
      <c r="K50" s="234">
        <f>SUMIFS('caseload data'!M:M,'caseload data'!$D:$D,"SPO",'caseload data'!$C:$C,$B$6, 'caseload data'!$B:$B, "community")</f>
        <v>0</v>
      </c>
      <c r="L50" s="234">
        <f>SUMIFS('caseload data'!N:N,'caseload data'!$D:$D,"SPO",'caseload data'!$C:$C,$B$6, 'caseload data'!$B:$B, "community")</f>
        <v>0</v>
      </c>
      <c r="M50" s="234">
        <f>SUMIFS('caseload data'!O:O,'caseload data'!$D:$D,"SPO",'caseload data'!$C:$C,$B$6, 'caseload data'!$B:$B, "community")</f>
        <v>0</v>
      </c>
      <c r="N50" s="234">
        <f>SUMIFS('caseload data'!P:P,'caseload data'!$D:$D,"SPO",'caseload data'!$C:$C,$B$6, 'caseload data'!$B:$B, "community")</f>
        <v>0</v>
      </c>
      <c r="O50" s="234">
        <f>SUMIFS('caseload data'!Q:Q,'caseload data'!$D:$D,"SPO",'caseload data'!$C:$C,$B$6, 'caseload data'!$B:$B, "community")</f>
        <v>0</v>
      </c>
      <c r="P50" s="234">
        <f>SUMIFS('caseload data'!R:R,'caseload data'!$D:$D,"SPO",'caseload data'!$C:$C,$B$6, 'caseload data'!$B:$B, "community")</f>
        <v>0</v>
      </c>
      <c r="Q50" s="234">
        <f>SUMIFS('caseload data'!S:S,'caseload data'!$D:$D,"SPO",'caseload data'!$C:$C,$B$6, 'caseload data'!$B:$B, "community")</f>
        <v>0</v>
      </c>
      <c r="R50" s="234">
        <f>SUMIFS('caseload data'!T:T,'caseload data'!$D:$D,"SPO",'caseload data'!$C:$C,$B$6, 'caseload data'!$B:$B, "community")</f>
        <v>0</v>
      </c>
      <c r="S50" s="234">
        <f>SUMIFS('caseload data'!U:U,'caseload data'!$D:$D,"SPO",'caseload data'!$C:$C,$B$6, 'caseload data'!$B:$B, "community")</f>
        <v>0</v>
      </c>
      <c r="T50" s="234">
        <f>SUM(C50:S50)</f>
        <v>0</v>
      </c>
      <c r="U50" s="239"/>
    </row>
    <row r="51" spans="2:21" ht="14.25" customHeight="1" x14ac:dyDescent="0.15">
      <c r="B51" s="75" t="s">
        <v>1344</v>
      </c>
      <c r="C51" s="234">
        <f>SUMIFS('caseload data'!E:E,'caseload data'!$D:$D,"DMY",'caseload data'!$C:$C,$B$6, 'caseload data'!$B:$B, "community")</f>
        <v>0</v>
      </c>
      <c r="D51" s="234">
        <f>SUMIFS('caseload data'!F:F,'caseload data'!$D:$D,"DMY",'caseload data'!$C:$C,$B$6, 'caseload data'!$B:$B, "community")</f>
        <v>0</v>
      </c>
      <c r="E51" s="234">
        <f>SUMIFS('caseload data'!G:G,'caseload data'!$D:$D,"DMY",'caseload data'!$C:$C,$B$6, 'caseload data'!$B:$B, "community")</f>
        <v>0</v>
      </c>
      <c r="F51" s="234">
        <f>SUMIFS('caseload data'!H:H,'caseload data'!$D:$D,"DMY",'caseload data'!$C:$C,$B$6, 'caseload data'!$B:$B, "community")</f>
        <v>0</v>
      </c>
      <c r="G51" s="234">
        <f>SUMIFS('caseload data'!I:I,'caseload data'!$D:$D,"DMY",'caseload data'!$C:$C,$B$6, 'caseload data'!$B:$B, "community")</f>
        <v>0</v>
      </c>
      <c r="H51" s="234">
        <f>SUMIFS('caseload data'!J:J,'caseload data'!$D:$D,"DMY",'caseload data'!$C:$C,$B$6, 'caseload data'!$B:$B, "community")</f>
        <v>0</v>
      </c>
      <c r="I51" s="234">
        <f>SUMIFS('caseload data'!K:K,'caseload data'!$D:$D,"DMY",'caseload data'!$C:$C,$B$6, 'caseload data'!$B:$B, "community")</f>
        <v>0</v>
      </c>
      <c r="J51" s="234">
        <f>SUMIFS('caseload data'!L:L,'caseload data'!$D:$D,"DMY",'caseload data'!$C:$C,$B$6, 'caseload data'!$B:$B, "community")</f>
        <v>0</v>
      </c>
      <c r="K51" s="234">
        <f>SUMIFS('caseload data'!M:M,'caseload data'!$D:$D,"DMY",'caseload data'!$C:$C,$B$6, 'caseload data'!$B:$B, "community")</f>
        <v>0</v>
      </c>
      <c r="L51" s="234">
        <f>SUMIFS('caseload data'!N:N,'caseload data'!$D:$D,"DMY",'caseload data'!$C:$C,$B$6, 'caseload data'!$B:$B, "community")</f>
        <v>0</v>
      </c>
      <c r="M51" s="234">
        <f>SUMIFS('caseload data'!O:O,'caseload data'!$D:$D,"DMY",'caseload data'!$C:$C,$B$6, 'caseload data'!$B:$B, "community")</f>
        <v>0</v>
      </c>
      <c r="N51" s="234">
        <f>SUMIFS('caseload data'!P:P,'caseload data'!$D:$D,"DMY",'caseload data'!$C:$C,$B$6, 'caseload data'!$B:$B, "community")</f>
        <v>0</v>
      </c>
      <c r="O51" s="234">
        <f>SUMIFS('caseload data'!Q:Q,'caseload data'!$D:$D,"DMY",'caseload data'!$C:$C,$B$6, 'caseload data'!$B:$B, "community")</f>
        <v>0</v>
      </c>
      <c r="P51" s="234">
        <f>SUMIFS('caseload data'!R:R,'caseload data'!$D:$D,"DMY",'caseload data'!$C:$C,$B$6, 'caseload data'!$B:$B, "community")</f>
        <v>0</v>
      </c>
      <c r="Q51" s="234">
        <f>SUMIFS('caseload data'!S:S,'caseload data'!$D:$D,"DMY",'caseload data'!$C:$C,$B$6, 'caseload data'!$B:$B, "community")</f>
        <v>0</v>
      </c>
      <c r="R51" s="234">
        <f>SUMIFS('caseload data'!T:T,'caseload data'!$D:$D,"DMY",'caseload data'!$C:$C,$B$6, 'caseload data'!$B:$B, "community")</f>
        <v>0</v>
      </c>
      <c r="S51" s="234">
        <f>SUMIFS('caseload data'!U:U,'caseload data'!$D:$D,"DMY",'caseload data'!$C:$C,$B$6, 'caseload data'!$B:$B, "community")</f>
        <v>0</v>
      </c>
      <c r="T51" s="234">
        <f>SUM(C51:S51)</f>
        <v>0</v>
      </c>
    </row>
    <row r="52" spans="2:21" ht="14.25" customHeight="1" x14ac:dyDescent="0.15">
      <c r="B52" s="171"/>
      <c r="C52" s="171"/>
      <c r="D52" s="171"/>
      <c r="E52" s="171"/>
      <c r="F52" s="171"/>
      <c r="G52" s="171"/>
      <c r="H52" s="171"/>
      <c r="I52" s="171"/>
      <c r="J52" s="171"/>
      <c r="K52" s="171"/>
      <c r="L52" s="171"/>
      <c r="M52" s="171"/>
      <c r="N52" s="171"/>
      <c r="O52" s="171"/>
      <c r="P52" s="171"/>
      <c r="Q52" s="171"/>
      <c r="R52" s="171"/>
      <c r="T52" s="239"/>
    </row>
    <row r="53" spans="2:21" ht="44.25" customHeight="1" x14ac:dyDescent="0.15">
      <c r="B53" s="301" t="str">
        <f>$B$6</f>
        <v>Hackney and City</v>
      </c>
      <c r="C53" s="435" t="s">
        <v>1033</v>
      </c>
      <c r="D53" s="431"/>
      <c r="E53" s="431"/>
      <c r="F53" s="431"/>
      <c r="G53" s="431"/>
      <c r="H53" s="431"/>
      <c r="I53" s="431"/>
      <c r="J53" s="431"/>
      <c r="K53" s="431"/>
      <c r="L53" s="431"/>
      <c r="M53" s="431"/>
      <c r="N53" s="431"/>
      <c r="O53" s="431"/>
      <c r="P53" s="431"/>
      <c r="Q53" s="431"/>
      <c r="R53" s="431"/>
      <c r="S53" s="431"/>
      <c r="T53" s="431"/>
    </row>
    <row r="54" spans="2:21" ht="21.75" customHeight="1" x14ac:dyDescent="0.15">
      <c r="B54" s="95" t="s">
        <v>1006</v>
      </c>
      <c r="C54" s="38" t="s">
        <v>869</v>
      </c>
      <c r="D54" s="38" t="s">
        <v>870</v>
      </c>
      <c r="E54" s="38" t="s">
        <v>871</v>
      </c>
      <c r="F54" s="38" t="s">
        <v>872</v>
      </c>
      <c r="G54" s="38" t="s">
        <v>873</v>
      </c>
      <c r="H54" s="38" t="s">
        <v>874</v>
      </c>
      <c r="I54" s="38" t="s">
        <v>875</v>
      </c>
      <c r="J54" s="38" t="s">
        <v>876</v>
      </c>
      <c r="K54" s="38" t="s">
        <v>877</v>
      </c>
      <c r="L54" s="38" t="s">
        <v>878</v>
      </c>
      <c r="M54" s="38" t="s">
        <v>879</v>
      </c>
      <c r="N54" s="38" t="s">
        <v>880</v>
      </c>
      <c r="O54" s="38" t="s">
        <v>881</v>
      </c>
      <c r="P54" s="38" t="s">
        <v>882</v>
      </c>
      <c r="Q54" s="38" t="s">
        <v>883</v>
      </c>
      <c r="R54" s="38" t="s">
        <v>884</v>
      </c>
      <c r="S54" s="38" t="s">
        <v>1031</v>
      </c>
      <c r="T54" s="38" t="s">
        <v>964</v>
      </c>
    </row>
    <row r="55" spans="2:21" ht="14.25" customHeight="1" x14ac:dyDescent="0.15">
      <c r="B55" s="75" t="s">
        <v>1002</v>
      </c>
      <c r="C55" s="234">
        <f>SUMIFS('caseload data'!E:E,'caseload data'!$D:$D,"PO",'caseload data'!$C:$C,$B$6, 'caseload data'!$B:$B, "licence")</f>
        <v>0</v>
      </c>
      <c r="D55" s="234">
        <f>SUMIFS('caseload data'!F:F,'caseload data'!$D:$D,"PO",'caseload data'!$C:$C,$B$6, 'caseload data'!$B:$B, "licence")</f>
        <v>0</v>
      </c>
      <c r="E55" s="234">
        <f>SUMIFS('caseload data'!G:G,'caseload data'!$D:$D,"PO",'caseload data'!$C:$C,$B$6, 'caseload data'!$B:$B, "licence")</f>
        <v>0</v>
      </c>
      <c r="F55" s="234">
        <f>SUMIFS('caseload data'!H:H,'caseload data'!$D:$D,"PO",'caseload data'!$C:$C,$B$6, 'caseload data'!$B:$B, "licence")</f>
        <v>0</v>
      </c>
      <c r="G55" s="234">
        <f>SUMIFS('caseload data'!I:I,'caseload data'!$D:$D,"PO",'caseload data'!$C:$C,$B$6, 'caseload data'!$B:$B, "licence")</f>
        <v>0</v>
      </c>
      <c r="H55" s="234">
        <f>SUMIFS('caseload data'!J:J,'caseload data'!$D:$D,"PO",'caseload data'!$C:$C,$B$6, 'caseload data'!$B:$B, "licence")</f>
        <v>0</v>
      </c>
      <c r="I55" s="234">
        <f>SUMIFS('caseload data'!K:K,'caseload data'!$D:$D,"PO",'caseload data'!$C:$C,$B$6, 'caseload data'!$B:$B, "licence")</f>
        <v>0</v>
      </c>
      <c r="J55" s="234">
        <f>SUMIFS('caseload data'!L:L,'caseload data'!$D:$D,"PO",'caseload data'!$C:$C,$B$6, 'caseload data'!$B:$B, "licence")</f>
        <v>0</v>
      </c>
      <c r="K55" s="234">
        <f>SUMIFS('caseload data'!M:M,'caseload data'!$D:$D,"PO",'caseload data'!$C:$C,$B$6, 'caseload data'!$B:$B, "licence")</f>
        <v>0</v>
      </c>
      <c r="L55" s="234">
        <f>SUMIFS('caseload data'!N:N,'caseload data'!$D:$D,"PO",'caseload data'!$C:$C,$B$6, 'caseload data'!$B:$B, "licence")</f>
        <v>0</v>
      </c>
      <c r="M55" s="234">
        <f>SUMIFS('caseload data'!O:O,'caseload data'!$D:$D,"PO",'caseload data'!$C:$C,$B$6, 'caseload data'!$B:$B, "licence")</f>
        <v>0</v>
      </c>
      <c r="N55" s="234">
        <f>SUMIFS('caseload data'!P:P,'caseload data'!$D:$D,"PO",'caseload data'!$C:$C,$B$6, 'caseload data'!$B:$B, "licence")</f>
        <v>0</v>
      </c>
      <c r="O55" s="234">
        <f>SUMIFS('caseload data'!Q:Q,'caseload data'!$D:$D,"PO",'caseload data'!$C:$C,$B$6, 'caseload data'!$B:$B, "licence")</f>
        <v>0</v>
      </c>
      <c r="P55" s="234">
        <f>SUMIFS('caseload data'!R:R,'caseload data'!$D:$D,"PO",'caseload data'!$C:$C,$B$6, 'caseload data'!$B:$B, "licence")</f>
        <v>0</v>
      </c>
      <c r="Q55" s="234">
        <f>SUMIFS('caseload data'!S:S,'caseload data'!$D:$D,"PO",'caseload data'!$C:$C,$B$6, 'caseload data'!$B:$B, "licence")</f>
        <v>0</v>
      </c>
      <c r="R55" s="234">
        <f>SUMIFS('caseload data'!T:T,'caseload data'!$D:$D,"PO",'caseload data'!$C:$C,$B$6, 'caseload data'!$B:$B, "licence")</f>
        <v>0</v>
      </c>
      <c r="S55" s="234">
        <f>SUMIFS('caseload data'!U:U,'caseload data'!$D:$D,"PO",'caseload data'!$C:$C,$B$6, 'caseload data'!$B:$B, "licence")</f>
        <v>0</v>
      </c>
      <c r="T55" s="234">
        <f t="shared" si="4"/>
        <v>0</v>
      </c>
    </row>
    <row r="56" spans="2:21" ht="14.25" customHeight="1" x14ac:dyDescent="0.15">
      <c r="B56" s="75" t="s">
        <v>1007</v>
      </c>
      <c r="C56" s="234">
        <f>SUMIFS('caseload data'!E:E,'caseload data'!$D:$D,"PSO",'caseload data'!$C:$C,$B$6, 'caseload data'!$B:$B, "licence")</f>
        <v>0</v>
      </c>
      <c r="D56" s="234">
        <f>SUMIFS('caseload data'!F:F,'caseload data'!$D:$D,"PSO",'caseload data'!$C:$C,$B$6, 'caseload data'!$B:$B, "licence")</f>
        <v>0</v>
      </c>
      <c r="E56" s="234">
        <f>SUMIFS('caseload data'!G:G,'caseload data'!$D:$D,"PSO",'caseload data'!$C:$C,$B$6, 'caseload data'!$B:$B, "licence")</f>
        <v>0</v>
      </c>
      <c r="F56" s="234">
        <f>SUMIFS('caseload data'!H:H,'caseload data'!$D:$D,"PSO",'caseload data'!$C:$C,$B$6, 'caseload data'!$B:$B, "licence")</f>
        <v>0</v>
      </c>
      <c r="G56" s="234">
        <f>SUMIFS('caseload data'!I:I,'caseload data'!$D:$D,"PSO",'caseload data'!$C:$C,$B$6, 'caseload data'!$B:$B, "licence")</f>
        <v>0</v>
      </c>
      <c r="H56" s="234">
        <f>SUMIFS('caseload data'!J:J,'caseload data'!$D:$D,"PSO",'caseload data'!$C:$C,$B$6, 'caseload data'!$B:$B, "licence")</f>
        <v>0</v>
      </c>
      <c r="I56" s="234">
        <f>SUMIFS('caseload data'!K:K,'caseload data'!$D:$D,"PSO",'caseload data'!$C:$C,$B$6, 'caseload data'!$B:$B, "licence")</f>
        <v>0</v>
      </c>
      <c r="J56" s="234">
        <f>SUMIFS('caseload data'!L:L,'caseload data'!$D:$D,"PSO",'caseload data'!$C:$C,$B$6, 'caseload data'!$B:$B, "licence")</f>
        <v>0</v>
      </c>
      <c r="K56" s="234">
        <f>SUMIFS('caseload data'!M:M,'caseload data'!$D:$D,"PSO",'caseload data'!$C:$C,$B$6, 'caseload data'!$B:$B, "licence")</f>
        <v>0</v>
      </c>
      <c r="L56" s="234">
        <f>SUMIFS('caseload data'!N:N,'caseload data'!$D:$D,"PSO",'caseload data'!$C:$C,$B$6, 'caseload data'!$B:$B, "licence")</f>
        <v>0</v>
      </c>
      <c r="M56" s="234">
        <f>SUMIFS('caseload data'!O:O,'caseload data'!$D:$D,"PSO",'caseload data'!$C:$C,$B$6, 'caseload data'!$B:$B, "licence")</f>
        <v>0</v>
      </c>
      <c r="N56" s="234">
        <f>SUMIFS('caseload data'!P:P,'caseload data'!$D:$D,"PSO",'caseload data'!$C:$C,$B$6, 'caseload data'!$B:$B, "licence")</f>
        <v>0</v>
      </c>
      <c r="O56" s="234">
        <f>SUMIFS('caseload data'!Q:Q,'caseload data'!$D:$D,"PSO",'caseload data'!$C:$C,$B$6, 'caseload data'!$B:$B, "licence")</f>
        <v>0</v>
      </c>
      <c r="P56" s="234">
        <f>SUMIFS('caseload data'!R:R,'caseload data'!$D:$D,"PSO",'caseload data'!$C:$C,$B$6, 'caseload data'!$B:$B, "licence")</f>
        <v>0</v>
      </c>
      <c r="Q56" s="234">
        <f>SUMIFS('caseload data'!S:S,'caseload data'!$D:$D,"PSO",'caseload data'!$C:$C,$B$6, 'caseload data'!$B:$B, "licence")</f>
        <v>0</v>
      </c>
      <c r="R56" s="234">
        <f>SUMIFS('caseload data'!T:T,'caseload data'!$D:$D,"PSO",'caseload data'!$C:$C,$B$6, 'caseload data'!$B:$B, "licence")</f>
        <v>0</v>
      </c>
      <c r="S56" s="234">
        <f>SUMIFS('caseload data'!U:U,'caseload data'!$D:$D,"PSO",'caseload data'!$C:$C,$B$6, 'caseload data'!$B:$B, "licence")</f>
        <v>0</v>
      </c>
      <c r="T56" s="234">
        <f t="shared" si="4"/>
        <v>0</v>
      </c>
    </row>
    <row r="57" spans="2:21" ht="14.25" customHeight="1" x14ac:dyDescent="0.15">
      <c r="B57" s="75" t="s">
        <v>1008</v>
      </c>
      <c r="C57" s="234">
        <f>SUMIFS('caseload data'!E:E,'caseload data'!$D:$D,"TPO",'caseload data'!$C:$C,$B$6, 'caseload data'!$B:$B, "licence")</f>
        <v>0</v>
      </c>
      <c r="D57" s="234">
        <f>SUMIFS('caseload data'!F:F,'caseload data'!$D:$D,"TPO",'caseload data'!$C:$C,$B$6, 'caseload data'!$B:$B, "licence")</f>
        <v>0</v>
      </c>
      <c r="E57" s="234">
        <f>SUMIFS('caseload data'!G:G,'caseload data'!$D:$D,"TPO",'caseload data'!$C:$C,$B$6, 'caseload data'!$B:$B, "licence")</f>
        <v>0</v>
      </c>
      <c r="F57" s="234">
        <f>SUMIFS('caseload data'!H:H,'caseload data'!$D:$D,"TPO",'caseload data'!$C:$C,$B$6, 'caseload data'!$B:$B, "licence")</f>
        <v>0</v>
      </c>
      <c r="G57" s="234">
        <f>SUMIFS('caseload data'!I:I,'caseload data'!$D:$D,"TPO",'caseload data'!$C:$C,$B$6, 'caseload data'!$B:$B, "licence")</f>
        <v>0</v>
      </c>
      <c r="H57" s="234">
        <f>SUMIFS('caseload data'!J:J,'caseload data'!$D:$D,"TPO",'caseload data'!$C:$C,$B$6, 'caseload data'!$B:$B, "licence")</f>
        <v>0</v>
      </c>
      <c r="I57" s="234">
        <f>SUMIFS('caseload data'!K:K,'caseload data'!$D:$D,"TPO",'caseload data'!$C:$C,$B$6, 'caseload data'!$B:$B, "licence")</f>
        <v>0</v>
      </c>
      <c r="J57" s="234">
        <f>SUMIFS('caseload data'!L:L,'caseload data'!$D:$D,"TPO",'caseload data'!$C:$C,$B$6, 'caseload data'!$B:$B, "licence")</f>
        <v>0</v>
      </c>
      <c r="K57" s="234">
        <f>SUMIFS('caseload data'!M:M,'caseload data'!$D:$D,"TPO",'caseload data'!$C:$C,$B$6, 'caseload data'!$B:$B, "licence")</f>
        <v>0</v>
      </c>
      <c r="L57" s="234">
        <f>SUMIFS('caseload data'!N:N,'caseload data'!$D:$D,"TPO",'caseload data'!$C:$C,$B$6, 'caseload data'!$B:$B, "licence")</f>
        <v>0</v>
      </c>
      <c r="M57" s="234">
        <f>SUMIFS('caseload data'!O:O,'caseload data'!$D:$D,"TPO",'caseload data'!$C:$C,$B$6, 'caseload data'!$B:$B, "licence")</f>
        <v>0</v>
      </c>
      <c r="N57" s="234">
        <f>SUMIFS('caseload data'!P:P,'caseload data'!$D:$D,"TPO",'caseload data'!$C:$C,$B$6, 'caseload data'!$B:$B, "licence")</f>
        <v>0</v>
      </c>
      <c r="O57" s="234">
        <f>SUMIFS('caseload data'!Q:Q,'caseload data'!$D:$D,"TPO",'caseload data'!$C:$C,$B$6, 'caseload data'!$B:$B, "licence")</f>
        <v>0</v>
      </c>
      <c r="P57" s="234">
        <f>SUMIFS('caseload data'!R:R,'caseload data'!$D:$D,"TPO",'caseload data'!$C:$C,$B$6, 'caseload data'!$B:$B, "licence")</f>
        <v>0</v>
      </c>
      <c r="Q57" s="234">
        <f>SUMIFS('caseload data'!S:S,'caseload data'!$D:$D,"TPO",'caseload data'!$C:$C,$B$6, 'caseload data'!$B:$B, "licence")</f>
        <v>0</v>
      </c>
      <c r="R57" s="234">
        <f>SUMIFS('caseload data'!T:T,'caseload data'!$D:$D,"TPO",'caseload data'!$C:$C,$B$6, 'caseload data'!$B:$B, "licence")</f>
        <v>0</v>
      </c>
      <c r="S57" s="234">
        <f>SUMIFS('caseload data'!U:U,'caseload data'!$D:$D,"TPO",'caseload data'!$C:$C,$B$6, 'caseload data'!$B:$B, "licence")</f>
        <v>0</v>
      </c>
      <c r="T57" s="234">
        <f t="shared" si="4"/>
        <v>0</v>
      </c>
    </row>
    <row r="58" spans="2:21" ht="14" customHeight="1" x14ac:dyDescent="0.15">
      <c r="B58" s="75" t="s">
        <v>1009</v>
      </c>
      <c r="C58" s="234">
        <f>SUMIFS('caseload data'!E:E,'caseload data'!$D:$D,"SPO",'caseload data'!$C:$C,$B$6, 'caseload data'!$B:$B, "licence")</f>
        <v>0</v>
      </c>
      <c r="D58" s="234">
        <f>SUMIFS('caseload data'!F:F,'caseload data'!$D:$D,"SPO",'caseload data'!$C:$C,$B$6, 'caseload data'!$B:$B, "licence")</f>
        <v>0</v>
      </c>
      <c r="E58" s="234">
        <f>SUMIFS('caseload data'!G:G,'caseload data'!$D:$D,"SPO",'caseload data'!$C:$C,$B$6, 'caseload data'!$B:$B, "licence")</f>
        <v>0</v>
      </c>
      <c r="F58" s="234">
        <f>SUMIFS('caseload data'!H:H,'caseload data'!$D:$D,"SPO",'caseload data'!$C:$C,$B$6, 'caseload data'!$B:$B, "licence")</f>
        <v>0</v>
      </c>
      <c r="G58" s="234">
        <f>SUMIFS('caseload data'!I:I,'caseload data'!$D:$D,"SPO",'caseload data'!$C:$C,$B$6, 'caseload data'!$B:$B, "licence")</f>
        <v>0</v>
      </c>
      <c r="H58" s="234">
        <f>SUMIFS('caseload data'!J:J,'caseload data'!$D:$D,"SPO",'caseload data'!$C:$C,$B$6, 'caseload data'!$B:$B, "licence")</f>
        <v>0</v>
      </c>
      <c r="I58" s="234">
        <f>SUMIFS('caseload data'!K:K,'caseload data'!$D:$D,"SPO",'caseload data'!$C:$C,$B$6, 'caseload data'!$B:$B, "licence")</f>
        <v>0</v>
      </c>
      <c r="J58" s="234">
        <f>SUMIFS('caseload data'!L:L,'caseload data'!$D:$D,"SPO",'caseload data'!$C:$C,$B$6, 'caseload data'!$B:$B, "licence")</f>
        <v>0</v>
      </c>
      <c r="K58" s="234">
        <f>SUMIFS('caseload data'!M:M,'caseload data'!$D:$D,"SPO",'caseload data'!$C:$C,$B$6, 'caseload data'!$B:$B, "licence")</f>
        <v>0</v>
      </c>
      <c r="L58" s="234">
        <f>SUMIFS('caseload data'!N:N,'caseload data'!$D:$D,"SPO",'caseload data'!$C:$C,$B$6, 'caseload data'!$B:$B, "licence")</f>
        <v>0</v>
      </c>
      <c r="M58" s="234">
        <f>SUMIFS('caseload data'!O:O,'caseload data'!$D:$D,"SPO",'caseload data'!$C:$C,$B$6, 'caseload data'!$B:$B, "licence")</f>
        <v>0</v>
      </c>
      <c r="N58" s="234">
        <f>SUMIFS('caseload data'!P:P,'caseload data'!$D:$D,"SPO",'caseload data'!$C:$C,$B$6, 'caseload data'!$B:$B, "licence")</f>
        <v>0</v>
      </c>
      <c r="O58" s="234">
        <f>SUMIFS('caseload data'!Q:Q,'caseload data'!$D:$D,"SPO",'caseload data'!$C:$C,$B$6, 'caseload data'!$B:$B, "licence")</f>
        <v>0</v>
      </c>
      <c r="P58" s="234">
        <f>SUMIFS('caseload data'!R:R,'caseload data'!$D:$D,"SPO",'caseload data'!$C:$C,$B$6, 'caseload data'!$B:$B, "licence")</f>
        <v>0</v>
      </c>
      <c r="Q58" s="234">
        <f>SUMIFS('caseload data'!S:S,'caseload data'!$D:$D,"SPO",'caseload data'!$C:$C,$B$6, 'caseload data'!$B:$B, "licence")</f>
        <v>0</v>
      </c>
      <c r="R58" s="234">
        <f>SUMIFS('caseload data'!T:T,'caseload data'!$D:$D,"SPO",'caseload data'!$C:$C,$B$6, 'caseload data'!$B:$B, "licence")</f>
        <v>0</v>
      </c>
      <c r="S58" s="234">
        <f>SUMIFS('caseload data'!U:U,'caseload data'!$D:$D,"SPO",'caseload data'!$C:$C,$B$6, 'caseload data'!$B:$B, "licence")</f>
        <v>0</v>
      </c>
      <c r="T58" s="234">
        <f t="shared" si="4"/>
        <v>0</v>
      </c>
      <c r="U58" s="239"/>
    </row>
    <row r="59" spans="2:21" ht="14" customHeight="1" x14ac:dyDescent="0.15">
      <c r="B59" s="75" t="s">
        <v>1344</v>
      </c>
      <c r="C59" s="234">
        <f>SUMIFS('caseload data'!E:E,'caseload data'!$D:$D,"DMY",'caseload data'!$C:$C,$B$6, 'caseload data'!$B:$B, "licence")</f>
        <v>0</v>
      </c>
      <c r="D59" s="234">
        <f>SUMIFS('caseload data'!F:F,'caseload data'!$D:$D,"DMY",'caseload data'!$C:$C,$B$6, 'caseload data'!$B:$B, "licence")</f>
        <v>0</v>
      </c>
      <c r="E59" s="234">
        <f>SUMIFS('caseload data'!G:G,'caseload data'!$D:$D,"DMY",'caseload data'!$C:$C,$B$6, 'caseload data'!$B:$B, "licence")</f>
        <v>0</v>
      </c>
      <c r="F59" s="234">
        <f>SUMIFS('caseload data'!H:H,'caseload data'!$D:$D,"DMY",'caseload data'!$C:$C,$B$6, 'caseload data'!$B:$B, "licence")</f>
        <v>0</v>
      </c>
      <c r="G59" s="234">
        <f>SUMIFS('caseload data'!I:I,'caseload data'!$D:$D,"DMY",'caseload data'!$C:$C,$B$6, 'caseload data'!$B:$B, "licence")</f>
        <v>0</v>
      </c>
      <c r="H59" s="234">
        <f>SUMIFS('caseload data'!J:J,'caseload data'!$D:$D,"DMY",'caseload data'!$C:$C,$B$6, 'caseload data'!$B:$B, "licence")</f>
        <v>0</v>
      </c>
      <c r="I59" s="234">
        <f>SUMIFS('caseload data'!K:K,'caseload data'!$D:$D,"DMY",'caseload data'!$C:$C,$B$6, 'caseload data'!$B:$B, "licence")</f>
        <v>0</v>
      </c>
      <c r="J59" s="234">
        <f>SUMIFS('caseload data'!L:L,'caseload data'!$D:$D,"DMY",'caseload data'!$C:$C,$B$6, 'caseload data'!$B:$B, "licence")</f>
        <v>0</v>
      </c>
      <c r="K59" s="234">
        <f>SUMIFS('caseload data'!M:M,'caseload data'!$D:$D,"DMY",'caseload data'!$C:$C,$B$6, 'caseload data'!$B:$B, "licence")</f>
        <v>0</v>
      </c>
      <c r="L59" s="234">
        <f>SUMIFS('caseload data'!N:N,'caseload data'!$D:$D,"DMY",'caseload data'!$C:$C,$B$6, 'caseload data'!$B:$B, "licence")</f>
        <v>0</v>
      </c>
      <c r="M59" s="234">
        <f>SUMIFS('caseload data'!O:O,'caseload data'!$D:$D,"DMY",'caseload data'!$C:$C,$B$6, 'caseload data'!$B:$B, "licence")</f>
        <v>0</v>
      </c>
      <c r="N59" s="234">
        <f>SUMIFS('caseload data'!P:P,'caseload data'!$D:$D,"DMY",'caseload data'!$C:$C,$B$6, 'caseload data'!$B:$B, "licence")</f>
        <v>0</v>
      </c>
      <c r="O59" s="234">
        <f>SUMIFS('caseload data'!Q:Q,'caseload data'!$D:$D,"DMY",'caseload data'!$C:$C,$B$6, 'caseload data'!$B:$B, "licence")</f>
        <v>0</v>
      </c>
      <c r="P59" s="234">
        <f>SUMIFS('caseload data'!R:R,'caseload data'!$D:$D,"DMY",'caseload data'!$C:$C,$B$6, 'caseload data'!$B:$B, "licence")</f>
        <v>0</v>
      </c>
      <c r="Q59" s="234">
        <f>SUMIFS('caseload data'!S:S,'caseload data'!$D:$D,"DMY",'caseload data'!$C:$C,$B$6, 'caseload data'!$B:$B, "licence")</f>
        <v>0</v>
      </c>
      <c r="R59" s="234">
        <f>SUMIFS('caseload data'!T:T,'caseload data'!$D:$D,"DMY",'caseload data'!$C:$C,$B$6, 'caseload data'!$B:$B, "licence")</f>
        <v>0</v>
      </c>
      <c r="S59" s="234">
        <f>SUMIFS('caseload data'!U:U,'caseload data'!$D:$D,"DMY",'caseload data'!$C:$C,$B$6, 'caseload data'!$B:$B, "licence")</f>
        <v>0</v>
      </c>
      <c r="T59" s="234">
        <f t="shared" ref="T59" si="6">SUM(C59:S59)</f>
        <v>0</v>
      </c>
      <c r="U59" s="239"/>
    </row>
    <row r="60" spans="2:21" ht="14.25" customHeight="1" x14ac:dyDescent="0.15">
      <c r="B60" s="171"/>
      <c r="C60" s="171"/>
      <c r="D60" s="171"/>
      <c r="E60" s="171"/>
      <c r="F60" s="171"/>
      <c r="G60" s="171"/>
      <c r="H60" s="171"/>
      <c r="I60" s="171"/>
      <c r="J60" s="171"/>
      <c r="K60" s="171"/>
      <c r="L60" s="171"/>
      <c r="M60" s="171"/>
      <c r="N60" s="171"/>
      <c r="O60" s="171"/>
      <c r="P60" s="171"/>
      <c r="Q60" s="171"/>
      <c r="R60" s="171"/>
      <c r="S60" s="171"/>
      <c r="T60" s="239"/>
    </row>
    <row r="61" spans="2:21" ht="45" customHeight="1" x14ac:dyDescent="0.15">
      <c r="B61" s="301" t="str">
        <f>$B$6</f>
        <v>Hackney and City</v>
      </c>
      <c r="C61" s="435" t="s">
        <v>1034</v>
      </c>
      <c r="D61" s="431"/>
      <c r="E61" s="431"/>
      <c r="F61" s="431"/>
      <c r="G61" s="431"/>
      <c r="H61" s="431"/>
      <c r="I61" s="431"/>
      <c r="J61" s="431"/>
      <c r="K61" s="431"/>
      <c r="L61" s="431"/>
      <c r="M61" s="431"/>
      <c r="N61" s="431"/>
      <c r="O61" s="431"/>
      <c r="P61" s="431"/>
      <c r="Q61" s="431"/>
      <c r="R61" s="431"/>
      <c r="S61" s="431"/>
      <c r="T61" s="431"/>
    </row>
    <row r="62" spans="2:21" ht="19.5" customHeight="1" x14ac:dyDescent="0.15">
      <c r="B62" s="95" t="s">
        <v>1006</v>
      </c>
      <c r="C62" s="38" t="s">
        <v>869</v>
      </c>
      <c r="D62" s="38" t="s">
        <v>870</v>
      </c>
      <c r="E62" s="38" t="s">
        <v>871</v>
      </c>
      <c r="F62" s="38" t="s">
        <v>872</v>
      </c>
      <c r="G62" s="38" t="s">
        <v>873</v>
      </c>
      <c r="H62" s="38" t="s">
        <v>874</v>
      </c>
      <c r="I62" s="38" t="s">
        <v>875</v>
      </c>
      <c r="J62" s="38" t="s">
        <v>876</v>
      </c>
      <c r="K62" s="38" t="s">
        <v>877</v>
      </c>
      <c r="L62" s="38" t="s">
        <v>878</v>
      </c>
      <c r="M62" s="38" t="s">
        <v>879</v>
      </c>
      <c r="N62" s="38" t="s">
        <v>880</v>
      </c>
      <c r="O62" s="38" t="s">
        <v>881</v>
      </c>
      <c r="P62" s="38" t="s">
        <v>882</v>
      </c>
      <c r="Q62" s="38" t="s">
        <v>883</v>
      </c>
      <c r="R62" s="38" t="s">
        <v>884</v>
      </c>
      <c r="S62" s="38" t="s">
        <v>1031</v>
      </c>
      <c r="T62" s="38" t="s">
        <v>964</v>
      </c>
    </row>
    <row r="63" spans="2:21" ht="14.25" customHeight="1" x14ac:dyDescent="0.15">
      <c r="B63" s="75" t="s">
        <v>1002</v>
      </c>
      <c r="C63" s="234">
        <f>SUMIFS('caseload data'!E:E,'caseload data'!$D:$D,"PO",'caseload data'!$C:$C,$B$6, 'caseload data'!$B:$B, "custody")</f>
        <v>0</v>
      </c>
      <c r="D63" s="234">
        <f>SUMIFS('caseload data'!F:F,'caseload data'!$D:$D,"PO",'caseload data'!$C:$C,$B$6, 'caseload data'!$B:$B, "custody")</f>
        <v>0</v>
      </c>
      <c r="E63" s="234">
        <f>SUMIFS('caseload data'!G:G,'caseload data'!$D:$D,"PO",'caseload data'!$C:$C,$B$6, 'caseload data'!$B:$B, "custody")</f>
        <v>0</v>
      </c>
      <c r="F63" s="234">
        <f>SUMIFS('caseload data'!H:H,'caseload data'!$D:$D,"PO",'caseload data'!$C:$C,$B$6, 'caseload data'!$B:$B, "custody")</f>
        <v>0</v>
      </c>
      <c r="G63" s="234">
        <f>SUMIFS('caseload data'!I:I,'caseload data'!$D:$D,"PO",'caseload data'!$C:$C,$B$6, 'caseload data'!$B:$B, "custody")</f>
        <v>0</v>
      </c>
      <c r="H63" s="234">
        <f>SUMIFS('caseload data'!J:J,'caseload data'!$D:$D,"PO",'caseload data'!$C:$C,$B$6, 'caseload data'!$B:$B, "custody")</f>
        <v>0</v>
      </c>
      <c r="I63" s="234">
        <f>SUMIFS('caseload data'!K:K,'caseload data'!$D:$D,"PO",'caseload data'!$C:$C,$B$6, 'caseload data'!$B:$B, "custody")</f>
        <v>0</v>
      </c>
      <c r="J63" s="234">
        <f>SUMIFS('caseload data'!L:L,'caseload data'!$D:$D,"PO",'caseload data'!$C:$C,$B$6, 'caseload data'!$B:$B, "custody")</f>
        <v>0</v>
      </c>
      <c r="K63" s="234">
        <f>SUMIFS('caseload data'!M:M,'caseload data'!$D:$D,"PO",'caseload data'!$C:$C,$B$6, 'caseload data'!$B:$B, "custody")</f>
        <v>0</v>
      </c>
      <c r="L63" s="234">
        <f>SUMIFS('caseload data'!N:N,'caseload data'!$D:$D,"PO",'caseload data'!$C:$C,$B$6, 'caseload data'!$B:$B, "custody")</f>
        <v>0</v>
      </c>
      <c r="M63" s="234">
        <f>SUMIFS('caseload data'!O:O,'caseload data'!$D:$D,"PO",'caseload data'!$C:$C,$B$6, 'caseload data'!$B:$B, "custody")</f>
        <v>0</v>
      </c>
      <c r="N63" s="234">
        <f>SUMIFS('caseload data'!P:P,'caseload data'!$D:$D,"PO",'caseload data'!$C:$C,$B$6, 'caseload data'!$B:$B, "custody")</f>
        <v>0</v>
      </c>
      <c r="O63" s="234">
        <f>SUMIFS('caseload data'!Q:Q,'caseload data'!$D:$D,"PO",'caseload data'!$C:$C,$B$6, 'caseload data'!$B:$B, "custody")</f>
        <v>0</v>
      </c>
      <c r="P63" s="234">
        <f>SUMIFS('caseload data'!R:R,'caseload data'!$D:$D,"PO",'caseload data'!$C:$C,$B$6, 'caseload data'!$B:$B, "custody")</f>
        <v>0</v>
      </c>
      <c r="Q63" s="234">
        <f>SUMIFS('caseload data'!S:S,'caseload data'!$D:$D,"PO",'caseload data'!$C:$C,$B$6, 'caseload data'!$B:$B, "custody")</f>
        <v>0</v>
      </c>
      <c r="R63" s="234">
        <f>SUMIFS('caseload data'!T:T,'caseload data'!$D:$D,"PO",'caseload data'!$C:$C,$B$6, 'caseload data'!$B:$B, "custody")</f>
        <v>0</v>
      </c>
      <c r="S63" s="234">
        <f>SUMIFS('caseload data'!U:U,'caseload data'!$D:$D,"PO",'caseload data'!$C:$C,$B$6, 'caseload data'!$B:$B, "custody")</f>
        <v>0</v>
      </c>
      <c r="T63" s="234">
        <f t="shared" si="4"/>
        <v>0</v>
      </c>
    </row>
    <row r="64" spans="2:21" ht="14.25" customHeight="1" x14ac:dyDescent="0.15">
      <c r="B64" s="75" t="s">
        <v>1007</v>
      </c>
      <c r="C64" s="234">
        <f>SUMIFS('caseload data'!E:E,'caseload data'!$D:$D,"PSO",'caseload data'!$C:$C,$B$6, 'caseload data'!$B:$B, "custody")</f>
        <v>0</v>
      </c>
      <c r="D64" s="234">
        <f>SUMIFS('caseload data'!F:F,'caseload data'!$D:$D,"PSO",'caseload data'!$C:$C,$B$6, 'caseload data'!$B:$B, "custody")</f>
        <v>0</v>
      </c>
      <c r="E64" s="234">
        <f>SUMIFS('caseload data'!G:G,'caseload data'!$D:$D,"PSO",'caseload data'!$C:$C,$B$6, 'caseload data'!$B:$B, "custody")</f>
        <v>0</v>
      </c>
      <c r="F64" s="234">
        <f>SUMIFS('caseload data'!H:H,'caseload data'!$D:$D,"PSO",'caseload data'!$C:$C,$B$6, 'caseload data'!$B:$B, "custody")</f>
        <v>0</v>
      </c>
      <c r="G64" s="234">
        <f>SUMIFS('caseload data'!I:I,'caseload data'!$D:$D,"PSO",'caseload data'!$C:$C,$B$6, 'caseload data'!$B:$B, "custody")</f>
        <v>0</v>
      </c>
      <c r="H64" s="234">
        <f>SUMIFS('caseload data'!J:J,'caseload data'!$D:$D,"PSO",'caseload data'!$C:$C,$B$6, 'caseload data'!$B:$B, "custody")</f>
        <v>0</v>
      </c>
      <c r="I64" s="234">
        <f>SUMIFS('caseload data'!K:K,'caseload data'!$D:$D,"PSO",'caseload data'!$C:$C,$B$6, 'caseload data'!$B:$B, "custody")</f>
        <v>0</v>
      </c>
      <c r="J64" s="234">
        <f>SUMIFS('caseload data'!L:L,'caseload data'!$D:$D,"PSO",'caseload data'!$C:$C,$B$6, 'caseload data'!$B:$B, "custody")</f>
        <v>0</v>
      </c>
      <c r="K64" s="234">
        <f>SUMIFS('caseload data'!M:M,'caseload data'!$D:$D,"PSO",'caseload data'!$C:$C,$B$6, 'caseload data'!$B:$B, "custody")</f>
        <v>0</v>
      </c>
      <c r="L64" s="234">
        <f>SUMIFS('caseload data'!N:N,'caseload data'!$D:$D,"PSO",'caseload data'!$C:$C,$B$6, 'caseload data'!$B:$B, "custody")</f>
        <v>0</v>
      </c>
      <c r="M64" s="234">
        <f>SUMIFS('caseload data'!O:O,'caseload data'!$D:$D,"PSO",'caseload data'!$C:$C,$B$6, 'caseload data'!$B:$B, "custody")</f>
        <v>0</v>
      </c>
      <c r="N64" s="234">
        <f>SUMIFS('caseload data'!P:P,'caseload data'!$D:$D,"PSO",'caseload data'!$C:$C,$B$6, 'caseload data'!$B:$B, "custody")</f>
        <v>0</v>
      </c>
      <c r="O64" s="234">
        <f>SUMIFS('caseload data'!Q:Q,'caseload data'!$D:$D,"PSO",'caseload data'!$C:$C,$B$6, 'caseload data'!$B:$B, "custody")</f>
        <v>0</v>
      </c>
      <c r="P64" s="234">
        <f>SUMIFS('caseload data'!R:R,'caseload data'!$D:$D,"PSO",'caseload data'!$C:$C,$B$6, 'caseload data'!$B:$B, "custody")</f>
        <v>0</v>
      </c>
      <c r="Q64" s="234">
        <f>SUMIFS('caseload data'!S:S,'caseload data'!$D:$D,"PSO",'caseload data'!$C:$C,$B$6, 'caseload data'!$B:$B, "custody")</f>
        <v>0</v>
      </c>
      <c r="R64" s="234">
        <f>SUMIFS('caseload data'!T:T,'caseload data'!$D:$D,"PSO",'caseload data'!$C:$C,$B$6, 'caseload data'!$B:$B, "custody")</f>
        <v>0</v>
      </c>
      <c r="S64" s="234">
        <f>SUMIFS('caseload data'!U:U,'caseload data'!$D:$D,"PSO",'caseload data'!$C:$C,$B$6, 'caseload data'!$B:$B, "custody")</f>
        <v>0</v>
      </c>
      <c r="T64" s="234">
        <f t="shared" si="4"/>
        <v>0</v>
      </c>
    </row>
    <row r="65" spans="2:21" ht="14.25" customHeight="1" x14ac:dyDescent="0.15">
      <c r="B65" s="75" t="s">
        <v>1008</v>
      </c>
      <c r="C65" s="234">
        <f>SUMIFS('caseload data'!E:E,'caseload data'!$D:$D,"TPO",'caseload data'!$C:$C,$B$6, 'caseload data'!$B:$B, "custody")</f>
        <v>0</v>
      </c>
      <c r="D65" s="234">
        <f>SUMIFS('caseload data'!F:F,'caseload data'!$D:$D,"TPO",'caseload data'!$C:$C,$B$6, 'caseload data'!$B:$B, "custody")</f>
        <v>0</v>
      </c>
      <c r="E65" s="234">
        <f>SUMIFS('caseload data'!G:G,'caseload data'!$D:$D,"TPO",'caseload data'!$C:$C,$B$6, 'caseload data'!$B:$B, "custody")</f>
        <v>0</v>
      </c>
      <c r="F65" s="234">
        <f>SUMIFS('caseload data'!H:H,'caseload data'!$D:$D,"TPO",'caseload data'!$C:$C,$B$6, 'caseload data'!$B:$B, "custody")</f>
        <v>0</v>
      </c>
      <c r="G65" s="234">
        <f>SUMIFS('caseload data'!I:I,'caseload data'!$D:$D,"TPO",'caseload data'!$C:$C,$B$6, 'caseload data'!$B:$B, "custody")</f>
        <v>0</v>
      </c>
      <c r="H65" s="234">
        <f>SUMIFS('caseload data'!J:J,'caseload data'!$D:$D,"TPO",'caseload data'!$C:$C,$B$6, 'caseload data'!$B:$B, "custody")</f>
        <v>0</v>
      </c>
      <c r="I65" s="234">
        <f>SUMIFS('caseload data'!K:K,'caseload data'!$D:$D,"TPO",'caseload data'!$C:$C,$B$6, 'caseload data'!$B:$B, "custody")</f>
        <v>0</v>
      </c>
      <c r="J65" s="234">
        <f>SUMIFS('caseload data'!L:L,'caseload data'!$D:$D,"TPO",'caseload data'!$C:$C,$B$6, 'caseload data'!$B:$B, "custody")</f>
        <v>0</v>
      </c>
      <c r="K65" s="234">
        <f>SUMIFS('caseload data'!M:M,'caseload data'!$D:$D,"TPO",'caseload data'!$C:$C,$B$6, 'caseload data'!$B:$B, "custody")</f>
        <v>0</v>
      </c>
      <c r="L65" s="234">
        <f>SUMIFS('caseload data'!N:N,'caseload data'!$D:$D,"TPO",'caseload data'!$C:$C,$B$6, 'caseload data'!$B:$B, "custody")</f>
        <v>0</v>
      </c>
      <c r="M65" s="234">
        <f>SUMIFS('caseload data'!O:O,'caseload data'!$D:$D,"TPO",'caseload data'!$C:$C,$B$6, 'caseload data'!$B:$B, "custody")</f>
        <v>0</v>
      </c>
      <c r="N65" s="234">
        <f>SUMIFS('caseload data'!P:P,'caseload data'!$D:$D,"TPO",'caseload data'!$C:$C,$B$6, 'caseload data'!$B:$B, "custody")</f>
        <v>0</v>
      </c>
      <c r="O65" s="234">
        <f>SUMIFS('caseload data'!Q:Q,'caseload data'!$D:$D,"TPO",'caseload data'!$C:$C,$B$6, 'caseload data'!$B:$B, "custody")</f>
        <v>0</v>
      </c>
      <c r="P65" s="234">
        <f>SUMIFS('caseload data'!R:R,'caseload data'!$D:$D,"TPO",'caseload data'!$C:$C,$B$6, 'caseload data'!$B:$B, "custody")</f>
        <v>0</v>
      </c>
      <c r="Q65" s="234">
        <f>SUMIFS('caseload data'!S:S,'caseload data'!$D:$D,"TPO",'caseload data'!$C:$C,$B$6, 'caseload data'!$B:$B, "custody")</f>
        <v>0</v>
      </c>
      <c r="R65" s="234">
        <f>SUMIFS('caseload data'!T:T,'caseload data'!$D:$D,"TPO",'caseload data'!$C:$C,$B$6, 'caseload data'!$B:$B, "custody")</f>
        <v>0</v>
      </c>
      <c r="S65" s="234">
        <f>SUMIFS('caseload data'!U:U,'caseload data'!$D:$D,"TPO",'caseload data'!$C:$C,$B$6, 'caseload data'!$B:$B, "custody")</f>
        <v>0</v>
      </c>
      <c r="T65" s="234">
        <f t="shared" si="4"/>
        <v>0</v>
      </c>
    </row>
    <row r="66" spans="2:21" ht="14.25" customHeight="1" x14ac:dyDescent="0.15">
      <c r="B66" s="75" t="s">
        <v>1009</v>
      </c>
      <c r="C66" s="234">
        <f>SUMIFS('caseload data'!E:E,'caseload data'!$D:$D,"SPO",'caseload data'!$C:$C,$B$6, 'caseload data'!$B:$B, "custody")</f>
        <v>0</v>
      </c>
      <c r="D66" s="234">
        <f>SUMIFS('caseload data'!F:F,'caseload data'!$D:$D,"SPO",'caseload data'!$C:$C,$B$6, 'caseload data'!$B:$B, "custody")</f>
        <v>0</v>
      </c>
      <c r="E66" s="234">
        <f>SUMIFS('caseload data'!G:G,'caseload data'!$D:$D,"SPO",'caseload data'!$C:$C,$B$6, 'caseload data'!$B:$B, "custody")</f>
        <v>0</v>
      </c>
      <c r="F66" s="234">
        <f>SUMIFS('caseload data'!H:H,'caseload data'!$D:$D,"SPO",'caseload data'!$C:$C,$B$6, 'caseload data'!$B:$B, "custody")</f>
        <v>0</v>
      </c>
      <c r="G66" s="234">
        <f>SUMIFS('caseload data'!I:I,'caseload data'!$D:$D,"SPO",'caseload data'!$C:$C,$B$6, 'caseload data'!$B:$B, "custody")</f>
        <v>0</v>
      </c>
      <c r="H66" s="234">
        <f>SUMIFS('caseload data'!J:J,'caseload data'!$D:$D,"SPO",'caseload data'!$C:$C,$B$6, 'caseload data'!$B:$B, "custody")</f>
        <v>0</v>
      </c>
      <c r="I66" s="234">
        <f>SUMIFS('caseload data'!K:K,'caseload data'!$D:$D,"SPO",'caseload data'!$C:$C,$B$6, 'caseload data'!$B:$B, "custody")</f>
        <v>0</v>
      </c>
      <c r="J66" s="234">
        <f>SUMIFS('caseload data'!L:L,'caseload data'!$D:$D,"SPO",'caseload data'!$C:$C,$B$6, 'caseload data'!$B:$B, "custody")</f>
        <v>0</v>
      </c>
      <c r="K66" s="234">
        <f>SUMIFS('caseload data'!M:M,'caseload data'!$D:$D,"SPO",'caseload data'!$C:$C,$B$6, 'caseload data'!$B:$B, "custody")</f>
        <v>0</v>
      </c>
      <c r="L66" s="234">
        <f>SUMIFS('caseload data'!N:N,'caseload data'!$D:$D,"SPO",'caseload data'!$C:$C,$B$6, 'caseload data'!$B:$B, "custody")</f>
        <v>0</v>
      </c>
      <c r="M66" s="234">
        <f>SUMIFS('caseload data'!O:O,'caseload data'!$D:$D,"SPO",'caseload data'!$C:$C,$B$6, 'caseload data'!$B:$B, "custody")</f>
        <v>0</v>
      </c>
      <c r="N66" s="234">
        <f>SUMIFS('caseload data'!P:P,'caseload data'!$D:$D,"SPO",'caseload data'!$C:$C,$B$6, 'caseload data'!$B:$B, "custody")</f>
        <v>0</v>
      </c>
      <c r="O66" s="234">
        <f>SUMIFS('caseload data'!Q:Q,'caseload data'!$D:$D,"SPO",'caseload data'!$C:$C,$B$6, 'caseload data'!$B:$B, "custody")</f>
        <v>0</v>
      </c>
      <c r="P66" s="234">
        <f>SUMIFS('caseload data'!R:R,'caseload data'!$D:$D,"SPO",'caseload data'!$C:$C,$B$6, 'caseload data'!$B:$B, "custody")</f>
        <v>0</v>
      </c>
      <c r="Q66" s="234">
        <f>SUMIFS('caseload data'!S:S,'caseload data'!$D:$D,"SPO",'caseload data'!$C:$C,$B$6, 'caseload data'!$B:$B, "custody")</f>
        <v>0</v>
      </c>
      <c r="R66" s="234">
        <f>SUMIFS('caseload data'!T:T,'caseload data'!$D:$D,"SPO",'caseload data'!$C:$C,$B$6, 'caseload data'!$B:$B, "custody")</f>
        <v>0</v>
      </c>
      <c r="S66" s="234">
        <f>SUMIFS('caseload data'!U:U,'caseload data'!$D:$D,"SPO",'caseload data'!$C:$C,$B$6, 'caseload data'!$B:$B, "custody")</f>
        <v>0</v>
      </c>
      <c r="T66" s="234">
        <f t="shared" si="4"/>
        <v>0</v>
      </c>
      <c r="U66" s="239"/>
    </row>
    <row r="67" spans="2:21" ht="14.25" customHeight="1" x14ac:dyDescent="0.15">
      <c r="B67" s="75" t="s">
        <v>1344</v>
      </c>
      <c r="C67" s="234">
        <f>SUMIFS('caseload data'!E:E,'caseload data'!$D:$D,"DMY",'caseload data'!$C:$C,$B$6, 'caseload data'!$B:$B, "custody")</f>
        <v>0</v>
      </c>
      <c r="D67" s="234">
        <f>SUMIFS('caseload data'!F:F,'caseload data'!$D:$D,"DMY",'caseload data'!$C:$C,$B$6, 'caseload data'!$B:$B, "custody")</f>
        <v>0</v>
      </c>
      <c r="E67" s="234">
        <f>SUMIFS('caseload data'!G:G,'caseload data'!$D:$D,"DMY",'caseload data'!$C:$C,$B$6, 'caseload data'!$B:$B, "custody")</f>
        <v>0</v>
      </c>
      <c r="F67" s="234">
        <f>SUMIFS('caseload data'!H:H,'caseload data'!$D:$D,"DMY",'caseload data'!$C:$C,$B$6, 'caseload data'!$B:$B, "custody")</f>
        <v>0</v>
      </c>
      <c r="G67" s="234">
        <f>SUMIFS('caseload data'!I:I,'caseload data'!$D:$D,"DMY",'caseload data'!$C:$C,$B$6, 'caseload data'!$B:$B, "custody")</f>
        <v>0</v>
      </c>
      <c r="H67" s="234">
        <f>SUMIFS('caseload data'!J:J,'caseload data'!$D:$D,"DMY",'caseload data'!$C:$C,$B$6, 'caseload data'!$B:$B, "custody")</f>
        <v>0</v>
      </c>
      <c r="I67" s="234">
        <f>SUMIFS('caseload data'!K:K,'caseload data'!$D:$D,"DMY",'caseload data'!$C:$C,$B$6, 'caseload data'!$B:$B, "custody")</f>
        <v>0</v>
      </c>
      <c r="J67" s="234">
        <f>SUMIFS('caseload data'!L:L,'caseload data'!$D:$D,"DMY",'caseload data'!$C:$C,$B$6, 'caseload data'!$B:$B, "custody")</f>
        <v>0</v>
      </c>
      <c r="K67" s="234">
        <f>SUMIFS('caseload data'!M:M,'caseload data'!$D:$D,"DMY",'caseload data'!$C:$C,$B$6, 'caseload data'!$B:$B, "custody")</f>
        <v>0</v>
      </c>
      <c r="L67" s="234">
        <f>SUMIFS('caseload data'!N:N,'caseload data'!$D:$D,"DMY",'caseload data'!$C:$C,$B$6, 'caseload data'!$B:$B, "custody")</f>
        <v>0</v>
      </c>
      <c r="M67" s="234">
        <f>SUMIFS('caseload data'!O:O,'caseload data'!$D:$D,"DMY",'caseload data'!$C:$C,$B$6, 'caseload data'!$B:$B, "custody")</f>
        <v>0</v>
      </c>
      <c r="N67" s="234">
        <f>SUMIFS('caseload data'!P:P,'caseload data'!$D:$D,"DMY",'caseload data'!$C:$C,$B$6, 'caseload data'!$B:$B, "custody")</f>
        <v>0</v>
      </c>
      <c r="O67" s="234">
        <f>SUMIFS('caseload data'!Q:Q,'caseload data'!$D:$D,"DMY",'caseload data'!$C:$C,$B$6, 'caseload data'!$B:$B, "custody")</f>
        <v>0</v>
      </c>
      <c r="P67" s="234">
        <f>SUMIFS('caseload data'!R:R,'caseload data'!$D:$D,"DMY",'caseload data'!$C:$C,$B$6, 'caseload data'!$B:$B, "custody")</f>
        <v>0</v>
      </c>
      <c r="Q67" s="234">
        <f>SUMIFS('caseload data'!S:S,'caseload data'!$D:$D,"DMY",'caseload data'!$C:$C,$B$6, 'caseload data'!$B:$B, "custody")</f>
        <v>0</v>
      </c>
      <c r="R67" s="234">
        <f>SUMIFS('caseload data'!T:T,'caseload data'!$D:$D,"DMY",'caseload data'!$C:$C,$B$6, 'caseload data'!$B:$B, "custody")</f>
        <v>0</v>
      </c>
      <c r="S67" s="234">
        <f>SUMIFS('caseload data'!U:U,'caseload data'!$D:$D,"DMY",'caseload data'!$C:$C,$B$6, 'caseload data'!$B:$B, "custody")</f>
        <v>0</v>
      </c>
      <c r="T67" s="234">
        <f t="shared" ref="T67" si="7">SUM(C67:S67)</f>
        <v>0</v>
      </c>
      <c r="U67" s="239"/>
    </row>
    <row r="68" spans="2:21" ht="14.25" customHeight="1" x14ac:dyDescent="0.15">
      <c r="T68" s="239"/>
    </row>
    <row r="69" spans="2:21" ht="39" customHeight="1" x14ac:dyDescent="0.15">
      <c r="B69" s="301" t="str">
        <f>$B$6</f>
        <v>Hackney and City</v>
      </c>
      <c r="C69" s="435" t="s">
        <v>1035</v>
      </c>
      <c r="D69" s="431"/>
      <c r="E69" s="431"/>
      <c r="F69" s="431"/>
      <c r="G69" s="431"/>
      <c r="H69" s="431"/>
      <c r="I69" s="431"/>
      <c r="J69" s="431"/>
      <c r="K69" s="431"/>
      <c r="L69" s="431"/>
      <c r="M69" s="431"/>
      <c r="N69" s="431"/>
      <c r="O69" s="431"/>
      <c r="P69" s="431"/>
      <c r="Q69" s="431"/>
      <c r="R69" s="431"/>
      <c r="S69" s="431"/>
    </row>
    <row r="70" spans="2:21" ht="23.25" customHeight="1" x14ac:dyDescent="0.15">
      <c r="B70" s="95" t="s">
        <v>1006</v>
      </c>
      <c r="C70" s="38" t="s">
        <v>869</v>
      </c>
      <c r="D70" s="38" t="s">
        <v>870</v>
      </c>
      <c r="E70" s="38" t="s">
        <v>871</v>
      </c>
      <c r="F70" s="38" t="s">
        <v>872</v>
      </c>
      <c r="G70" s="38" t="s">
        <v>873</v>
      </c>
      <c r="H70" s="38" t="s">
        <v>874</v>
      </c>
      <c r="I70" s="38" t="s">
        <v>875</v>
      </c>
      <c r="J70" s="38" t="s">
        <v>876</v>
      </c>
      <c r="K70" s="38" t="s">
        <v>877</v>
      </c>
      <c r="L70" s="38" t="s">
        <v>878</v>
      </c>
      <c r="M70" s="38" t="s">
        <v>879</v>
      </c>
      <c r="N70" s="38" t="s">
        <v>880</v>
      </c>
      <c r="O70" s="38" t="s">
        <v>881</v>
      </c>
      <c r="P70" s="38" t="s">
        <v>882</v>
      </c>
      <c r="Q70" s="38" t="s">
        <v>883</v>
      </c>
      <c r="R70" s="38" t="s">
        <v>884</v>
      </c>
      <c r="S70" s="38" t="s">
        <v>1031</v>
      </c>
    </row>
    <row r="71" spans="2:21" x14ac:dyDescent="0.15">
      <c r="B71" s="75" t="s">
        <v>1002</v>
      </c>
      <c r="C71" s="233" t="e">
        <f>AVERAGEIFS('caseload data'!E:E,'caseload data'!$D:$D,"PO",'caseload data'!$C:$C,$B$6)</f>
        <v>#DIV/0!</v>
      </c>
      <c r="D71" s="233" t="e">
        <f>AVERAGEIFS('caseload data'!F:F,'caseload data'!$D:$D,"PO",'caseload data'!$C:$C,$B$6)</f>
        <v>#DIV/0!</v>
      </c>
      <c r="E71" s="233" t="e">
        <f>AVERAGEIFS('caseload data'!G:G,'caseload data'!$D:$D,"PO",'caseload data'!$C:$C,$B$6)</f>
        <v>#DIV/0!</v>
      </c>
      <c r="F71" s="233" t="e">
        <f>AVERAGEIFS('caseload data'!H:H,'caseload data'!$D:$D,"PO",'caseload data'!$C:$C,$B$6)</f>
        <v>#DIV/0!</v>
      </c>
      <c r="G71" s="233" t="e">
        <f>AVERAGEIFS('caseload data'!I:I,'caseload data'!$D:$D,"PO",'caseload data'!$C:$C,$B$6)</f>
        <v>#DIV/0!</v>
      </c>
      <c r="H71" s="233" t="e">
        <f>AVERAGEIFS('caseload data'!J:J,'caseload data'!$D:$D,"PO",'caseload data'!$C:$C,$B$6)</f>
        <v>#DIV/0!</v>
      </c>
      <c r="I71" s="233" t="e">
        <f>AVERAGEIFS('caseload data'!K:K,'caseload data'!$D:$D,"PO",'caseload data'!$C:$C,$B$6)</f>
        <v>#DIV/0!</v>
      </c>
      <c r="J71" s="233" t="e">
        <f>AVERAGEIFS('caseload data'!L:L,'caseload data'!$D:$D,"PO",'caseload data'!$C:$C,$B$6)</f>
        <v>#DIV/0!</v>
      </c>
      <c r="K71" s="233" t="e">
        <f>AVERAGEIFS('caseload data'!M:M,'caseload data'!$D:$D,"PO",'caseload data'!$C:$C,$B$6)</f>
        <v>#DIV/0!</v>
      </c>
      <c r="L71" s="233" t="e">
        <f>AVERAGEIFS('caseload data'!N:N,'caseload data'!$D:$D,"PO",'caseload data'!$C:$C,$B$6)</f>
        <v>#DIV/0!</v>
      </c>
      <c r="M71" s="233" t="e">
        <f>AVERAGEIFS('caseload data'!O:O,'caseload data'!$D:$D,"PO",'caseload data'!$C:$C,$B$6)</f>
        <v>#DIV/0!</v>
      </c>
      <c r="N71" s="233" t="e">
        <f>AVERAGEIFS('caseload data'!P:P,'caseload data'!$D:$D,"PO",'caseload data'!$C:$C,$B$6)</f>
        <v>#DIV/0!</v>
      </c>
      <c r="O71" s="233" t="e">
        <f>AVERAGEIFS('caseload data'!Q:Q,'caseload data'!$D:$D,"PO",'caseload data'!$C:$C,$B$6)</f>
        <v>#DIV/0!</v>
      </c>
      <c r="P71" s="233" t="e">
        <f>AVERAGEIFS('caseload data'!R:R,'caseload data'!$D:$D,"PO",'caseload data'!$C:$C,$B$6)</f>
        <v>#DIV/0!</v>
      </c>
      <c r="Q71" s="233" t="e">
        <f>AVERAGEIFS('caseload data'!S:S,'caseload data'!$D:$D,"PO",'caseload data'!$C:$C,$B$6)</f>
        <v>#DIV/0!</v>
      </c>
      <c r="R71" s="233" t="e">
        <f>AVERAGEIFS('caseload data'!T:T,'caseload data'!$D:$D,"PO",'caseload data'!$C:$C,$B$6)</f>
        <v>#DIV/0!</v>
      </c>
      <c r="S71" s="233" t="e">
        <f>AVERAGEIFS('caseload data'!U:U,'caseload data'!$D:$D,"PO",'caseload data'!$C:$C,$B$6)</f>
        <v>#DIV/0!</v>
      </c>
    </row>
    <row r="72" spans="2:21" x14ac:dyDescent="0.15">
      <c r="B72" s="75" t="s">
        <v>1007</v>
      </c>
      <c r="C72" s="233" t="e">
        <f>AVERAGEIFS('caseload data'!E:E,'caseload data'!$D:$D,"PSO",'caseload data'!$C:$C,$B$6)</f>
        <v>#DIV/0!</v>
      </c>
      <c r="D72" s="233" t="e">
        <f>AVERAGEIFS('caseload data'!F:F,'caseload data'!$D:$D,"PSO",'caseload data'!$C:$C,$B$6)</f>
        <v>#DIV/0!</v>
      </c>
      <c r="E72" s="233" t="e">
        <f>AVERAGEIFS('caseload data'!G:G,'caseload data'!$D:$D,"PSO",'caseload data'!$C:$C,$B$6)</f>
        <v>#DIV/0!</v>
      </c>
      <c r="F72" s="233" t="e">
        <f>AVERAGEIFS('caseload data'!H:H,'caseload data'!$D:$D,"PSO",'caseload data'!$C:$C,$B$6)</f>
        <v>#DIV/0!</v>
      </c>
      <c r="G72" s="233" t="e">
        <f>AVERAGEIFS('caseload data'!I:I,'caseload data'!$D:$D,"PSO",'caseload data'!$C:$C,$B$6)</f>
        <v>#DIV/0!</v>
      </c>
      <c r="H72" s="233" t="e">
        <f>AVERAGEIFS('caseload data'!J:J,'caseload data'!$D:$D,"PSO",'caseload data'!$C:$C,$B$6)</f>
        <v>#DIV/0!</v>
      </c>
      <c r="I72" s="233" t="e">
        <f>AVERAGEIFS('caseload data'!K:K,'caseload data'!$D:$D,"PSO",'caseload data'!$C:$C,$B$6)</f>
        <v>#DIV/0!</v>
      </c>
      <c r="J72" s="233" t="e">
        <f>AVERAGEIFS('caseload data'!L:L,'caseload data'!$D:$D,"PSO",'caseload data'!$C:$C,$B$6)</f>
        <v>#DIV/0!</v>
      </c>
      <c r="K72" s="233" t="e">
        <f>AVERAGEIFS('caseload data'!M:M,'caseload data'!$D:$D,"PSO",'caseload data'!$C:$C,$B$6)</f>
        <v>#DIV/0!</v>
      </c>
      <c r="L72" s="233" t="e">
        <f>AVERAGEIFS('caseload data'!N:N,'caseload data'!$D:$D,"PSO",'caseload data'!$C:$C,$B$6)</f>
        <v>#DIV/0!</v>
      </c>
      <c r="M72" s="233" t="e">
        <f>AVERAGEIFS('caseload data'!O:O,'caseload data'!$D:$D,"PSO",'caseload data'!$C:$C,$B$6)</f>
        <v>#DIV/0!</v>
      </c>
      <c r="N72" s="233" t="e">
        <f>AVERAGEIFS('caseload data'!P:P,'caseload data'!$D:$D,"PSO",'caseload data'!$C:$C,$B$6)</f>
        <v>#DIV/0!</v>
      </c>
      <c r="O72" s="233" t="e">
        <f>AVERAGEIFS('caseload data'!Q:Q,'caseload data'!$D:$D,"PSO",'caseload data'!$C:$C,$B$6)</f>
        <v>#DIV/0!</v>
      </c>
      <c r="P72" s="233" t="e">
        <f>AVERAGEIFS('caseload data'!R:R,'caseload data'!$D:$D,"PSO",'caseload data'!$C:$C,$B$6)</f>
        <v>#DIV/0!</v>
      </c>
      <c r="Q72" s="233" t="e">
        <f>AVERAGEIFS('caseload data'!S:S,'caseload data'!$D:$D,"PSO",'caseload data'!$C:$C,$B$6)</f>
        <v>#DIV/0!</v>
      </c>
      <c r="R72" s="233" t="e">
        <f>AVERAGEIFS('caseload data'!T:T,'caseload data'!$D:$D,"PSO",'caseload data'!$C:$C,$B$6)</f>
        <v>#DIV/0!</v>
      </c>
      <c r="S72" s="233" t="e">
        <f>AVERAGEIFS('caseload data'!U:U,'caseload data'!$D:$D,"PSO",'caseload data'!$C:$C,$B$6)</f>
        <v>#DIV/0!</v>
      </c>
    </row>
    <row r="73" spans="2:21" x14ac:dyDescent="0.15">
      <c r="B73" s="75" t="s">
        <v>1008</v>
      </c>
      <c r="C73" s="233" t="e">
        <f>AVERAGEIFS('caseload data'!E:E,'caseload data'!$D:$D,"TPO",'caseload data'!$C:$C,$B$6)</f>
        <v>#DIV/0!</v>
      </c>
      <c r="D73" s="233" t="e">
        <f>AVERAGEIFS('caseload data'!F:F,'caseload data'!$D:$D,"TPO",'caseload data'!$C:$C,$B$6)</f>
        <v>#DIV/0!</v>
      </c>
      <c r="E73" s="233" t="e">
        <f>AVERAGEIFS('caseload data'!G:G,'caseload data'!$D:$D,"TPO",'caseload data'!$C:$C,$B$6)</f>
        <v>#DIV/0!</v>
      </c>
      <c r="F73" s="233" t="e">
        <f>AVERAGEIFS('caseload data'!H:H,'caseload data'!$D:$D,"TPO",'caseload data'!$C:$C,$B$6)</f>
        <v>#DIV/0!</v>
      </c>
      <c r="G73" s="233" t="e">
        <f>AVERAGEIFS('caseload data'!I:I,'caseload data'!$D:$D,"TPO",'caseload data'!$C:$C,$B$6)</f>
        <v>#DIV/0!</v>
      </c>
      <c r="H73" s="233" t="e">
        <f>AVERAGEIFS('caseload data'!J:J,'caseload data'!$D:$D,"TPO",'caseload data'!$C:$C,$B$6)</f>
        <v>#DIV/0!</v>
      </c>
      <c r="I73" s="233" t="e">
        <f>AVERAGEIFS('caseload data'!K:K,'caseload data'!$D:$D,"TPO",'caseload data'!$C:$C,$B$6)</f>
        <v>#DIV/0!</v>
      </c>
      <c r="J73" s="233" t="e">
        <f>AVERAGEIFS('caseload data'!L:L,'caseload data'!$D:$D,"TPO",'caseload data'!$C:$C,$B$6)</f>
        <v>#DIV/0!</v>
      </c>
      <c r="K73" s="233" t="e">
        <f>AVERAGEIFS('caseload data'!M:M,'caseload data'!$D:$D,"TPO",'caseload data'!$C:$C,$B$6)</f>
        <v>#DIV/0!</v>
      </c>
      <c r="L73" s="233" t="e">
        <f>AVERAGEIFS('caseload data'!N:N,'caseload data'!$D:$D,"TPO",'caseload data'!$C:$C,$B$6)</f>
        <v>#DIV/0!</v>
      </c>
      <c r="M73" s="233" t="e">
        <f>AVERAGEIFS('caseload data'!O:O,'caseload data'!$D:$D,"TPO",'caseload data'!$C:$C,$B$6)</f>
        <v>#DIV/0!</v>
      </c>
      <c r="N73" s="233" t="e">
        <f>AVERAGEIFS('caseload data'!P:P,'caseload data'!$D:$D,"TPO",'caseload data'!$C:$C,$B$6)</f>
        <v>#DIV/0!</v>
      </c>
      <c r="O73" s="233" t="e">
        <f>AVERAGEIFS('caseload data'!Q:Q,'caseload data'!$D:$D,"TPO",'caseload data'!$C:$C,$B$6)</f>
        <v>#DIV/0!</v>
      </c>
      <c r="P73" s="233" t="e">
        <f>AVERAGEIFS('caseload data'!R:R,'caseload data'!$D:$D,"TPO",'caseload data'!$C:$C,$B$6)</f>
        <v>#DIV/0!</v>
      </c>
      <c r="Q73" s="233" t="e">
        <f>AVERAGEIFS('caseload data'!S:S,'caseload data'!$D:$D,"TPO",'caseload data'!$C:$C,$B$6)</f>
        <v>#DIV/0!</v>
      </c>
      <c r="R73" s="233" t="e">
        <f>AVERAGEIFS('caseload data'!T:T,'caseload data'!$D:$D,"TPO",'caseload data'!$C:$C,$B$6)</f>
        <v>#DIV/0!</v>
      </c>
      <c r="S73" s="233" t="e">
        <f>AVERAGEIFS('caseload data'!U:U,'caseload data'!$D:$D,"TPO",'caseload data'!$C:$C,$B$6)</f>
        <v>#DIV/0!</v>
      </c>
    </row>
    <row r="74" spans="2:21" x14ac:dyDescent="0.15">
      <c r="B74" s="75" t="s">
        <v>1009</v>
      </c>
      <c r="C74" s="233" t="e">
        <f>AVERAGEIFS('caseload data'!E:E,'caseload data'!$D:$D,"SPO",'caseload data'!$C:$C,$B$6)</f>
        <v>#DIV/0!</v>
      </c>
      <c r="D74" s="233" t="e">
        <f>AVERAGEIFS('caseload data'!F:F,'caseload data'!$D:$D,"SPO",'caseload data'!$C:$C,$B$6)</f>
        <v>#DIV/0!</v>
      </c>
      <c r="E74" s="233" t="e">
        <f>AVERAGEIFS('caseload data'!G:G,'caseload data'!$D:$D,"SPO",'caseload data'!$C:$C,$B$6)</f>
        <v>#DIV/0!</v>
      </c>
      <c r="F74" s="233" t="e">
        <f>AVERAGEIFS('caseload data'!H:H,'caseload data'!$D:$D,"SPO",'caseload data'!$C:$C,$B$6)</f>
        <v>#DIV/0!</v>
      </c>
      <c r="G74" s="233" t="e">
        <f>AVERAGEIFS('caseload data'!I:I,'caseload data'!$D:$D,"SPO",'caseload data'!$C:$C,$B$6)</f>
        <v>#DIV/0!</v>
      </c>
      <c r="H74" s="233" t="e">
        <f>AVERAGEIFS('caseload data'!J:J,'caseload data'!$D:$D,"SPO",'caseload data'!$C:$C,$B$6)</f>
        <v>#DIV/0!</v>
      </c>
      <c r="I74" s="233" t="e">
        <f>AVERAGEIFS('caseload data'!K:K,'caseload data'!$D:$D,"SPO",'caseload data'!$C:$C,$B$6)</f>
        <v>#DIV/0!</v>
      </c>
      <c r="J74" s="233" t="e">
        <f>AVERAGEIFS('caseload data'!L:L,'caseload data'!$D:$D,"SPO",'caseload data'!$C:$C,$B$6)</f>
        <v>#DIV/0!</v>
      </c>
      <c r="K74" s="233" t="e">
        <f>AVERAGEIFS('caseload data'!M:M,'caseload data'!$D:$D,"SPO",'caseload data'!$C:$C,$B$6)</f>
        <v>#DIV/0!</v>
      </c>
      <c r="L74" s="233" t="e">
        <f>AVERAGEIFS('caseload data'!N:N,'caseload data'!$D:$D,"SPO",'caseload data'!$C:$C,$B$6)</f>
        <v>#DIV/0!</v>
      </c>
      <c r="M74" s="233" t="e">
        <f>AVERAGEIFS('caseload data'!O:O,'caseload data'!$D:$D,"SPO",'caseload data'!$C:$C,$B$6)</f>
        <v>#DIV/0!</v>
      </c>
      <c r="N74" s="233" t="e">
        <f>AVERAGEIFS('caseload data'!P:P,'caseload data'!$D:$D,"SPO",'caseload data'!$C:$C,$B$6)</f>
        <v>#DIV/0!</v>
      </c>
      <c r="O74" s="233" t="e">
        <f>AVERAGEIFS('caseload data'!Q:Q,'caseload data'!$D:$D,"SPO",'caseload data'!$C:$C,$B$6)</f>
        <v>#DIV/0!</v>
      </c>
      <c r="P74" s="233" t="e">
        <f>AVERAGEIFS('caseload data'!R:R,'caseload data'!$D:$D,"SPO",'caseload data'!$C:$C,$B$6)</f>
        <v>#DIV/0!</v>
      </c>
      <c r="Q74" s="233" t="e">
        <f>AVERAGEIFS('caseload data'!S:S,'caseload data'!$D:$D,"SPO",'caseload data'!$C:$C,$B$6)</f>
        <v>#DIV/0!</v>
      </c>
      <c r="R74" s="233" t="e">
        <f>AVERAGEIFS('caseload data'!T:T,'caseload data'!$D:$D,"SPO",'caseload data'!$C:$C,$B$6)</f>
        <v>#DIV/0!</v>
      </c>
      <c r="S74" s="233" t="e">
        <f>AVERAGEIFS('caseload data'!U:U,'caseload data'!$D:$D,"SPO",'caseload data'!$C:$C,$B$6)</f>
        <v>#DIV/0!</v>
      </c>
    </row>
    <row r="75" spans="2:21" x14ac:dyDescent="0.15">
      <c r="B75" s="75" t="s">
        <v>1344</v>
      </c>
      <c r="C75" s="233" t="e">
        <f>AVERAGEIFS('caseload data'!E:E,'caseload data'!$D:$D,"DMY",'caseload data'!$C:$C,$B$6)</f>
        <v>#DIV/0!</v>
      </c>
      <c r="D75" s="233" t="e">
        <f>AVERAGEIFS('caseload data'!F:F,'caseload data'!$D:$D,"DMY",'caseload data'!$C:$C,$B$6)</f>
        <v>#DIV/0!</v>
      </c>
      <c r="E75" s="233" t="e">
        <f>AVERAGEIFS('caseload data'!G:G,'caseload data'!$D:$D,"DMY",'caseload data'!$C:$C,$B$6)</f>
        <v>#DIV/0!</v>
      </c>
      <c r="F75" s="233" t="e">
        <f>AVERAGEIFS('caseload data'!H:H,'caseload data'!$D:$D,"DMY",'caseload data'!$C:$C,$B$6)</f>
        <v>#DIV/0!</v>
      </c>
      <c r="G75" s="233" t="e">
        <f>AVERAGEIFS('caseload data'!I:I,'caseload data'!$D:$D,"DMY",'caseload data'!$C:$C,$B$6)</f>
        <v>#DIV/0!</v>
      </c>
      <c r="H75" s="233" t="e">
        <f>AVERAGEIFS('caseload data'!J:J,'caseload data'!$D:$D,"DMY",'caseload data'!$C:$C,$B$6)</f>
        <v>#DIV/0!</v>
      </c>
      <c r="I75" s="233" t="e">
        <f>AVERAGEIFS('caseload data'!K:K,'caseload data'!$D:$D,"DMY",'caseload data'!$C:$C,$B$6)</f>
        <v>#DIV/0!</v>
      </c>
      <c r="J75" s="233" t="e">
        <f>AVERAGEIFS('caseload data'!L:L,'caseload data'!$D:$D,"DMY",'caseload data'!$C:$C,$B$6)</f>
        <v>#DIV/0!</v>
      </c>
      <c r="K75" s="233" t="e">
        <f>AVERAGEIFS('caseload data'!M:M,'caseload data'!$D:$D,"DMY",'caseload data'!$C:$C,$B$6)</f>
        <v>#DIV/0!</v>
      </c>
      <c r="L75" s="233" t="e">
        <f>AVERAGEIFS('caseload data'!N:N,'caseload data'!$D:$D,"DMY",'caseload data'!$C:$C,$B$6)</f>
        <v>#DIV/0!</v>
      </c>
      <c r="M75" s="233" t="e">
        <f>AVERAGEIFS('caseload data'!O:O,'caseload data'!$D:$D,"DMY",'caseload data'!$C:$C,$B$6)</f>
        <v>#DIV/0!</v>
      </c>
      <c r="N75" s="233" t="e">
        <f>AVERAGEIFS('caseload data'!P:P,'caseload data'!$D:$D,"DMY",'caseload data'!$C:$C,$B$6)</f>
        <v>#DIV/0!</v>
      </c>
      <c r="O75" s="233" t="e">
        <f>AVERAGEIFS('caseload data'!Q:Q,'caseload data'!$D:$D,"DMY",'caseload data'!$C:$C,$B$6)</f>
        <v>#DIV/0!</v>
      </c>
      <c r="P75" s="233" t="e">
        <f>AVERAGEIFS('caseload data'!R:R,'caseload data'!$D:$D,"DMY",'caseload data'!$C:$C,$B$6)</f>
        <v>#DIV/0!</v>
      </c>
      <c r="Q75" s="233" t="e">
        <f>AVERAGEIFS('caseload data'!S:S,'caseload data'!$D:$D,"DMY",'caseload data'!$C:$C,$B$6)</f>
        <v>#DIV/0!</v>
      </c>
      <c r="R75" s="233" t="e">
        <f>AVERAGEIFS('caseload data'!T:T,'caseload data'!$D:$D,"DMY",'caseload data'!$C:$C,$B$6)</f>
        <v>#DIV/0!</v>
      </c>
      <c r="S75" s="233" t="e">
        <f>AVERAGEIFS('caseload data'!U:U,'caseload data'!$D:$D,"DMY",'caseload data'!$C:$C,$B$6)</f>
        <v>#DIV/0!</v>
      </c>
    </row>
  </sheetData>
  <mergeCells count="9">
    <mergeCell ref="A1:M1"/>
    <mergeCell ref="C61:T61"/>
    <mergeCell ref="C69:S69"/>
    <mergeCell ref="C37:T37"/>
    <mergeCell ref="C45:T45"/>
    <mergeCell ref="C53:T53"/>
    <mergeCell ref="A2:M2"/>
    <mergeCell ref="H9:N9"/>
    <mergeCell ref="H16:M16"/>
  </mergeCells>
  <conditionalFormatting sqref="I11:L12">
    <cfRule type="cellIs" dxfId="6102" priority="3" operator="lessThan">
      <formula>0.9</formula>
    </cfRule>
    <cfRule type="cellIs" dxfId="6101" priority="4" operator="greaterThanOrEqual">
      <formula>1.1</formula>
    </cfRule>
  </conditionalFormatting>
  <conditionalFormatting sqref="M11:M12">
    <cfRule type="cellIs" dxfId="6100" priority="2" operator="greaterThan">
      <formula>1.1</formula>
    </cfRule>
  </conditionalFormatting>
  <conditionalFormatting sqref="N11:N12">
    <cfRule type="cellIs" dxfId="6099"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topLeftCell="A43" zoomScale="85" zoomScaleNormal="85" workbookViewId="0">
      <selection activeCell="C63" sqref="C63"/>
    </sheetView>
  </sheetViews>
  <sheetFormatPr baseColWidth="10" defaultColWidth="8.83203125" defaultRowHeight="14" x14ac:dyDescent="0.15"/>
  <cols>
    <col min="2" max="2" width="46.664062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51.83203125" bestFit="1" customWidth="1"/>
  </cols>
  <sheetData>
    <row r="1" spans="1:19" ht="45.75" customHeight="1" x14ac:dyDescent="0.3">
      <c r="A1" s="429" t="s">
        <v>1044</v>
      </c>
      <c r="B1" s="429"/>
      <c r="C1" s="429"/>
      <c r="D1" s="429"/>
      <c r="E1" s="429"/>
      <c r="F1" s="429"/>
      <c r="G1" s="429"/>
      <c r="H1" s="429"/>
      <c r="I1" s="429"/>
      <c r="J1" s="429"/>
      <c r="K1" s="429"/>
      <c r="L1" s="429"/>
      <c r="M1" s="429"/>
      <c r="N1" s="279"/>
      <c r="O1" s="279"/>
      <c r="P1" s="279"/>
      <c r="Q1" s="279"/>
      <c r="R1" s="279"/>
      <c r="S1" s="279"/>
    </row>
    <row r="2" spans="1:19" ht="37.5" customHeight="1" x14ac:dyDescent="0.15">
      <c r="A2" s="424"/>
      <c r="B2" s="424"/>
      <c r="C2" s="424"/>
      <c r="D2" s="424"/>
      <c r="E2" s="424"/>
      <c r="F2" s="424"/>
      <c r="G2" s="424"/>
      <c r="H2" s="424"/>
      <c r="I2" s="424"/>
      <c r="J2" s="424"/>
      <c r="K2" s="424"/>
      <c r="L2" s="424"/>
      <c r="M2" s="424"/>
      <c r="N2" s="241"/>
      <c r="O2" s="241"/>
      <c r="P2" s="241"/>
      <c r="Q2" s="241"/>
      <c r="R2" s="241"/>
      <c r="S2" s="241"/>
    </row>
    <row r="4" spans="1:19" ht="57" customHeight="1" x14ac:dyDescent="0.15">
      <c r="B4" s="36" t="s">
        <v>1045</v>
      </c>
    </row>
    <row r="5" spans="1:19" ht="24" customHeight="1" x14ac:dyDescent="0.15">
      <c r="B5" s="54" t="s">
        <v>21</v>
      </c>
      <c r="F5" s="40"/>
    </row>
    <row r="6" spans="1:19" ht="32.25" customHeight="1" x14ac:dyDescent="0.15">
      <c r="B6" s="55" t="s">
        <v>238</v>
      </c>
    </row>
    <row r="8" spans="1:19" ht="23" x14ac:dyDescent="0.15">
      <c r="B8" s="444" t="s">
        <v>941</v>
      </c>
      <c r="C8" s="445"/>
      <c r="D8" s="445"/>
      <c r="E8" s="445"/>
      <c r="F8" s="446"/>
    </row>
    <row r="9" spans="1:19" ht="56" x14ac:dyDescent="0.15">
      <c r="B9" s="329" t="str">
        <f>B6</f>
        <v>Hammersmith, Fulham, Kensington, Chelsea and Westminster</v>
      </c>
      <c r="C9" s="219" t="s">
        <v>942</v>
      </c>
      <c r="D9" s="63" t="s">
        <v>943</v>
      </c>
      <c r="E9" s="63" t="s">
        <v>944</v>
      </c>
      <c r="F9" s="63" t="s">
        <v>1046</v>
      </c>
      <c r="H9" s="219" t="s">
        <v>1047</v>
      </c>
      <c r="I9" s="219" t="s">
        <v>947</v>
      </c>
      <c r="J9" s="64"/>
      <c r="K9" s="219" t="s">
        <v>948</v>
      </c>
      <c r="L9" s="219" t="s">
        <v>949</v>
      </c>
    </row>
    <row r="10" spans="1:19" x14ac:dyDescent="0.15">
      <c r="B10" s="336"/>
      <c r="C10" s="122" t="str">
        <f>IFERROR(SUM((SUMIFS('capacity data'!$G:$G,'capacity data'!$E:$E,"PO",'capacity data'!$B:$B,B6))-SUMIFS('capacity data'!$H:$H,'capacity data'!$E:$E,"PO",'capacity data'!$B:$B,B6))/SUMIFS('capacity data'!$G:$G,'capacity data'!$E:$E,"PO",'capacity data'!$B:$B,B6),"")</f>
        <v/>
      </c>
      <c r="D10" s="123" t="str">
        <f>IFERROR(SUM((SUMIFS('capacity data'!$G:$G,'capacity data'!$E:$E,"PSO",'capacity data'!$B:$B,B6))-SUMIFS('capacity data'!$H:$H,'capacity data'!$E:$E,"PSO",'capacity data'!$B:$B,B6))/SUMIFS('capacity data'!$G:$G,'capacity data'!$E:$E,"PSO",'capacity data'!$B:$B,B6),"")</f>
        <v/>
      </c>
      <c r="E10" s="123" t="str">
        <f>IFERROR(SUM((SUMIFS('capacity data'!$G:$G,'capacity data'!$E:$E,"TPO",'capacity data'!$B:$B,B6))-SUMIFS('capacity data'!$H:$H,'capacity data'!$E:$E,"TPO",'capacity data'!$B:$B,B6))/SUMIFS('capacity data'!$G:$G,'capacity data'!$E:$E,"TPO",'capacity data'!$B:$B,B6),"")</f>
        <v/>
      </c>
      <c r="F10" s="123" t="str">
        <f>IFERROR(SUM((SUMIFS('capacity data'!G:G,'capacity data'!B:B,'cluster overview'!B6))-SUMIFS('capacity data'!H:H,'capacity data'!B:B,'cluster overview'!B6))/SUMIFS('capacity data'!G:G,'capacity data'!B:B,'cluster overview'!B6),"")</f>
        <v/>
      </c>
      <c r="H10" s="66" t="e">
        <f>SUMIFS('capacity data'!$L:$L,'capacity data'!$B:$B,$B$6,'capacity data'!$E:$E,"PSO")/SUM((SUMIFS('capacity data'!$G:$G,'capacity data'!$E:$E,"PSO",'capacity data'!$B:$B,$B$6))-SUMIFS('capacity data'!$H:$H,'capacity data'!$E:$E,"PSO",'capacity data'!$B:$B,$B$6))</f>
        <v>#DIV/0!</v>
      </c>
      <c r="I10" s="211" t="e">
        <f>SUMIFS('capacity data'!$L:$L,'capacity data'!$B:$B,$B$6,'capacity data'!$E:$E,"PSO")/SUMIFS('capacity data'!$G:$G,'capacity data'!$E:$E,"PSO",'capacity data'!$B:$B,$B$6)</f>
        <v>#DIV/0!</v>
      </c>
      <c r="J10" s="64"/>
      <c r="K10" s="66" t="e">
        <f>SUMIFS('capacity data'!$L:$L,'capacity data'!$B:$B,$B$6,'capacity data'!$E:$E,"TPO")/SUM((SUMIFS('capacity data'!$G:$G,'capacity data'!$E:$E,"TPO",'capacity data'!$B:$B,$B$6))-SUMIFS('capacity data'!$H:$H,'capacity data'!$E:$E,"TPO",'capacity data'!$B:$B,$B$6))</f>
        <v>#DIV/0!</v>
      </c>
      <c r="L10" s="211" t="e">
        <f>SUMIFS('capacity data'!$L:$L,'capacity data'!$B:$B,$B$6,'capacity data'!$E:$E,"TPO")/SUMIFS('capacity data'!$G:$G,'capacity data'!$E:$E,"TPO",'capacity data'!$B:$B,$B$6)</f>
        <v>#DIV/0!</v>
      </c>
    </row>
    <row r="11" spans="1:19" x14ac:dyDescent="0.15">
      <c r="B11" s="106" t="s">
        <v>950</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data'!E:E,"TPO",'capacity data'!G:G))-SUMIF('capacity data'!E:E,"TPO",'capacity data'!H:H))/SUMIF('capacity data'!E:E,"TPO",'capacity data'!G:G)</f>
        <v>#DIV/0!</v>
      </c>
      <c r="F11" s="82" t="e">
        <f>SUM((SUM('capacity data'!G:G)-SUM('capacity data'!H:H))/SUM('capacity data'!G:G))</f>
        <v>#DIV/0!</v>
      </c>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row>
    <row r="12" spans="1:19" x14ac:dyDescent="0.15">
      <c r="B12" s="119" t="s">
        <v>1041</v>
      </c>
      <c r="C12" s="120" t="e">
        <f>+C10-C11</f>
        <v>#VALUE!</v>
      </c>
      <c r="D12" s="103" t="str">
        <f>IFERROR(+D10-D11,"N/A")</f>
        <v>N/A</v>
      </c>
      <c r="E12" s="103" t="str">
        <f>IFERROR(+E10-E11,"N/A")</f>
        <v>N/A</v>
      </c>
      <c r="F12" s="103" t="e">
        <f>+F10-F11</f>
        <v>#VALUE!</v>
      </c>
      <c r="H12" s="99" t="e">
        <f>+H10-H11</f>
        <v>#DIV/0!</v>
      </c>
      <c r="I12" s="121" t="e">
        <f>+I10-I11</f>
        <v>#DIV/0!</v>
      </c>
      <c r="J12" s="64"/>
      <c r="K12" s="99" t="e">
        <f>+K10-K11</f>
        <v>#DIV/0!</v>
      </c>
      <c r="L12" s="121" t="e">
        <f>+L10-L11</f>
        <v>#DIV/0!</v>
      </c>
    </row>
    <row r="14" spans="1:19" ht="63.75" customHeight="1" x14ac:dyDescent="0.15">
      <c r="B14" s="329" t="str">
        <f>B6</f>
        <v>Hammersmith, Fulham, Kensington, Chelsea and Westminster</v>
      </c>
      <c r="C14" s="70" t="s">
        <v>953</v>
      </c>
      <c r="D14" s="70" t="s">
        <v>954</v>
      </c>
      <c r="E14" s="70" t="s">
        <v>955</v>
      </c>
      <c r="F14" s="70" t="s">
        <v>956</v>
      </c>
      <c r="G14" s="70" t="s">
        <v>957</v>
      </c>
      <c r="H14" s="70" t="s">
        <v>958</v>
      </c>
      <c r="I14" s="70" t="s">
        <v>959</v>
      </c>
      <c r="J14" s="71" t="s">
        <v>960</v>
      </c>
      <c r="K14" s="70" t="s">
        <v>961</v>
      </c>
      <c r="L14" s="70" t="s">
        <v>962</v>
      </c>
      <c r="M14" s="70" t="s">
        <v>963</v>
      </c>
    </row>
    <row r="15" spans="1:19" ht="27.75" customHeight="1" x14ac:dyDescent="0.15">
      <c r="B15" s="330"/>
      <c r="C15" s="213">
        <f>COUNTIFS('capacity data'!B:B,'cluster overview'!B6,'capacity data'!E:E,"PO")</f>
        <v>0</v>
      </c>
      <c r="D15" s="213">
        <f>COUNTIFS('capacity data'!B:B,B6,'capacity data'!E:E,"PO",'capacity data'!F:F,"&gt;110%")</f>
        <v>0</v>
      </c>
      <c r="E15" s="73" t="e">
        <f>D15/C15</f>
        <v>#DIV/0!</v>
      </c>
      <c r="F15" s="213">
        <f>COUNTIFS('capacity data'!B:B,'cluster overview'!B6,'capacity data'!E:E,"PSO")</f>
        <v>0</v>
      </c>
      <c r="G15" s="213">
        <f>COUNTIFS('capacity data'!B:B,B6,'capacity data'!E:E,"PSO",'capacity data'!F:F,"&gt;110%")</f>
        <v>0</v>
      </c>
      <c r="H15" s="74" t="str">
        <f>IFERROR(G15/F15,"N/A")</f>
        <v>N/A</v>
      </c>
      <c r="I15" s="213">
        <f>COUNTIFS('capacity data'!B:B,B6,'capacity data'!E:E,"PSO",'capacity data'!F:F,"&lt;910%")</f>
        <v>0</v>
      </c>
      <c r="J15" s="74" t="str">
        <f>IFERROR(I15/F15,"")</f>
        <v/>
      </c>
      <c r="K15" s="213">
        <f>COUNTIFS('capacity data'!B:B,'cluster overview'!B6,'capacity data'!E:E,"TPO")</f>
        <v>0</v>
      </c>
      <c r="L15" s="213">
        <f>COUNTIFS('capacity data'!B:B,B6,'capacity data'!E:E,"TPO",'capacity data'!F:F,"&gt;110%")</f>
        <v>0</v>
      </c>
      <c r="M15" s="67" t="str">
        <f>IFERROR(L15/K15,"N/A")</f>
        <v>N/A</v>
      </c>
    </row>
    <row r="16" spans="1:19" x14ac:dyDescent="0.15">
      <c r="B16" s="106" t="s">
        <v>1048</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1041</v>
      </c>
      <c r="C17" s="100" t="s">
        <v>965</v>
      </c>
      <c r="D17" s="100" t="s">
        <v>965</v>
      </c>
      <c r="E17" s="101" t="e">
        <f>+E15-E16</f>
        <v>#DIV/0!</v>
      </c>
      <c r="F17" s="100" t="s">
        <v>965</v>
      </c>
      <c r="G17" s="100" t="s">
        <v>965</v>
      </c>
      <c r="H17" s="101" t="str">
        <f>IFERROR(+H15-H16,"N/A")</f>
        <v>N/A</v>
      </c>
      <c r="I17" s="100" t="s">
        <v>965</v>
      </c>
      <c r="J17" s="101" t="str">
        <f>IFERROR(+J15-J16,"N/A")</f>
        <v>N/A</v>
      </c>
      <c r="K17" s="100" t="s">
        <v>965</v>
      </c>
      <c r="L17" s="100" t="s">
        <v>965</v>
      </c>
      <c r="M17" s="101" t="str">
        <f>IFERROR(+M15-M16,"N/A")</f>
        <v>N/A</v>
      </c>
    </row>
    <row r="19" spans="2:13" ht="23" x14ac:dyDescent="0.15">
      <c r="B19" s="444" t="s">
        <v>966</v>
      </c>
      <c r="C19" s="445"/>
      <c r="D19" s="445"/>
      <c r="E19" s="445"/>
      <c r="F19" s="446"/>
      <c r="G19" s="447"/>
      <c r="H19" s="448"/>
    </row>
    <row r="20" spans="2:13" ht="51" customHeight="1" x14ac:dyDescent="0.15">
      <c r="B20" s="76"/>
      <c r="C20" s="63" t="s">
        <v>1049</v>
      </c>
      <c r="D20" s="63" t="s">
        <v>1050</v>
      </c>
      <c r="E20" s="63" t="s">
        <v>1051</v>
      </c>
      <c r="F20" s="63" t="s">
        <v>970</v>
      </c>
      <c r="G20" s="219" t="s">
        <v>1052</v>
      </c>
      <c r="H20" s="219" t="s">
        <v>1053</v>
      </c>
    </row>
    <row r="21" spans="2:13" ht="28" x14ac:dyDescent="0.15">
      <c r="B21" s="335" t="str">
        <f>B6</f>
        <v>Hammersmith, Fulham, Kensington, Chelsea and Westminster</v>
      </c>
      <c r="C21" s="75">
        <f>SUMIFS('capacity data'!K:K,'capacity data'!B:B,'cluster overview'!B6,'capacity data'!E:E,"SPO")</f>
        <v>0</v>
      </c>
      <c r="D21" s="75">
        <f>SUMIFS('capacity data'!K:K,'capacity data'!B:B,'cluster overview'!B6,'capacity data'!E:E,"DMY")</f>
        <v>0</v>
      </c>
      <c r="E21" s="75">
        <f>SUM(C21:D21)</f>
        <v>0</v>
      </c>
      <c r="F21" s="77">
        <f>SUMIF('capacity data'!B:B,'cluster overview'!B6,'capacity data'!K:K)</f>
        <v>0</v>
      </c>
      <c r="G21" s="66" t="e">
        <f>E21/F21</f>
        <v>#DIV/0!</v>
      </c>
      <c r="H21" s="78">
        <f>SUMIF('caseload data'!C:C,'cluster overview'!B102,'caseload data'!U:U)</f>
        <v>0</v>
      </c>
    </row>
    <row r="22" spans="2:13" x14ac:dyDescent="0.15">
      <c r="B22" s="79" t="s">
        <v>1048</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1041</v>
      </c>
      <c r="C23" s="100" t="s">
        <v>965</v>
      </c>
      <c r="D23" s="100" t="s">
        <v>965</v>
      </c>
      <c r="E23" s="100" t="s">
        <v>965</v>
      </c>
      <c r="F23" s="104" t="s">
        <v>965</v>
      </c>
      <c r="G23" s="104" t="e">
        <f>+G21-G22</f>
        <v>#DIV/0!</v>
      </c>
      <c r="H23" s="100" t="s">
        <v>965</v>
      </c>
    </row>
    <row r="26" spans="2:13" ht="23" x14ac:dyDescent="0.15">
      <c r="B26" s="444" t="s">
        <v>973</v>
      </c>
      <c r="C26" s="445"/>
      <c r="D26" s="445"/>
      <c r="E26" s="445"/>
      <c r="F26" s="446"/>
      <c r="G26" s="447"/>
      <c r="H26" s="448"/>
      <c r="I26" s="447"/>
      <c r="J26" s="448"/>
      <c r="K26" s="448"/>
    </row>
    <row r="27" spans="2:13" ht="53.25" customHeight="1" x14ac:dyDescent="0.15">
      <c r="B27" s="84"/>
      <c r="C27" s="219" t="s">
        <v>974</v>
      </c>
      <c r="D27" s="219" t="s">
        <v>975</v>
      </c>
      <c r="E27" s="219" t="s">
        <v>976</v>
      </c>
      <c r="F27" s="219" t="s">
        <v>977</v>
      </c>
      <c r="G27" s="219" t="s">
        <v>978</v>
      </c>
      <c r="H27" s="219" t="s">
        <v>979</v>
      </c>
      <c r="I27" s="219" t="s">
        <v>980</v>
      </c>
      <c r="J27" s="219" t="s">
        <v>981</v>
      </c>
      <c r="K27" s="219" t="s">
        <v>982</v>
      </c>
    </row>
    <row r="28" spans="2:13" ht="28" x14ac:dyDescent="0.15">
      <c r="B28" s="335" t="str">
        <f>B6</f>
        <v>Hammersmith, Fulham, Kensington, Chelsea and Westminster</v>
      </c>
      <c r="C28" s="85">
        <f>SUMIFS('capacity data'!I:I,'capacity data'!B:B,'cluster overview'!B6,'capacity data'!E:E,"PO")</f>
        <v>0</v>
      </c>
      <c r="D28" s="86">
        <f>SUMIFS('capacity data'!J:J,'capacity data'!B:B,'cluster overview'!B6,'capacity data'!E:E,"PO")</f>
        <v>0</v>
      </c>
      <c r="E28" s="87" t="e">
        <f>D28/C28</f>
        <v>#DIV/0!</v>
      </c>
      <c r="F28" s="86">
        <f>SUMIFS('capacity data'!I:I,'capacity data'!B:B,'cluster overview'!B6,'capacity data'!E:E,"PSO")</f>
        <v>0</v>
      </c>
      <c r="G28" s="86">
        <f>SUMIFS('capacity data'!J:J,'capacity data'!B:B,'cluster overview'!B6,'capacity data'!E:E,"PSO")</f>
        <v>0</v>
      </c>
      <c r="H28" s="87" t="str">
        <f>IFERROR(G28/F28,"N/A")</f>
        <v>N/A</v>
      </c>
      <c r="I28" s="86">
        <f>SUMIFS('capacity data'!I:I,'capacity data'!B:B,'cluster overview'!B6,'capacity data'!E:E,"TPO")</f>
        <v>0</v>
      </c>
      <c r="J28" s="88">
        <f>SUMIFS('capacity data'!J:J,'capacity data'!B:B,'cluster overview'!B6,'capacity data'!E:E,"TPO")</f>
        <v>0</v>
      </c>
      <c r="K28" s="87" t="str">
        <f>IFERROR(J28/I28,"N/A")</f>
        <v>N/A</v>
      </c>
    </row>
    <row r="29" spans="2:13" x14ac:dyDescent="0.15">
      <c r="B29" s="106" t="s">
        <v>1054</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1041</v>
      </c>
      <c r="C30" s="100" t="s">
        <v>965</v>
      </c>
      <c r="D30" s="100" t="s">
        <v>965</v>
      </c>
      <c r="E30" s="99" t="e">
        <f>+E28-E29</f>
        <v>#DIV/0!</v>
      </c>
      <c r="F30" s="100" t="s">
        <v>965</v>
      </c>
      <c r="G30" s="100" t="s">
        <v>965</v>
      </c>
      <c r="H30" s="99" t="str">
        <f>IFERROR(+H28-H29,"N/A")</f>
        <v>N/A</v>
      </c>
      <c r="I30" s="100" t="s">
        <v>965</v>
      </c>
      <c r="J30" s="100" t="s">
        <v>965</v>
      </c>
      <c r="K30" s="99" t="str">
        <f>IFERROR(+K28-K29,"N/A")</f>
        <v>N/A</v>
      </c>
    </row>
    <row r="32" spans="2:13" ht="37.5" customHeight="1" x14ac:dyDescent="0.15">
      <c r="B32" s="457" t="s">
        <v>1055</v>
      </c>
      <c r="C32" s="458"/>
      <c r="D32" s="458"/>
      <c r="F32" s="459" t="s">
        <v>1056</v>
      </c>
      <c r="G32" s="460"/>
    </row>
    <row r="33" spans="1:7" ht="60.75" customHeight="1" x14ac:dyDescent="0.15">
      <c r="B33" s="76" t="s">
        <v>1057</v>
      </c>
      <c r="C33" s="219" t="s">
        <v>1058</v>
      </c>
      <c r="D33" s="219" t="s">
        <v>1059</v>
      </c>
      <c r="E33" s="64"/>
      <c r="F33" s="215" t="s">
        <v>1060</v>
      </c>
      <c r="G33" s="214">
        <f>COUNTIFS('reductions data'!B:B,'cluster overview'!B6,'reductions data'!K:K,"ACTIVE")</f>
        <v>0</v>
      </c>
    </row>
    <row r="34" spans="1:7" x14ac:dyDescent="0.15">
      <c r="B34" s="112" t="s">
        <v>897</v>
      </c>
      <c r="C34" s="89">
        <f>COUNTIFS('reductions data'!B:B,'cluster overview'!$B$6,'reductions data'!G:G,'cluster overview'!B34)</f>
        <v>0</v>
      </c>
      <c r="D34" s="90">
        <f>SUMIFS('reductions data'!H:H,'reductions data'!B:B,'cluster overview'!$B$6,'reductions data'!$G:$G,'cluster overview'!B34)</f>
        <v>0</v>
      </c>
      <c r="E34" s="64"/>
      <c r="F34" s="455" t="s">
        <v>1061</v>
      </c>
      <c r="G34" s="456">
        <f>SUMIF('reductions data'!B:B,'cluster overview'!B6,'reductions data'!H:H)</f>
        <v>0</v>
      </c>
    </row>
    <row r="35" spans="1:7" x14ac:dyDescent="0.15">
      <c r="B35" s="113" t="s">
        <v>899</v>
      </c>
      <c r="C35" s="89">
        <f>COUNTIFS('reductions data'!B:B,'cluster overview'!$B$6,'reductions data'!G:G,'cluster overview'!B35)</f>
        <v>0</v>
      </c>
      <c r="D35" s="90">
        <f>SUMIFS('reductions data'!H:H,'reductions data'!B:B,'cluster overview'!$B$6,'reductions data'!$G:$G,'cluster overview'!B35)</f>
        <v>0</v>
      </c>
      <c r="E35" s="64"/>
      <c r="F35" s="418"/>
      <c r="G35" s="418"/>
    </row>
    <row r="36" spans="1:7" x14ac:dyDescent="0.15">
      <c r="B36" s="113" t="s">
        <v>898</v>
      </c>
      <c r="C36" s="89">
        <f>COUNTIFS('reductions data'!B:B,'cluster overview'!$B$6,'reductions data'!G:G,'cluster overview'!B36)</f>
        <v>0</v>
      </c>
      <c r="D36" s="90">
        <f>SUMIFS('reductions data'!H:H,'reductions data'!B:B,'cluster overview'!$B$6,'reductions data'!$G:$G,'cluster overview'!B36)</f>
        <v>0</v>
      </c>
      <c r="E36" s="91"/>
      <c r="F36" s="418"/>
      <c r="G36" s="418"/>
    </row>
    <row r="37" spans="1:7" x14ac:dyDescent="0.15">
      <c r="B37" s="113" t="s">
        <v>900</v>
      </c>
      <c r="C37" s="89">
        <f>COUNTIFS('reductions data'!B:B,'cluster overview'!$B$6,'reductions data'!G:G,'cluster overview'!B37)</f>
        <v>0</v>
      </c>
      <c r="D37" s="90">
        <f>SUMIFS('reductions data'!H:H,'reductions data'!B:B,'cluster overview'!$B$6,'reductions data'!$G:$G,'cluster overview'!B37)</f>
        <v>0</v>
      </c>
      <c r="E37" s="91"/>
      <c r="F37" s="461" t="s">
        <v>1062</v>
      </c>
      <c r="G37" s="456">
        <f>SUMIF('capacity data'!B:B,'cluster overview'!B6,'capacity data'!I:I)</f>
        <v>0</v>
      </c>
    </row>
    <row r="38" spans="1:7" x14ac:dyDescent="0.15">
      <c r="B38" s="113" t="s">
        <v>901</v>
      </c>
      <c r="C38" s="89">
        <f>COUNTIFS('reductions data'!B:B,'cluster overview'!$B$6,'reductions data'!G:G,'cluster overview'!B38)</f>
        <v>0</v>
      </c>
      <c r="D38" s="90">
        <f>SUMIFS('reductions data'!H:H,'reductions data'!B:B,'cluster overview'!$B$6,'reductions data'!$G:$G,'cluster overview'!B38)</f>
        <v>0</v>
      </c>
      <c r="E38" s="91"/>
      <c r="F38" s="418"/>
      <c r="G38" s="418"/>
    </row>
    <row r="39" spans="1:7" x14ac:dyDescent="0.15">
      <c r="B39" s="113" t="s">
        <v>902</v>
      </c>
      <c r="C39" s="89">
        <f>COUNTIFS('reductions data'!B:B,'cluster overview'!$B$6,'reductions data'!G:G,'cluster overview'!B39)</f>
        <v>0</v>
      </c>
      <c r="D39" s="90">
        <f>SUMIFS('reductions data'!H:H,'reductions data'!B:B,'cluster overview'!$B$6,'reductions data'!$G:$G,'cluster overview'!B39)</f>
        <v>0</v>
      </c>
      <c r="E39" s="91"/>
      <c r="F39" s="418"/>
      <c r="G39" s="418"/>
    </row>
    <row r="40" spans="1:7" x14ac:dyDescent="0.15">
      <c r="B40" s="113" t="s">
        <v>903</v>
      </c>
      <c r="C40" s="89">
        <f>COUNTIFS('reductions data'!B:B,'cluster overview'!$B$6,'reductions data'!G:G,'cluster overview'!B40)</f>
        <v>0</v>
      </c>
      <c r="D40" s="90">
        <f>SUMIFS('reductions data'!H:H,'reductions data'!B:B,'cluster overview'!$B$6,'reductions data'!$G:$G,'cluster overview'!B40)</f>
        <v>0</v>
      </c>
      <c r="E40" s="91"/>
      <c r="F40" s="224"/>
      <c r="G40" s="224"/>
    </row>
    <row r="41" spans="1:7" ht="15.75" customHeight="1" x14ac:dyDescent="0.15">
      <c r="A41" s="91"/>
      <c r="B41" s="113" t="s">
        <v>904</v>
      </c>
      <c r="C41" s="89">
        <f>COUNTIFS('reductions data'!B:B,'cluster overview'!$B$6,'reductions data'!G:G,'cluster overview'!B41)</f>
        <v>0</v>
      </c>
      <c r="D41" s="90">
        <f>SUMIFS('reductions data'!H:H,'reductions data'!B:B,'cluster overview'!$B$6,'reductions data'!$G:$G,'cluster overview'!B41)</f>
        <v>0</v>
      </c>
      <c r="E41" s="91"/>
      <c r="F41" s="462" t="s">
        <v>1063</v>
      </c>
      <c r="G41" s="464" t="e">
        <f>G34/G37</f>
        <v>#DIV/0!</v>
      </c>
    </row>
    <row r="42" spans="1:7" ht="15.75" customHeight="1" x14ac:dyDescent="0.15">
      <c r="A42" s="91"/>
      <c r="B42" s="113" t="s">
        <v>1262</v>
      </c>
      <c r="C42" s="89">
        <f>COUNTIFS('reductions data'!B:B,'cluster overview'!$B$6,'reductions data'!G:G,'cluster overview'!B42)</f>
        <v>0</v>
      </c>
      <c r="D42" s="90">
        <f>SUMIFS('reductions data'!H:H,'reductions data'!B:B,'cluster overview'!$B$6,'reductions data'!$G:$G,'cluster overview'!B42)</f>
        <v>0</v>
      </c>
      <c r="E42" s="91"/>
      <c r="F42" s="463"/>
      <c r="G42" s="465"/>
    </row>
    <row r="43" spans="1:7" x14ac:dyDescent="0.15">
      <c r="B43" s="113" t="s">
        <v>905</v>
      </c>
      <c r="C43" s="89">
        <f>COUNTIFS('reductions data'!B:B,'cluster overview'!$B$6,'reductions data'!G:G,'cluster overview'!B43)</f>
        <v>0</v>
      </c>
      <c r="D43" s="90">
        <f>SUMIFS('reductions data'!H:H,'reductions data'!B:B,'cluster overview'!$B$6,'reductions data'!$G:$G,'cluster overview'!B43)</f>
        <v>0</v>
      </c>
      <c r="E43" s="91"/>
      <c r="F43" s="450"/>
      <c r="G43" s="453"/>
    </row>
    <row r="44" spans="1:7" x14ac:dyDescent="0.15">
      <c r="B44" s="113" t="s">
        <v>906</v>
      </c>
      <c r="C44" s="89">
        <f>COUNTIFS('reductions data'!B:B,'cluster overview'!$B$6,'reductions data'!G:G,'cluster overview'!B44)</f>
        <v>0</v>
      </c>
      <c r="D44" s="90">
        <f>SUMIFS('reductions data'!H:H,'reductions data'!B:B,'cluster overview'!$B$6,'reductions data'!$G:$G,'cluster overview'!B44)</f>
        <v>0</v>
      </c>
      <c r="E44" s="91"/>
      <c r="F44" s="450"/>
      <c r="G44" s="453"/>
    </row>
    <row r="45" spans="1:7" x14ac:dyDescent="0.15">
      <c r="B45" s="113" t="s">
        <v>907</v>
      </c>
      <c r="C45" s="89">
        <f>COUNTIFS('reductions data'!B:B,'cluster overview'!$B$6,'reductions data'!G:G,'cluster overview'!B45)</f>
        <v>0</v>
      </c>
      <c r="D45" s="90">
        <f>SUMIFS('reductions data'!H:H,'reductions data'!B:B,'cluster overview'!$B$6,'reductions data'!$G:$G,'cluster overview'!B45)</f>
        <v>0</v>
      </c>
      <c r="E45" s="91"/>
      <c r="F45" s="450"/>
      <c r="G45" s="453"/>
    </row>
    <row r="46" spans="1:7" x14ac:dyDescent="0.15">
      <c r="B46" s="113" t="s">
        <v>908</v>
      </c>
      <c r="C46" s="89">
        <f>COUNTIFS('reductions data'!B:B,'cluster overview'!$B$6,'reductions data'!G:G,'cluster overview'!B46)</f>
        <v>0</v>
      </c>
      <c r="D46" s="90">
        <f>SUMIFS('reductions data'!H:H,'reductions data'!B:B,'cluster overview'!$B$6,'reductions data'!$G:$G,'cluster overview'!B46)</f>
        <v>0</v>
      </c>
      <c r="E46" s="91"/>
      <c r="F46" s="451"/>
      <c r="G46" s="454"/>
    </row>
    <row r="47" spans="1:7" ht="15.75" customHeight="1" x14ac:dyDescent="0.15">
      <c r="B47" s="113" t="s">
        <v>910</v>
      </c>
      <c r="C47" s="89">
        <f>COUNTIFS('reductions data'!B:B,'cluster overview'!$B$6,'reductions data'!G:G,'cluster overview'!B47)</f>
        <v>0</v>
      </c>
      <c r="D47" s="90">
        <f>SUMIFS('reductions data'!H:H,'reductions data'!B:B,'cluster overview'!$B$6,'reductions data'!$G:$G,'cluster overview'!B47)</f>
        <v>0</v>
      </c>
      <c r="E47" s="91"/>
      <c r="F47" s="449" t="s">
        <v>1064</v>
      </c>
      <c r="G47" s="452" t="e">
        <f>+G41-'div &amp; regional reduction hours'!N18</f>
        <v>#DIV/0!</v>
      </c>
    </row>
    <row r="48" spans="1:7" x14ac:dyDescent="0.15">
      <c r="B48" s="113" t="s">
        <v>913</v>
      </c>
      <c r="C48" s="89">
        <f>COUNTIFS('reductions data'!B:B,'cluster overview'!$B$6,'reductions data'!G:G,'cluster overview'!B48)</f>
        <v>0</v>
      </c>
      <c r="D48" s="90">
        <f>SUMIFS('reductions data'!H:H,'reductions data'!B:B,'cluster overview'!$B$6,'reductions data'!$G:$G,'cluster overview'!B48)</f>
        <v>0</v>
      </c>
      <c r="E48" s="91"/>
      <c r="F48" s="450"/>
      <c r="G48" s="453"/>
    </row>
    <row r="49" spans="2:7" x14ac:dyDescent="0.15">
      <c r="B49" s="113" t="s">
        <v>909</v>
      </c>
      <c r="C49" s="89">
        <f>COUNTIFS('reductions data'!B:B,'cluster overview'!$B$6,'reductions data'!G:G,'cluster overview'!B49)</f>
        <v>0</v>
      </c>
      <c r="D49" s="90">
        <f>SUMIFS('reductions data'!H:H,'reductions data'!B:B,'cluster overview'!$B$6,'reductions data'!$G:$G,'cluster overview'!B49)</f>
        <v>0</v>
      </c>
      <c r="E49" s="91"/>
      <c r="F49" s="450"/>
      <c r="G49" s="453"/>
    </row>
    <row r="50" spans="2:7" x14ac:dyDescent="0.15">
      <c r="B50" s="113" t="s">
        <v>994</v>
      </c>
      <c r="C50" s="89">
        <f>COUNTIFS('reductions data'!B:B,'cluster overview'!$B$6,'reductions data'!G:G,'cluster overview'!B50)</f>
        <v>0</v>
      </c>
      <c r="D50" s="90">
        <f>SUMIFS('reductions data'!H:H,'reductions data'!B:B,'cluster overview'!$B$6,'reductions data'!$G:$G,'cluster overview'!B50)</f>
        <v>0</v>
      </c>
      <c r="E50" s="91"/>
      <c r="F50" s="450"/>
      <c r="G50" s="453"/>
    </row>
    <row r="51" spans="2:7" x14ac:dyDescent="0.15">
      <c r="B51" s="113" t="s">
        <v>914</v>
      </c>
      <c r="C51" s="89">
        <f>COUNTIFS('reductions data'!B:B,'cluster overview'!$B$6,'reductions data'!G:G,'cluster overview'!B51)</f>
        <v>0</v>
      </c>
      <c r="D51" s="90">
        <f>SUMIFS('reductions data'!H:H,'reductions data'!B:B,'cluster overview'!$B$6,'reductions data'!$G:$G,'cluster overview'!B51)</f>
        <v>0</v>
      </c>
      <c r="E51" s="91"/>
      <c r="F51" s="451"/>
      <c r="G51" s="454"/>
    </row>
    <row r="52" spans="2:7" x14ac:dyDescent="0.15">
      <c r="B52" s="113" t="s">
        <v>915</v>
      </c>
      <c r="C52" s="89">
        <f>COUNTIFS('reductions data'!B:B,'cluster overview'!$B$6,'reductions data'!G:G,'cluster overview'!B52)</f>
        <v>0</v>
      </c>
      <c r="D52" s="90">
        <f>SUMIFS('reductions data'!H:H,'reductions data'!B:B,'cluster overview'!$B$6,'reductions data'!$G:$G,'cluster overview'!B52)</f>
        <v>0</v>
      </c>
      <c r="E52" s="91"/>
      <c r="F52" s="91"/>
      <c r="G52" s="64"/>
    </row>
    <row r="53" spans="2:7" x14ac:dyDescent="0.15">
      <c r="B53" s="113" t="s">
        <v>916</v>
      </c>
      <c r="C53" s="89">
        <f>COUNTIFS('reductions data'!B:B,'cluster overview'!$B$6,'reductions data'!G:G,'cluster overview'!B53)</f>
        <v>0</v>
      </c>
      <c r="D53" s="90">
        <f>SUMIFS('reductions data'!H:H,'reductions data'!B:B,'cluster overview'!$B$6,'reductions data'!$G:$G,'cluster overview'!B53)</f>
        <v>0</v>
      </c>
      <c r="E53" s="91"/>
      <c r="F53" s="91"/>
      <c r="G53" s="64"/>
    </row>
    <row r="54" spans="2:7" x14ac:dyDescent="0.15">
      <c r="B54" s="113" t="s">
        <v>917</v>
      </c>
      <c r="C54" s="89">
        <f>COUNTIFS('reductions data'!B:B,'cluster overview'!$B$6,'reductions data'!G:G,'cluster overview'!B54)</f>
        <v>0</v>
      </c>
      <c r="D54" s="90">
        <f>SUMIFS('reductions data'!H:H,'reductions data'!B:B,'cluster overview'!$B$6,'reductions data'!$G:$G,'cluster overview'!B54)</f>
        <v>0</v>
      </c>
      <c r="E54" s="91"/>
      <c r="F54" s="91"/>
      <c r="G54" s="64"/>
    </row>
    <row r="55" spans="2:7" x14ac:dyDescent="0.15">
      <c r="B55" s="113" t="s">
        <v>918</v>
      </c>
      <c r="C55" s="89">
        <f>COUNTIFS('reductions data'!B:B,'cluster overview'!$B$6,'reductions data'!G:G,'cluster overview'!B55)</f>
        <v>0</v>
      </c>
      <c r="D55" s="90">
        <f>SUMIFS('reductions data'!H:H,'reductions data'!B:B,'cluster overview'!$B$6,'reductions data'!$G:$G,'cluster overview'!B55)</f>
        <v>0</v>
      </c>
      <c r="E55" s="91"/>
      <c r="F55" s="91"/>
      <c r="G55" s="64"/>
    </row>
    <row r="56" spans="2:7" x14ac:dyDescent="0.15">
      <c r="B56" s="113" t="s">
        <v>919</v>
      </c>
      <c r="C56" s="89">
        <f>COUNTIFS('reductions data'!B:B,'cluster overview'!$B$6,'reductions data'!G:G,'cluster overview'!B56)</f>
        <v>0</v>
      </c>
      <c r="D56" s="90">
        <f>SUMIFS('reductions data'!H:H,'reductions data'!B:B,'cluster overview'!$B$6,'reductions data'!$G:$G,'cluster overview'!B56)</f>
        <v>0</v>
      </c>
      <c r="E56" s="91"/>
      <c r="F56" s="91"/>
      <c r="G56" s="64"/>
    </row>
    <row r="57" spans="2:7" x14ac:dyDescent="0.15">
      <c r="B57" s="113" t="s">
        <v>920</v>
      </c>
      <c r="C57" s="89">
        <f>COUNTIFS('reductions data'!B:B,'cluster overview'!$B$6,'reductions data'!G:G,'cluster overview'!B57)</f>
        <v>0</v>
      </c>
      <c r="D57" s="90">
        <f>SUMIFS('reductions data'!H:H,'reductions data'!B:B,'cluster overview'!$B$6,'reductions data'!$G:$G,'cluster overview'!B57)</f>
        <v>0</v>
      </c>
      <c r="E57" s="91"/>
      <c r="F57" s="91"/>
      <c r="G57" s="64"/>
    </row>
    <row r="58" spans="2:7" ht="16.5" customHeight="1" x14ac:dyDescent="0.15">
      <c r="B58" s="113" t="s">
        <v>1255</v>
      </c>
      <c r="C58" s="89">
        <f>COUNTIFS('reductions data'!B:B,'cluster overview'!$B$6,'reductions data'!G:G,'cluster overview'!B58)</f>
        <v>0</v>
      </c>
      <c r="D58" s="90">
        <f>SUMIFS('reductions data'!H:H,'reductions data'!B:B,'cluster overview'!$B$6,'reductions data'!$G:$G,'cluster overview'!B58)</f>
        <v>0</v>
      </c>
      <c r="E58" s="91"/>
      <c r="F58" s="91"/>
      <c r="G58" s="64"/>
    </row>
    <row r="59" spans="2:7" x14ac:dyDescent="0.15">
      <c r="B59" s="113" t="s">
        <v>1256</v>
      </c>
      <c r="C59" s="89">
        <f>COUNTIFS('reductions data'!B:B,'cluster overview'!$B$6,'reductions data'!G:G,'cluster overview'!B59)</f>
        <v>0</v>
      </c>
      <c r="D59" s="90">
        <f>SUMIFS('reductions data'!H:H,'reductions data'!B:B,'cluster overview'!$B$6,'reductions data'!$G:$G,'cluster overview'!B59)</f>
        <v>0</v>
      </c>
      <c r="E59" s="91"/>
      <c r="F59" s="91"/>
      <c r="G59" s="64"/>
    </row>
    <row r="60" spans="2:7" x14ac:dyDescent="0.15">
      <c r="B60" s="322" t="s">
        <v>1253</v>
      </c>
      <c r="C60" s="89">
        <f>COUNTIFS('reductions data'!B:B,'cluster overview'!$B$6,'reductions data'!G:G,'cluster overview'!B60)</f>
        <v>0</v>
      </c>
      <c r="D60" s="90">
        <f>SUMIFS('reductions data'!H:H,'reductions data'!B:B,'cluster overview'!$B$6,'reductions data'!$G:$G,'cluster overview'!B60)</f>
        <v>0</v>
      </c>
      <c r="E60" s="91"/>
      <c r="F60" s="91"/>
      <c r="G60" s="64"/>
    </row>
    <row r="61" spans="2:7" x14ac:dyDescent="0.15">
      <c r="B61" s="322" t="s">
        <v>1254</v>
      </c>
      <c r="C61" s="89">
        <f>COUNTIFS('reductions data'!B:B,'cluster overview'!$B$6,'reductions data'!G:G,'cluster overview'!B61)</f>
        <v>0</v>
      </c>
      <c r="D61" s="90">
        <f>SUMIFS('reductions data'!H:H,'reductions data'!B:B,'cluster overview'!$B$6,'reductions data'!$G:$G,'cluster overview'!B61)</f>
        <v>0</v>
      </c>
      <c r="E61" s="91"/>
      <c r="F61" s="91"/>
      <c r="G61" s="64"/>
    </row>
    <row r="62" spans="2:7" x14ac:dyDescent="0.15">
      <c r="B62" s="322" t="s">
        <v>1263</v>
      </c>
      <c r="C62" s="89">
        <f>COUNTIFS('reductions data'!B:B,'cluster overview'!$B$6,'reductions data'!G:G,'cluster overview'!B62)</f>
        <v>0</v>
      </c>
      <c r="D62" s="90">
        <f>SUMIFS('reductions data'!H:H,'reductions data'!B:B,'cluster overview'!$B$6,'reductions data'!$G:$G,'cluster overview'!B62)</f>
        <v>0</v>
      </c>
      <c r="E62" s="91"/>
      <c r="F62" s="91"/>
      <c r="G62" s="64"/>
    </row>
    <row r="63" spans="2:7" x14ac:dyDescent="0.15">
      <c r="B63" s="322" t="s">
        <v>1259</v>
      </c>
      <c r="C63" s="327">
        <f>COUNTIFS('reductions data'!B:B,'cluster overview'!$B$6,'reductions data'!G:G,'cluster overview'!B63)</f>
        <v>0</v>
      </c>
      <c r="D63" s="90">
        <f>SUMIFS('reductions data'!H:H,'reductions data'!B:B,'cluster overview'!$B$6,'reductions data'!$G:$G,'cluster overview'!B63)</f>
        <v>0</v>
      </c>
      <c r="E63" s="91"/>
      <c r="F63" s="91"/>
      <c r="G63" s="64"/>
    </row>
    <row r="64" spans="2:7" x14ac:dyDescent="0.15">
      <c r="B64" s="322" t="s">
        <v>1260</v>
      </c>
      <c r="C64" s="327">
        <f>COUNTIFS('reductions data'!B:B,'cluster overview'!$B$6,'reductions data'!G:G,'cluster overview'!B64)</f>
        <v>0</v>
      </c>
      <c r="D64" s="90">
        <f>SUMIFS('reductions data'!H:H,'reductions data'!B:B,'cluster overview'!$B$6,'reductions data'!$G:$G,'cluster overview'!B64)</f>
        <v>0</v>
      </c>
      <c r="E64" s="91"/>
      <c r="F64" s="91"/>
      <c r="G64" s="64"/>
    </row>
    <row r="65" spans="2:7" x14ac:dyDescent="0.15">
      <c r="B65" s="322" t="s">
        <v>1264</v>
      </c>
      <c r="C65" s="327">
        <f>COUNTIFS('reductions data'!B:B,'cluster overview'!$B$6,'reductions data'!G:G,'cluster overview'!B65)</f>
        <v>0</v>
      </c>
      <c r="D65" s="90">
        <f>SUMIFS('reductions data'!H:H,'reductions data'!B:B,'cluster overview'!$B$6,'reductions data'!$G:$G,'cluster overview'!B65)</f>
        <v>0</v>
      </c>
      <c r="E65" s="91"/>
      <c r="F65" s="91"/>
      <c r="G65" s="64"/>
    </row>
    <row r="66" spans="2:7" x14ac:dyDescent="0.15">
      <c r="B66" s="112" t="s">
        <v>1257</v>
      </c>
      <c r="C66" s="89">
        <f>COUNTIFS('reductions data'!B:B,'cluster overview'!$B$6,'reductions data'!G:G,'cluster overview'!B66)</f>
        <v>0</v>
      </c>
      <c r="D66" s="90">
        <f>SUMIFS('reductions data'!H:H,'reductions data'!B:B,'cluster overview'!$B$6,'reductions data'!$G:$G,'cluster overview'!B66)</f>
        <v>0</v>
      </c>
      <c r="E66" s="91"/>
      <c r="F66" s="91"/>
      <c r="G66" s="64"/>
    </row>
    <row r="67" spans="2:7" x14ac:dyDescent="0.15">
      <c r="B67" s="113" t="s">
        <v>1258</v>
      </c>
      <c r="C67" s="89">
        <f>COUNTIFS('reductions data'!B:B,'cluster overview'!$B$6,'reductions data'!G:G,'cluster overview'!B67)</f>
        <v>0</v>
      </c>
      <c r="D67" s="90">
        <f>SUMIFS('reductions data'!H:H,'reductions data'!B:B,'cluster overview'!$B$6,'reductions data'!$G:$G,'cluster overview'!B67)</f>
        <v>0</v>
      </c>
      <c r="E67" s="91"/>
      <c r="F67" s="91"/>
      <c r="G67" s="64"/>
    </row>
    <row r="68" spans="2:7" x14ac:dyDescent="0.15">
      <c r="B68" s="113" t="s">
        <v>922</v>
      </c>
      <c r="C68" s="89">
        <f>COUNTIFS('reductions data'!B:B,'cluster overview'!$B$6,'reductions data'!G:G,'cluster overview'!B68)</f>
        <v>0</v>
      </c>
      <c r="D68" s="90">
        <f>SUMIFS('reductions data'!H:H,'reductions data'!B:B,'cluster overview'!$B$6,'reductions data'!$G:$G,'cluster overview'!B68)</f>
        <v>0</v>
      </c>
      <c r="E68" s="91"/>
      <c r="F68" s="91"/>
      <c r="G68" s="64"/>
    </row>
    <row r="69" spans="2:7" x14ac:dyDescent="0.15">
      <c r="B69" s="113" t="s">
        <v>923</v>
      </c>
      <c r="C69" s="89">
        <f>COUNTIFS('reductions data'!B:B,'cluster overview'!$B$6,'reductions data'!G:G,'cluster overview'!B69)</f>
        <v>0</v>
      </c>
      <c r="D69" s="90">
        <f>SUMIFS('reductions data'!H:H,'reductions data'!B:B,'cluster overview'!$B$6,'reductions data'!$G:$G,'cluster overview'!B69)</f>
        <v>0</v>
      </c>
      <c r="E69" s="91"/>
      <c r="F69" s="91"/>
      <c r="G69" s="64"/>
    </row>
    <row r="70" spans="2:7" x14ac:dyDescent="0.15">
      <c r="B70" s="113" t="s">
        <v>924</v>
      </c>
      <c r="C70" s="89">
        <f>COUNTIFS('reductions data'!B:B,'cluster overview'!$B$6,'reductions data'!G:G,'cluster overview'!B70)</f>
        <v>0</v>
      </c>
      <c r="D70" s="90">
        <f>SUMIFS('reductions data'!H:H,'reductions data'!B:B,'cluster overview'!$B$6,'reductions data'!$G:$G,'cluster overview'!B70)</f>
        <v>0</v>
      </c>
      <c r="E70" s="91"/>
      <c r="F70" s="91"/>
      <c r="G70" s="64"/>
    </row>
    <row r="71" spans="2:7" x14ac:dyDescent="0.15">
      <c r="B71" s="113" t="s">
        <v>925</v>
      </c>
      <c r="C71" s="89">
        <f>COUNTIFS('reductions data'!B:B,'cluster overview'!$B$6,'reductions data'!G:G,'cluster overview'!B71)</f>
        <v>0</v>
      </c>
      <c r="D71" s="90">
        <f>SUMIFS('reductions data'!H:H,'reductions data'!B:B,'cluster overview'!$B$6,'reductions data'!$G:$G,'cluster overview'!B71)</f>
        <v>0</v>
      </c>
      <c r="E71" s="91"/>
      <c r="F71" s="91"/>
      <c r="G71" s="64"/>
    </row>
    <row r="72" spans="2:7" x14ac:dyDescent="0.15">
      <c r="B72" s="113" t="s">
        <v>926</v>
      </c>
      <c r="C72" s="89">
        <f>COUNTIFS('reductions data'!B:B,'cluster overview'!$B$6,'reductions data'!G:G,'cluster overview'!B72)</f>
        <v>0</v>
      </c>
      <c r="D72" s="90">
        <f>SUMIFS('reductions data'!H:H,'reductions data'!B:B,'cluster overview'!$B$6,'reductions data'!$G:$G,'cluster overview'!B72)</f>
        <v>0</v>
      </c>
      <c r="E72" s="91"/>
      <c r="F72" s="91"/>
      <c r="G72" s="64"/>
    </row>
    <row r="73" spans="2:7" x14ac:dyDescent="0.15">
      <c r="B73" s="113" t="s">
        <v>927</v>
      </c>
      <c r="C73" s="89">
        <f>COUNTIFS('reductions data'!B:B,'cluster overview'!$B$6,'reductions data'!G:G,'cluster overview'!B73)</f>
        <v>0</v>
      </c>
      <c r="D73" s="90">
        <f>SUMIFS('reductions data'!H:H,'reductions data'!B:B,'cluster overview'!$B$6,'reductions data'!$G:$G,'cluster overview'!B73)</f>
        <v>0</v>
      </c>
      <c r="E73" s="91"/>
      <c r="F73" s="91"/>
      <c r="G73" s="64"/>
    </row>
    <row r="74" spans="2:7" x14ac:dyDescent="0.15">
      <c r="B74" s="113" t="s">
        <v>921</v>
      </c>
      <c r="C74" s="89">
        <f>COUNTIFS('reductions data'!B:B,'cluster overview'!$B$6,'reductions data'!G:G,'cluster overview'!B74)</f>
        <v>0</v>
      </c>
      <c r="D74" s="90">
        <f>SUMIFS('reductions data'!H:H,'reductions data'!B:B,'cluster overview'!$B$6,'reductions data'!$G:$G,'cluster overview'!B74)</f>
        <v>0</v>
      </c>
      <c r="E74" s="91"/>
      <c r="F74" s="91"/>
      <c r="G74" s="64"/>
    </row>
    <row r="75" spans="2:7" x14ac:dyDescent="0.15">
      <c r="B75" s="113" t="s">
        <v>928</v>
      </c>
      <c r="C75" s="89">
        <f>COUNTIFS('reductions data'!B:B,'cluster overview'!$B$6,'reductions data'!G:G,'cluster overview'!B75)</f>
        <v>0</v>
      </c>
      <c r="D75" s="90">
        <f>SUMIFS('reductions data'!H:H,'reductions data'!B:B,'cluster overview'!$B$6,'reductions data'!$G:$G,'cluster overview'!B75)</f>
        <v>0</v>
      </c>
      <c r="E75" s="91"/>
      <c r="F75" s="91"/>
      <c r="G75" s="64"/>
    </row>
    <row r="76" spans="2:7" x14ac:dyDescent="0.15">
      <c r="B76" s="113" t="s">
        <v>929</v>
      </c>
      <c r="C76" s="89">
        <f>COUNTIFS('reductions data'!B:B,'cluster overview'!$B$6,'reductions data'!G:G,'cluster overview'!B76)</f>
        <v>0</v>
      </c>
      <c r="D76" s="90">
        <f>SUMIFS('reductions data'!H:H,'reductions data'!B:B,'cluster overview'!$B$6,'reductions data'!$G:$G,'cluster overview'!B76)</f>
        <v>0</v>
      </c>
      <c r="E76" s="91"/>
      <c r="F76" s="91"/>
      <c r="G76" s="64"/>
    </row>
    <row r="77" spans="2:7" x14ac:dyDescent="0.15">
      <c r="B77" s="113" t="s">
        <v>930</v>
      </c>
      <c r="C77" s="89">
        <f>COUNTIFS('reductions data'!B:B,'cluster overview'!$B$6,'reductions data'!G:G,'cluster overview'!B77)</f>
        <v>0</v>
      </c>
      <c r="D77" s="90">
        <f>SUMIFS('reductions data'!H:H,'reductions data'!B:B,'cluster overview'!$B$6,'reductions data'!$G:$G,'cluster overview'!B77)</f>
        <v>0</v>
      </c>
      <c r="E77" s="91"/>
      <c r="F77" s="91"/>
      <c r="G77" s="64"/>
    </row>
    <row r="78" spans="2:7" x14ac:dyDescent="0.15">
      <c r="B78" s="113" t="s">
        <v>931</v>
      </c>
      <c r="C78" s="89">
        <f>COUNTIFS('reductions data'!B:B,'cluster overview'!$B$6,'reductions data'!G:G,'cluster overview'!B78)</f>
        <v>0</v>
      </c>
      <c r="D78" s="90">
        <f>SUMIFS('reductions data'!H:H,'reductions data'!B:B,'cluster overview'!$B$6,'reductions data'!$G:$G,'cluster overview'!B78)</f>
        <v>0</v>
      </c>
      <c r="E78" s="91"/>
      <c r="F78" s="91"/>
      <c r="G78" s="64"/>
    </row>
    <row r="79" spans="2:7" x14ac:dyDescent="0.15">
      <c r="B79" s="113" t="s">
        <v>932</v>
      </c>
      <c r="C79" s="89">
        <f>COUNTIFS('reductions data'!B:B,'cluster overview'!$B$6,'reductions data'!G:G,'cluster overview'!B79)</f>
        <v>0</v>
      </c>
      <c r="D79" s="90">
        <f>SUMIFS('reductions data'!H:H,'reductions data'!B:B,'cluster overview'!$B$6,'reductions data'!$G:$G,'cluster overview'!B79)</f>
        <v>0</v>
      </c>
      <c r="E79" s="91"/>
      <c r="F79" s="91"/>
      <c r="G79" s="64"/>
    </row>
    <row r="80" spans="2:7" x14ac:dyDescent="0.15">
      <c r="B80" s="113" t="s">
        <v>933</v>
      </c>
      <c r="C80" s="89">
        <f>COUNTIFS('reductions data'!B:B,'cluster overview'!$B$6,'reductions data'!G:G,'cluster overview'!B80)</f>
        <v>0</v>
      </c>
      <c r="D80" s="90">
        <f>SUMIFS('reductions data'!H:H,'reductions data'!B:B,'cluster overview'!$B$6,'reductions data'!$G:$G,'cluster overview'!B80)</f>
        <v>0</v>
      </c>
      <c r="E80" s="91"/>
      <c r="F80" s="91"/>
      <c r="G80" s="64"/>
    </row>
    <row r="81" spans="2:19" x14ac:dyDescent="0.15">
      <c r="B81" s="113" t="s">
        <v>934</v>
      </c>
      <c r="C81" s="89">
        <f>COUNTIFS('reductions data'!B:B,'cluster overview'!$B$6,'reductions data'!G:G,'cluster overview'!B81)</f>
        <v>0</v>
      </c>
      <c r="D81" s="90">
        <f>SUMIFS('reductions data'!H:H,'reductions data'!B:B,'cluster overview'!$B$6,'reductions data'!$G:$G,'cluster overview'!B81)</f>
        <v>0</v>
      </c>
      <c r="E81" s="91"/>
      <c r="F81" s="91"/>
      <c r="G81" s="64"/>
    </row>
    <row r="82" spans="2:19" x14ac:dyDescent="0.15">
      <c r="B82" s="113" t="s">
        <v>935</v>
      </c>
      <c r="C82" s="89">
        <f>COUNTIFS('reductions data'!B:B,'cluster overview'!$B$6,'reductions data'!G:G,'cluster overview'!B82)</f>
        <v>0</v>
      </c>
      <c r="D82" s="90">
        <f>SUMIFS('reductions data'!H:H,'reductions data'!B:B,'cluster overview'!$B$6,'reductions data'!$G:$G,'cluster overview'!B82)</f>
        <v>0</v>
      </c>
      <c r="E82" s="91"/>
      <c r="F82" s="91"/>
      <c r="G82" s="64"/>
    </row>
    <row r="83" spans="2:19" x14ac:dyDescent="0.15">
      <c r="B83" s="91"/>
      <c r="C83" s="91"/>
      <c r="D83" s="91"/>
      <c r="E83" s="91"/>
      <c r="F83" s="91"/>
      <c r="G83" s="64"/>
    </row>
    <row r="84" spans="2:19" ht="16" x14ac:dyDescent="0.15">
      <c r="B84" s="58"/>
      <c r="C84" s="56"/>
      <c r="D84" s="57"/>
      <c r="E84" s="91"/>
      <c r="F84" s="91"/>
      <c r="G84" s="64"/>
    </row>
    <row r="85" spans="2:19" ht="16" x14ac:dyDescent="0.15">
      <c r="B85" s="58"/>
      <c r="C85" s="56"/>
      <c r="D85" s="57"/>
      <c r="E85" s="91"/>
      <c r="F85" s="91"/>
      <c r="G85" s="64"/>
    </row>
    <row r="86" spans="2:19" ht="20" x14ac:dyDescent="0.15">
      <c r="B86" s="443" t="s">
        <v>1065</v>
      </c>
      <c r="C86" s="443"/>
      <c r="D86" s="443"/>
      <c r="E86" s="443"/>
      <c r="F86" s="443"/>
      <c r="G86" s="443"/>
      <c r="H86" s="443"/>
      <c r="I86" s="443"/>
      <c r="J86" s="443"/>
      <c r="K86" s="443"/>
      <c r="L86" s="443"/>
      <c r="M86" s="443"/>
      <c r="N86" s="443"/>
      <c r="O86" s="443"/>
      <c r="P86" s="443"/>
      <c r="Q86" s="443"/>
      <c r="R86" s="443"/>
      <c r="S86" s="443"/>
    </row>
    <row r="87" spans="2:19" ht="28" x14ac:dyDescent="0.15">
      <c r="B87" s="334" t="str">
        <f>B6</f>
        <v>Hammersmith, Fulham, Kensington, Chelsea and Westminster</v>
      </c>
      <c r="C87" s="38" t="s">
        <v>869</v>
      </c>
      <c r="D87" s="38" t="s">
        <v>870</v>
      </c>
      <c r="E87" s="38" t="s">
        <v>871</v>
      </c>
      <c r="F87" s="38" t="s">
        <v>872</v>
      </c>
      <c r="G87" s="38" t="s">
        <v>873</v>
      </c>
      <c r="H87" s="38" t="s">
        <v>874</v>
      </c>
      <c r="I87" s="38" t="s">
        <v>875</v>
      </c>
      <c r="J87" s="38" t="s">
        <v>876</v>
      </c>
      <c r="K87" s="38" t="s">
        <v>877</v>
      </c>
      <c r="L87" s="38" t="s">
        <v>878</v>
      </c>
      <c r="M87" s="38" t="s">
        <v>879</v>
      </c>
      <c r="N87" s="38" t="s">
        <v>880</v>
      </c>
      <c r="O87" s="38" t="s">
        <v>881</v>
      </c>
      <c r="P87" s="38" t="s">
        <v>882</v>
      </c>
      <c r="Q87" s="38" t="s">
        <v>883</v>
      </c>
      <c r="R87" s="38" t="s">
        <v>884</v>
      </c>
      <c r="S87" s="38" t="s">
        <v>999</v>
      </c>
    </row>
    <row r="88" spans="2:19" x14ac:dyDescent="0.15">
      <c r="B88" s="75" t="s">
        <v>996</v>
      </c>
      <c r="C88" s="94">
        <f>SUMIFS('caseload data'!E:E,'caseload data'!$B:$B,"custody",'caseload data'!$C:$C,$B$87)</f>
        <v>0</v>
      </c>
      <c r="D88" s="94">
        <f>SUMIFS('caseload data'!F:F,'caseload data'!$B:$B,"custody",'caseload data'!$C:$C,$B$87)</f>
        <v>0</v>
      </c>
      <c r="E88" s="94">
        <f>SUMIFS('caseload data'!G:G,'caseload data'!$B:$B,"custody",'caseload data'!$C:$C,$B$87)</f>
        <v>0</v>
      </c>
      <c r="F88" s="94">
        <f>SUMIFS('caseload data'!H:H,'caseload data'!$B:$B,"custody",'caseload data'!$C:$C,$B$87)</f>
        <v>0</v>
      </c>
      <c r="G88" s="94">
        <f>SUMIFS('caseload data'!I:I,'caseload data'!$B:$B,"custody",'caseload data'!$C:$C,$B$87)</f>
        <v>0</v>
      </c>
      <c r="H88" s="94">
        <f>SUMIFS('caseload data'!J:J,'caseload data'!$B:$B,"custody",'caseload data'!$C:$C,$B$87)</f>
        <v>0</v>
      </c>
      <c r="I88" s="94">
        <f>SUMIFS('caseload data'!K:K,'caseload data'!$B:$B,"custody",'caseload data'!$C:$C,$B$87)</f>
        <v>0</v>
      </c>
      <c r="J88" s="94">
        <f>SUMIFS('caseload data'!L:L,'caseload data'!$B:$B,"custody",'caseload data'!$C:$C,$B$87)</f>
        <v>0</v>
      </c>
      <c r="K88" s="94">
        <f>SUMIFS('caseload data'!M:M,'caseload data'!$B:$B,"custody",'caseload data'!$C:$C,$B$87)</f>
        <v>0</v>
      </c>
      <c r="L88" s="94">
        <f>SUMIFS('caseload data'!N:N,'caseload data'!$B:$B,"custody",'caseload data'!$C:$C,$B$87)</f>
        <v>0</v>
      </c>
      <c r="M88" s="94">
        <f>SUMIFS('caseload data'!O:O,'caseload data'!$B:$B,"custody",'caseload data'!$C:$C,$B$87)</f>
        <v>0</v>
      </c>
      <c r="N88" s="94">
        <f>SUMIFS('caseload data'!P:P,'caseload data'!$B:$B,"custody",'caseload data'!$C:$C,$B$87)</f>
        <v>0</v>
      </c>
      <c r="O88" s="94">
        <f>SUMIFS('caseload data'!Q:Q,'caseload data'!$B:$B,"custody",'caseload data'!$C:$C,$B$87)</f>
        <v>0</v>
      </c>
      <c r="P88" s="94">
        <f>SUMIFS('caseload data'!R:R,'caseload data'!$B:$B,"custody",'caseload data'!$C:$C,$B$87)</f>
        <v>0</v>
      </c>
      <c r="Q88" s="94">
        <f>SUMIFS('caseload data'!S:S,'caseload data'!$B:$B,"custody",'caseload data'!$C:$C,$B$87)</f>
        <v>0</v>
      </c>
      <c r="R88" s="94">
        <f>SUMIFS('caseload data'!T:T,'caseload data'!$B:$B,"custody",'caseload data'!$C:$C,$B$87)</f>
        <v>0</v>
      </c>
      <c r="S88" s="94">
        <f>SUMIFS('caseload data'!$V:$V,'caseload data'!C:C,$B$87,'caseload data'!B:B,"custody")</f>
        <v>0</v>
      </c>
    </row>
    <row r="89" spans="2:19" x14ac:dyDescent="0.15">
      <c r="B89" s="75" t="s">
        <v>997</v>
      </c>
      <c r="C89" s="75">
        <f>SUMIFS('caseload data'!E:E,'caseload data'!$B:$B,"licence",'caseload data'!$C:$C,$B$87)</f>
        <v>0</v>
      </c>
      <c r="D89" s="75">
        <f>SUMIFS('caseload data'!F:F,'caseload data'!$B:$B,"licence",'caseload data'!$C:$C,$B$87)</f>
        <v>0</v>
      </c>
      <c r="E89" s="75">
        <f>SUMIFS('caseload data'!G:G,'caseload data'!$B:$B,"licence",'caseload data'!$C:$C,$B$87)</f>
        <v>0</v>
      </c>
      <c r="F89" s="75">
        <f>SUMIFS('caseload data'!H:H,'caseload data'!$B:$B,"licence",'caseload data'!$C:$C,$B$87)</f>
        <v>0</v>
      </c>
      <c r="G89" s="75">
        <f>SUMIFS('caseload data'!I:I,'caseload data'!$B:$B,"licence",'caseload data'!$C:$C,$B$87)</f>
        <v>0</v>
      </c>
      <c r="H89" s="75">
        <f>SUMIFS('caseload data'!J:J,'caseload data'!$B:$B,"licence",'caseload data'!$C:$C,$B$87)</f>
        <v>0</v>
      </c>
      <c r="I89" s="75">
        <f>SUMIFS('caseload data'!K:K,'caseload data'!$B:$B,"licence",'caseload data'!$C:$C,$B$87)</f>
        <v>0</v>
      </c>
      <c r="J89" s="75">
        <f>SUMIFS('caseload data'!L:L,'caseload data'!$B:$B,"licence",'caseload data'!$C:$C,$B$87)</f>
        <v>0</v>
      </c>
      <c r="K89" s="75">
        <f>SUMIFS('caseload data'!M:M,'caseload data'!$B:$B,"licence",'caseload data'!$C:$C,$B$87)</f>
        <v>0</v>
      </c>
      <c r="L89" s="75">
        <f>SUMIFS('caseload data'!N:N,'caseload data'!$B:$B,"licence",'caseload data'!$C:$C,$B$87)</f>
        <v>0</v>
      </c>
      <c r="M89" s="75">
        <f>SUMIFS('caseload data'!O:O,'caseload data'!$B:$B,"licence",'caseload data'!$C:$C,$B$87)</f>
        <v>0</v>
      </c>
      <c r="N89" s="75">
        <f>SUMIFS('caseload data'!P:P,'caseload data'!$B:$B,"licence",'caseload data'!$C:$C,$B$87)</f>
        <v>0</v>
      </c>
      <c r="O89" s="75">
        <f>SUMIFS('caseload data'!Q:Q,'caseload data'!$B:$B,"licence",'caseload data'!$C:$C,$B$87)</f>
        <v>0</v>
      </c>
      <c r="P89" s="75">
        <f>SUMIFS('caseload data'!R:R,'caseload data'!$B:$B,"licence",'caseload data'!$C:$C,$B$87)</f>
        <v>0</v>
      </c>
      <c r="Q89" s="75">
        <f>SUMIFS('caseload data'!S:S,'caseload data'!$B:$B,"licence",'caseload data'!$C:$C,$B$87)</f>
        <v>0</v>
      </c>
      <c r="R89" s="75">
        <f>SUMIFS('caseload data'!T:T,'caseload data'!$B:$B,"licence",'caseload data'!$C:$C,$B$87)</f>
        <v>0</v>
      </c>
      <c r="S89" s="75">
        <f>SUMIFS('caseload data'!$V:$V,'caseload data'!C:C,$B$87,'caseload data'!B:B,"licence")</f>
        <v>0</v>
      </c>
    </row>
    <row r="90" spans="2:19" x14ac:dyDescent="0.15">
      <c r="B90" s="75" t="s">
        <v>998</v>
      </c>
      <c r="C90" s="75">
        <f>SUMIFS('caseload data'!E:E,'caseload data'!$B:$B,"community",'caseload data'!$C:$C,$B$87)</f>
        <v>0</v>
      </c>
      <c r="D90" s="75">
        <f>SUMIFS('caseload data'!F:F,'caseload data'!$B:$B,"community",'caseload data'!$C:$C,$B$87)</f>
        <v>0</v>
      </c>
      <c r="E90" s="75">
        <f>SUMIFS('caseload data'!G:G,'caseload data'!$B:$B,"community",'caseload data'!$C:$C,$B$87)</f>
        <v>0</v>
      </c>
      <c r="F90" s="75">
        <f>SUMIFS('caseload data'!H:H,'caseload data'!$B:$B,"community",'caseload data'!$C:$C,$B$87)</f>
        <v>0</v>
      </c>
      <c r="G90" s="75">
        <f>SUMIFS('caseload data'!I:I,'caseload data'!$B:$B,"community",'caseload data'!$C:$C,$B$87)</f>
        <v>0</v>
      </c>
      <c r="H90" s="75">
        <f>SUMIFS('caseload data'!J:J,'caseload data'!$B:$B,"community",'caseload data'!$C:$C,$B$87)</f>
        <v>0</v>
      </c>
      <c r="I90" s="75">
        <f>SUMIFS('caseload data'!K:K,'caseload data'!$B:$B,"community",'caseload data'!$C:$C,$B$87)</f>
        <v>0</v>
      </c>
      <c r="J90" s="75">
        <f>SUMIFS('caseload data'!L:L,'caseload data'!$B:$B,"community",'caseload data'!$C:$C,$B$87)</f>
        <v>0</v>
      </c>
      <c r="K90" s="75">
        <f>SUMIFS('caseload data'!M:M,'caseload data'!$B:$B,"community",'caseload data'!$C:$C,$B$87)</f>
        <v>0</v>
      </c>
      <c r="L90" s="75">
        <f>SUMIFS('caseload data'!N:N,'caseload data'!$B:$B,"community",'caseload data'!$C:$C,$B$87)</f>
        <v>0</v>
      </c>
      <c r="M90" s="75">
        <f>SUMIFS('caseload data'!O:O,'caseload data'!$B:$B,"community",'caseload data'!$C:$C,$B$87)</f>
        <v>0</v>
      </c>
      <c r="N90" s="75">
        <f>SUMIFS('caseload data'!P:P,'caseload data'!$B:$B,"community",'caseload data'!$C:$C,$B$87)</f>
        <v>0</v>
      </c>
      <c r="O90" s="75">
        <f>SUMIFS('caseload data'!Q:Q,'caseload data'!$B:$B,"community",'caseload data'!$C:$C,$B$87)</f>
        <v>0</v>
      </c>
      <c r="P90" s="75">
        <f>SUMIFS('caseload data'!R:R,'caseload data'!$B:$B,"community",'caseload data'!$C:$C,$B$87)</f>
        <v>0</v>
      </c>
      <c r="Q90" s="75">
        <f>SUMIFS('caseload data'!S:S,'caseload data'!$B:$B,"community",'caseload data'!$C:$C,$B$87)</f>
        <v>0</v>
      </c>
      <c r="R90" s="75">
        <f>SUMIFS('caseload data'!T:T,'caseload data'!$B:$B,"community",'caseload data'!$C:$C,$B$87)</f>
        <v>0</v>
      </c>
      <c r="S90" s="75">
        <f>SUMIFS('caseload data'!$V:$V,'caseload data'!C:C,$B$87,'caseload data'!B:B,"community")</f>
        <v>0</v>
      </c>
    </row>
    <row r="91" spans="2:19" x14ac:dyDescent="0.15">
      <c r="B91" s="110" t="s">
        <v>999</v>
      </c>
      <c r="C91" s="110">
        <f>SUMIF('caseload data'!$C:$C,$B$87,'caseload data'!E:E)</f>
        <v>0</v>
      </c>
      <c r="D91" s="110">
        <f>SUMIF('caseload data'!$C:$C,$B$87,'caseload data'!F:F)</f>
        <v>0</v>
      </c>
      <c r="E91" s="110">
        <f>SUMIF('caseload data'!$C:$C,$B$87,'caseload data'!G:G)</f>
        <v>0</v>
      </c>
      <c r="F91" s="110">
        <f>SUMIF('caseload data'!$C:$C,$B$87,'caseload data'!H:H)</f>
        <v>0</v>
      </c>
      <c r="G91" s="110">
        <f>SUMIF('caseload data'!$C:$C,$B$87,'caseload data'!I:I)</f>
        <v>0</v>
      </c>
      <c r="H91" s="110">
        <f>SUMIF('caseload data'!$C:$C,$B$87,'caseload data'!J:J)</f>
        <v>0</v>
      </c>
      <c r="I91" s="110">
        <f>SUMIF('caseload data'!$C:$C,$B$87,'caseload data'!K:K)</f>
        <v>0</v>
      </c>
      <c r="J91" s="110">
        <f>SUMIF('caseload data'!$C:$C,$B$87,'caseload data'!L:L)</f>
        <v>0</v>
      </c>
      <c r="K91" s="110">
        <f>SUMIF('caseload data'!$C:$C,$B$87,'caseload data'!M:M)</f>
        <v>0</v>
      </c>
      <c r="L91" s="110">
        <f>SUMIF('caseload data'!$C:$C,$B$87,'caseload data'!N:N)</f>
        <v>0</v>
      </c>
      <c r="M91" s="110">
        <f>SUMIF('caseload data'!$C:$C,$B$87,'caseload data'!O:O)</f>
        <v>0</v>
      </c>
      <c r="N91" s="110">
        <f>SUMIF('caseload data'!$C:$C,$B$87,'caseload data'!P:P)</f>
        <v>0</v>
      </c>
      <c r="O91" s="110">
        <f>SUMIF('caseload data'!$C:$C,$B$87,'caseload data'!Q:Q)</f>
        <v>0</v>
      </c>
      <c r="P91" s="110">
        <f>SUMIF('caseload data'!$C:$C,$B$87,'caseload data'!R:R)</f>
        <v>0</v>
      </c>
      <c r="Q91" s="110">
        <f>SUMIF('caseload data'!$C:$C,$B$87,'caseload data'!S:S)</f>
        <v>0</v>
      </c>
      <c r="R91" s="110">
        <f>SUMIF('caseload data'!$C:$C,$B$87,'caseload data'!T:T)</f>
        <v>0</v>
      </c>
      <c r="S91" s="110">
        <f>SUMIF('caseload data'!C:C,B87,'caseload data'!V:V)</f>
        <v>0</v>
      </c>
    </row>
    <row r="92" spans="2:19" ht="30" customHeight="1" x14ac:dyDescent="0.2">
      <c r="E92" s="1"/>
      <c r="F92" s="1"/>
    </row>
    <row r="93" spans="2:19" ht="20" x14ac:dyDescent="0.15">
      <c r="B93" s="443" t="s">
        <v>1066</v>
      </c>
      <c r="C93" s="443"/>
      <c r="D93" s="443"/>
      <c r="E93" s="443"/>
      <c r="F93" s="443"/>
      <c r="G93" s="443"/>
      <c r="H93" s="443"/>
      <c r="I93" s="443"/>
      <c r="J93" s="443"/>
      <c r="K93" s="443"/>
      <c r="L93" s="443"/>
      <c r="M93" s="443"/>
      <c r="N93" s="443"/>
      <c r="O93" s="443"/>
      <c r="P93" s="443"/>
      <c r="Q93" s="443"/>
      <c r="R93" s="443"/>
    </row>
    <row r="94" spans="2:19" ht="28" x14ac:dyDescent="0.15">
      <c r="B94" s="334" t="str">
        <f>B6</f>
        <v>Hammersmith, Fulham, Kensington, Chelsea and Westminster</v>
      </c>
      <c r="C94" s="38" t="s">
        <v>869</v>
      </c>
      <c r="D94" s="38" t="s">
        <v>870</v>
      </c>
      <c r="E94" s="38" t="s">
        <v>871</v>
      </c>
      <c r="F94" s="38" t="s">
        <v>872</v>
      </c>
      <c r="G94" s="38" t="s">
        <v>873</v>
      </c>
      <c r="H94" s="38" t="s">
        <v>874</v>
      </c>
      <c r="I94" s="38" t="s">
        <v>875</v>
      </c>
      <c r="J94" s="38" t="s">
        <v>876</v>
      </c>
      <c r="K94" s="38" t="s">
        <v>877</v>
      </c>
      <c r="L94" s="38" t="s">
        <v>878</v>
      </c>
      <c r="M94" s="38" t="s">
        <v>879</v>
      </c>
      <c r="N94" s="38" t="s">
        <v>880</v>
      </c>
      <c r="O94" s="38" t="s">
        <v>881</v>
      </c>
      <c r="P94" s="38" t="s">
        <v>882</v>
      </c>
      <c r="Q94" s="38" t="s">
        <v>883</v>
      </c>
      <c r="R94" s="38" t="s">
        <v>884</v>
      </c>
    </row>
    <row r="95" spans="2:19" x14ac:dyDescent="0.15">
      <c r="B95" s="75" t="s">
        <v>996</v>
      </c>
      <c r="C95" s="66" t="e">
        <f t="shared" ref="C95:P95" si="0">C88/$S$88</f>
        <v>#DIV/0!</v>
      </c>
      <c r="D95" s="66" t="e">
        <f t="shared" si="0"/>
        <v>#DIV/0!</v>
      </c>
      <c r="E95" s="66" t="e">
        <f t="shared" si="0"/>
        <v>#DIV/0!</v>
      </c>
      <c r="F95" s="66" t="e">
        <f t="shared" si="0"/>
        <v>#DIV/0!</v>
      </c>
      <c r="G95" s="66" t="e">
        <f t="shared" si="0"/>
        <v>#DIV/0!</v>
      </c>
      <c r="H95" s="66" t="e">
        <f t="shared" si="0"/>
        <v>#DIV/0!</v>
      </c>
      <c r="I95" s="66" t="e">
        <f t="shared" si="0"/>
        <v>#DIV/0!</v>
      </c>
      <c r="J95" s="66" t="e">
        <f t="shared" si="0"/>
        <v>#DIV/0!</v>
      </c>
      <c r="K95" s="66" t="e">
        <f t="shared" si="0"/>
        <v>#DIV/0!</v>
      </c>
      <c r="L95" s="66" t="e">
        <f t="shared" si="0"/>
        <v>#DIV/0!</v>
      </c>
      <c r="M95" s="66" t="e">
        <f t="shared" si="0"/>
        <v>#DIV/0!</v>
      </c>
      <c r="N95" s="66" t="e">
        <f t="shared" si="0"/>
        <v>#DIV/0!</v>
      </c>
      <c r="O95" s="66" t="e">
        <f t="shared" si="0"/>
        <v>#DIV/0!</v>
      </c>
      <c r="P95" s="66" t="e">
        <f t="shared" si="0"/>
        <v>#DIV/0!</v>
      </c>
      <c r="Q95" s="66" t="e">
        <f t="shared" ref="Q95:R95" si="1">Q88/$S$88</f>
        <v>#DIV/0!</v>
      </c>
      <c r="R95" s="66" t="e">
        <f t="shared" si="1"/>
        <v>#DIV/0!</v>
      </c>
    </row>
    <row r="96" spans="2:19" x14ac:dyDescent="0.15">
      <c r="B96" s="75" t="s">
        <v>997</v>
      </c>
      <c r="C96" s="66" t="e">
        <f>C89/$S$88</f>
        <v>#DIV/0!</v>
      </c>
      <c r="D96" s="66" t="e">
        <f t="shared" ref="D96:P96" si="2">D89/$S$89</f>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ref="Q96:R96" si="3">Q89/$S$89</f>
        <v>#DIV/0!</v>
      </c>
      <c r="R96" s="66" t="e">
        <f t="shared" si="3"/>
        <v>#DIV/0!</v>
      </c>
    </row>
    <row r="97" spans="2:37" x14ac:dyDescent="0.15">
      <c r="B97" s="75" t="s">
        <v>998</v>
      </c>
      <c r="C97" s="66" t="e">
        <f>C90/$S$88</f>
        <v>#DIV/0!</v>
      </c>
      <c r="D97" s="66" t="e">
        <f t="shared" ref="D97:P97" si="4">D90/$S$90</f>
        <v>#DIV/0!</v>
      </c>
      <c r="E97" s="66" t="e">
        <f t="shared" si="4"/>
        <v>#DIV/0!</v>
      </c>
      <c r="F97" s="66" t="e">
        <f t="shared" si="4"/>
        <v>#DIV/0!</v>
      </c>
      <c r="G97" s="66" t="e">
        <f t="shared" si="4"/>
        <v>#DIV/0!</v>
      </c>
      <c r="H97" s="66" t="e">
        <f t="shared" si="4"/>
        <v>#DIV/0!</v>
      </c>
      <c r="I97" s="66" t="e">
        <f t="shared" si="4"/>
        <v>#DIV/0!</v>
      </c>
      <c r="J97" s="66" t="e">
        <f t="shared" si="4"/>
        <v>#DIV/0!</v>
      </c>
      <c r="K97" s="66" t="e">
        <f t="shared" si="4"/>
        <v>#DIV/0!</v>
      </c>
      <c r="L97" s="66" t="e">
        <f t="shared" si="4"/>
        <v>#DIV/0!</v>
      </c>
      <c r="M97" s="66" t="e">
        <f t="shared" si="4"/>
        <v>#DIV/0!</v>
      </c>
      <c r="N97" s="66" t="e">
        <f t="shared" si="4"/>
        <v>#DIV/0!</v>
      </c>
      <c r="O97" s="66" t="e">
        <f t="shared" si="4"/>
        <v>#DIV/0!</v>
      </c>
      <c r="P97" s="66" t="e">
        <f t="shared" si="4"/>
        <v>#DIV/0!</v>
      </c>
      <c r="Q97" s="66" t="e">
        <f t="shared" ref="Q97:R97" si="5">Q90/$S$90</f>
        <v>#DIV/0!</v>
      </c>
      <c r="R97" s="66" t="e">
        <f t="shared" si="5"/>
        <v>#DIV/0!</v>
      </c>
    </row>
    <row r="98" spans="2:37" x14ac:dyDescent="0.15">
      <c r="B98" s="110" t="s">
        <v>999</v>
      </c>
      <c r="C98" s="115" t="e">
        <f t="shared" ref="C98:P98" si="6">C91/$S$91</f>
        <v>#DIV/0!</v>
      </c>
      <c r="D98" s="115" t="e">
        <f t="shared" si="6"/>
        <v>#DIV/0!</v>
      </c>
      <c r="E98" s="115" t="e">
        <f t="shared" si="6"/>
        <v>#DIV/0!</v>
      </c>
      <c r="F98" s="115" t="e">
        <f t="shared" si="6"/>
        <v>#DIV/0!</v>
      </c>
      <c r="G98" s="115" t="e">
        <f t="shared" si="6"/>
        <v>#DIV/0!</v>
      </c>
      <c r="H98" s="115" t="e">
        <f t="shared" si="6"/>
        <v>#DIV/0!</v>
      </c>
      <c r="I98" s="115" t="e">
        <f t="shared" si="6"/>
        <v>#DIV/0!</v>
      </c>
      <c r="J98" s="115" t="e">
        <f t="shared" si="6"/>
        <v>#DIV/0!</v>
      </c>
      <c r="K98" s="115" t="e">
        <f t="shared" si="6"/>
        <v>#DIV/0!</v>
      </c>
      <c r="L98" s="115" t="e">
        <f t="shared" si="6"/>
        <v>#DIV/0!</v>
      </c>
      <c r="M98" s="115" t="e">
        <f t="shared" si="6"/>
        <v>#DIV/0!</v>
      </c>
      <c r="N98" s="115" t="e">
        <f t="shared" si="6"/>
        <v>#DIV/0!</v>
      </c>
      <c r="O98" s="115" t="e">
        <f t="shared" si="6"/>
        <v>#DIV/0!</v>
      </c>
      <c r="P98" s="115" t="e">
        <f t="shared" si="6"/>
        <v>#DIV/0!</v>
      </c>
      <c r="Q98" s="115" t="e">
        <f t="shared" ref="Q98:R98" si="7">Q91/$S$91</f>
        <v>#DIV/0!</v>
      </c>
      <c r="R98" s="115" t="e">
        <f t="shared" si="7"/>
        <v>#DIV/0!</v>
      </c>
    </row>
    <row r="99" spans="2:37" ht="30.75" customHeight="1" x14ac:dyDescent="0.15"/>
    <row r="102" spans="2:37" ht="29" x14ac:dyDescent="0.2">
      <c r="B102" s="334" t="str">
        <f>B6</f>
        <v>Hammersmith, Fulham, Kensington, Chelsea and Westminster</v>
      </c>
      <c r="C102" s="442" t="s">
        <v>1003</v>
      </c>
      <c r="D102" s="443"/>
      <c r="E102" s="443"/>
      <c r="F102" s="443"/>
      <c r="G102" s="443"/>
      <c r="H102" s="443"/>
      <c r="I102" s="443"/>
      <c r="J102" s="443"/>
      <c r="K102" s="443"/>
      <c r="L102" s="443"/>
      <c r="M102" s="443"/>
      <c r="N102" s="443"/>
      <c r="O102" s="443"/>
      <c r="P102" s="443"/>
      <c r="Q102" s="443"/>
      <c r="R102" s="443"/>
      <c r="U102" s="114" t="str">
        <f>B6</f>
        <v>Hammersmith, Fulham, Kensington, Chelsea and Westminster</v>
      </c>
      <c r="V102" s="439" t="s">
        <v>1368</v>
      </c>
      <c r="W102" s="440"/>
      <c r="X102" s="440"/>
      <c r="Y102" s="440"/>
      <c r="Z102" s="440"/>
      <c r="AA102" s="440"/>
      <c r="AB102" s="440"/>
      <c r="AC102" s="440"/>
      <c r="AD102" s="440"/>
      <c r="AE102" s="440"/>
      <c r="AF102" s="440"/>
      <c r="AG102" s="440"/>
      <c r="AH102" s="440"/>
      <c r="AI102" s="440"/>
      <c r="AJ102" s="440"/>
      <c r="AK102" s="441"/>
    </row>
    <row r="103" spans="2:37" ht="15.75" customHeight="1" x14ac:dyDescent="0.15">
      <c r="B103" s="400"/>
      <c r="C103" s="38" t="s">
        <v>869</v>
      </c>
      <c r="D103" s="38" t="s">
        <v>870</v>
      </c>
      <c r="E103" s="38" t="s">
        <v>871</v>
      </c>
      <c r="F103" s="38" t="s">
        <v>872</v>
      </c>
      <c r="G103" s="38" t="s">
        <v>873</v>
      </c>
      <c r="H103" s="38" t="s">
        <v>874</v>
      </c>
      <c r="I103" s="38" t="s">
        <v>875</v>
      </c>
      <c r="J103" s="38" t="s">
        <v>876</v>
      </c>
      <c r="K103" s="38" t="s">
        <v>877</v>
      </c>
      <c r="L103" s="38" t="s">
        <v>878</v>
      </c>
      <c r="M103" s="38" t="s">
        <v>879</v>
      </c>
      <c r="N103" s="38" t="s">
        <v>880</v>
      </c>
      <c r="O103" s="38" t="s">
        <v>881</v>
      </c>
      <c r="P103" s="38" t="s">
        <v>882</v>
      </c>
      <c r="Q103" s="38" t="s">
        <v>883</v>
      </c>
      <c r="R103" s="38" t="s">
        <v>884</v>
      </c>
      <c r="U103" s="95" t="s">
        <v>1006</v>
      </c>
      <c r="V103" s="38" t="s">
        <v>869</v>
      </c>
      <c r="W103" s="38" t="s">
        <v>870</v>
      </c>
      <c r="X103" s="38" t="s">
        <v>871</v>
      </c>
      <c r="Y103" s="38" t="s">
        <v>872</v>
      </c>
      <c r="Z103" s="38" t="s">
        <v>873</v>
      </c>
      <c r="AA103" s="38" t="s">
        <v>874</v>
      </c>
      <c r="AB103" s="38" t="s">
        <v>875</v>
      </c>
      <c r="AC103" s="38" t="s">
        <v>876</v>
      </c>
      <c r="AD103" s="38" t="s">
        <v>877</v>
      </c>
      <c r="AE103" s="38" t="s">
        <v>878</v>
      </c>
      <c r="AF103" s="38" t="s">
        <v>879</v>
      </c>
      <c r="AG103" s="38" t="s">
        <v>880</v>
      </c>
      <c r="AH103" s="38" t="s">
        <v>881</v>
      </c>
      <c r="AI103" s="38" t="s">
        <v>882</v>
      </c>
      <c r="AJ103" s="38" t="s">
        <v>883</v>
      </c>
      <c r="AK103" s="38" t="s">
        <v>884</v>
      </c>
    </row>
    <row r="104" spans="2:37" ht="14.25" customHeight="1" x14ac:dyDescent="0.15">
      <c r="B104" s="75" t="s">
        <v>1002</v>
      </c>
      <c r="C104" s="75">
        <f>SUMIFS('caseload data'!E:E,'caseload data'!$D:$D,"PO",'caseload data'!$C:$C,'cluster overview'!$B$102,'caseload data'!$B:$B,"community")</f>
        <v>0</v>
      </c>
      <c r="D104" s="75">
        <f>SUMIFS('caseload data'!F:F,'caseload data'!$D:$D,"PO",'caseload data'!$C:$C,'cluster overview'!$B$102,'caseload data'!$B:$B,"community")</f>
        <v>0</v>
      </c>
      <c r="E104" s="75">
        <f>SUMIFS('caseload data'!G:G,'caseload data'!$D:$D,"PO",'caseload data'!$C:$C,'cluster overview'!$B$102,'caseload data'!$B:$B,"community")</f>
        <v>0</v>
      </c>
      <c r="F104" s="75">
        <f>SUMIFS('caseload data'!H:H,'caseload data'!$D:$D,"PO",'caseload data'!$C:$C,'cluster overview'!$B$102,'caseload data'!$B:$B,"community")</f>
        <v>0</v>
      </c>
      <c r="G104" s="75">
        <f>SUMIFS('caseload data'!I:I,'caseload data'!$D:$D,"PO",'caseload data'!$C:$C,'cluster overview'!$B$102,'caseload data'!$B:$B,"community")</f>
        <v>0</v>
      </c>
      <c r="H104" s="75">
        <f>SUMIFS('caseload data'!J:J,'caseload data'!$D:$D,"PO",'caseload data'!$C:$C,'cluster overview'!$B$102,'caseload data'!$B:$B,"community")</f>
        <v>0</v>
      </c>
      <c r="I104" s="75">
        <f>SUMIFS('caseload data'!K:K,'caseload data'!$D:$D,"PO",'caseload data'!$C:$C,'cluster overview'!$B$102,'caseload data'!$B:$B,"community")</f>
        <v>0</v>
      </c>
      <c r="J104" s="75">
        <f>SUMIFS('caseload data'!L:L,'caseload data'!$D:$D,"PO",'caseload data'!$C:$C,'cluster overview'!$B$102,'caseload data'!$B:$B,"community")</f>
        <v>0</v>
      </c>
      <c r="K104" s="75">
        <f>SUMIFS('caseload data'!M:M,'caseload data'!$D:$D,"PO",'caseload data'!$C:$C,'cluster overview'!$B$102,'caseload data'!$B:$B,"community")</f>
        <v>0</v>
      </c>
      <c r="L104" s="75">
        <f>SUMIFS('caseload data'!N:N,'caseload data'!$D:$D,"PO",'caseload data'!$C:$C,'cluster overview'!$B$102,'caseload data'!$B:$B,"community")</f>
        <v>0</v>
      </c>
      <c r="M104" s="75">
        <f>SUMIFS('caseload data'!O:O,'caseload data'!$D:$D,"PO",'caseload data'!$C:$C,'cluster overview'!$B$102,'caseload data'!$B:$B,"community")</f>
        <v>0</v>
      </c>
      <c r="N104" s="75">
        <f>SUMIFS('caseload data'!P:P,'caseload data'!$D:$D,"PO",'caseload data'!$C:$C,'cluster overview'!$B$102,'caseload data'!$B:$B,"community")</f>
        <v>0</v>
      </c>
      <c r="O104" s="75">
        <f>SUMIFS('caseload data'!Q:Q,'caseload data'!$D:$D,"PO",'caseload data'!$C:$C,'cluster overview'!$B$102,'caseload data'!$B:$B,"community")</f>
        <v>0</v>
      </c>
      <c r="P104" s="75">
        <f>SUMIFS('caseload data'!R:R,'caseload data'!$D:$D,"PO",'caseload data'!$C:$C,'cluster overview'!$B$102,'caseload data'!$B:$B,"community")</f>
        <v>0</v>
      </c>
      <c r="Q104" s="75">
        <f>SUMIFS('caseload data'!S:S,'caseload data'!$D:$D,"PO",'caseload data'!$C:$C,'cluster overview'!$B$102,'caseload data'!$B:$B,"community")</f>
        <v>0</v>
      </c>
      <c r="R104" s="75">
        <f>SUMIFS('caseload data'!T:T,'caseload data'!$D:$D,"PO",'caseload data'!$C:$C,'cluster overview'!$B$102,'caseload data'!$B:$B,"community")</f>
        <v>0</v>
      </c>
      <c r="U104" s="75" t="s">
        <v>1002</v>
      </c>
      <c r="V104" s="67" t="str">
        <f>IFERROR(C$104/SUM(C$104:C$107),"")</f>
        <v/>
      </c>
      <c r="W104" s="67" t="str">
        <f>IFERROR(D$104/SUM(D$104:D$107),"")</f>
        <v/>
      </c>
      <c r="X104" s="67" t="str">
        <f t="shared" ref="X104:AK104" si="8">IFERROR(E$104/SUM(E$104:E$107),"")</f>
        <v/>
      </c>
      <c r="Y104" s="67" t="str">
        <f t="shared" si="8"/>
        <v/>
      </c>
      <c r="Z104" s="67" t="str">
        <f t="shared" si="8"/>
        <v/>
      </c>
      <c r="AA104" s="67" t="str">
        <f t="shared" si="8"/>
        <v/>
      </c>
      <c r="AB104" s="67" t="str">
        <f t="shared" si="8"/>
        <v/>
      </c>
      <c r="AC104" s="67" t="str">
        <f t="shared" si="8"/>
        <v/>
      </c>
      <c r="AD104" s="67" t="str">
        <f t="shared" si="8"/>
        <v/>
      </c>
      <c r="AE104" s="67" t="str">
        <f t="shared" si="8"/>
        <v/>
      </c>
      <c r="AF104" s="67" t="str">
        <f t="shared" si="8"/>
        <v/>
      </c>
      <c r="AG104" s="67" t="str">
        <f t="shared" si="8"/>
        <v/>
      </c>
      <c r="AH104" s="67" t="str">
        <f t="shared" si="8"/>
        <v/>
      </c>
      <c r="AI104" s="67" t="str">
        <f t="shared" si="8"/>
        <v/>
      </c>
      <c r="AJ104" s="67" t="str">
        <f t="shared" si="8"/>
        <v/>
      </c>
      <c r="AK104" s="67" t="str">
        <f t="shared" si="8"/>
        <v/>
      </c>
    </row>
    <row r="105" spans="2:37" ht="14.25" customHeight="1" x14ac:dyDescent="0.15">
      <c r="B105" s="75" t="s">
        <v>1007</v>
      </c>
      <c r="C105" s="75">
        <f>SUMIFS('caseload data'!E:E,'caseload data'!$D:$D,"PSO",'caseload data'!$C:$C,'cluster overview'!$B$102,'caseload data'!$B:$B,"community")</f>
        <v>0</v>
      </c>
      <c r="D105" s="75">
        <f>SUMIFS('caseload data'!F:F,'caseload data'!$D:$D,"PSO",'caseload data'!$C:$C,'cluster overview'!$B$102,'caseload data'!$B:$B,"community")</f>
        <v>0</v>
      </c>
      <c r="E105" s="75">
        <f>SUMIFS('caseload data'!G:G,'caseload data'!$D:$D,"PSO",'caseload data'!$C:$C,'cluster overview'!$B$102,'caseload data'!$B:$B,"community")</f>
        <v>0</v>
      </c>
      <c r="F105" s="75">
        <f>SUMIFS('caseload data'!H:H,'caseload data'!$D:$D,"PSO",'caseload data'!$C:$C,'cluster overview'!$B$102,'caseload data'!$B:$B,"community")</f>
        <v>0</v>
      </c>
      <c r="G105" s="75">
        <f>SUMIFS('caseload data'!I:I,'caseload data'!$D:$D,"PSO",'caseload data'!$C:$C,'cluster overview'!$B$102,'caseload data'!$B:$B,"community")</f>
        <v>0</v>
      </c>
      <c r="H105" s="75">
        <f>SUMIFS('caseload data'!J:J,'caseload data'!$D:$D,"PSO",'caseload data'!$C:$C,'cluster overview'!$B$102,'caseload data'!$B:$B,"community")</f>
        <v>0</v>
      </c>
      <c r="I105" s="75">
        <f>SUMIFS('caseload data'!K:K,'caseload data'!$D:$D,"PSO",'caseload data'!$C:$C,'cluster overview'!$B$102,'caseload data'!$B:$B,"community")</f>
        <v>0</v>
      </c>
      <c r="J105" s="75">
        <f>SUMIFS('caseload data'!L:L,'caseload data'!$D:$D,"PSO",'caseload data'!$C:$C,'cluster overview'!$B$102,'caseload data'!$B:$B,"community")</f>
        <v>0</v>
      </c>
      <c r="K105" s="75">
        <f>SUMIFS('caseload data'!M:M,'caseload data'!$D:$D,"PSO",'caseload data'!$C:$C,'cluster overview'!$B$102,'caseload data'!$B:$B,"community")</f>
        <v>0</v>
      </c>
      <c r="L105" s="75">
        <f>SUMIFS('caseload data'!N:N,'caseload data'!$D:$D,"PSO",'caseload data'!$C:$C,'cluster overview'!$B$102,'caseload data'!$B:$B,"community")</f>
        <v>0</v>
      </c>
      <c r="M105" s="75">
        <f>SUMIFS('caseload data'!O:O,'caseload data'!$D:$D,"PSO",'caseload data'!$C:$C,'cluster overview'!$B$102,'caseload data'!$B:$B,"community")</f>
        <v>0</v>
      </c>
      <c r="N105" s="75">
        <f>SUMIFS('caseload data'!P:P,'caseload data'!$D:$D,"PSO",'caseload data'!$C:$C,'cluster overview'!$B$102,'caseload data'!$B:$B,"community")</f>
        <v>0</v>
      </c>
      <c r="O105" s="75">
        <f>SUMIFS('caseload data'!Q:Q,'caseload data'!$D:$D,"PSO",'caseload data'!$C:$C,'cluster overview'!$B$102,'caseload data'!$B:$B,"community")</f>
        <v>0</v>
      </c>
      <c r="P105" s="75">
        <f>SUMIFS('caseload data'!R:R,'caseload data'!$D:$D,"PSO",'caseload data'!$C:$C,'cluster overview'!$B$102,'caseload data'!$B:$B,"community")</f>
        <v>0</v>
      </c>
      <c r="Q105" s="75">
        <f>SUMIFS('caseload data'!S:S,'caseload data'!$D:$D,"PSO",'caseload data'!$C:$C,'cluster overview'!$B$102,'caseload data'!$B:$B,"community")</f>
        <v>0</v>
      </c>
      <c r="R105" s="75">
        <f>SUMIFS('caseload data'!T:T,'caseload data'!$D:$D,"PSO",'caseload data'!$C:$C,'cluster overview'!$B$102,'caseload data'!$B:$B,"community")</f>
        <v>0</v>
      </c>
      <c r="U105" s="75" t="s">
        <v>1007</v>
      </c>
      <c r="V105" s="67" t="str">
        <f>IFERROR(C$105/SUM(C$104:C$107),"")</f>
        <v/>
      </c>
      <c r="W105" s="67" t="str">
        <f>IFERROR(D$105/SUM(D$104:D$107),"")</f>
        <v/>
      </c>
      <c r="X105" s="67" t="str">
        <f t="shared" ref="X105:AK105" si="9">IFERROR(E$105/SUM(E$104:E$107),"")</f>
        <v/>
      </c>
      <c r="Y105" s="67" t="str">
        <f t="shared" si="9"/>
        <v/>
      </c>
      <c r="Z105" s="67" t="str">
        <f t="shared" si="9"/>
        <v/>
      </c>
      <c r="AA105" s="67" t="str">
        <f t="shared" si="9"/>
        <v/>
      </c>
      <c r="AB105" s="67" t="str">
        <f t="shared" si="9"/>
        <v/>
      </c>
      <c r="AC105" s="67" t="str">
        <f t="shared" si="9"/>
        <v/>
      </c>
      <c r="AD105" s="67" t="str">
        <f t="shared" si="9"/>
        <v/>
      </c>
      <c r="AE105" s="67" t="str">
        <f t="shared" si="9"/>
        <v/>
      </c>
      <c r="AF105" s="67" t="str">
        <f t="shared" si="9"/>
        <v/>
      </c>
      <c r="AG105" s="67" t="str">
        <f t="shared" si="9"/>
        <v/>
      </c>
      <c r="AH105" s="67" t="str">
        <f t="shared" si="9"/>
        <v/>
      </c>
      <c r="AI105" s="67" t="str">
        <f t="shared" si="9"/>
        <v/>
      </c>
      <c r="AJ105" s="67" t="str">
        <f t="shared" si="9"/>
        <v/>
      </c>
      <c r="AK105" s="67" t="str">
        <f t="shared" si="9"/>
        <v/>
      </c>
    </row>
    <row r="106" spans="2:37" ht="14.25" customHeight="1" x14ac:dyDescent="0.15">
      <c r="B106" s="75" t="s">
        <v>1008</v>
      </c>
      <c r="C106" s="75">
        <f>SUMIFS('caseload data'!E:E,'caseload data'!$D:$D,"TPO",'caseload data'!$C:$C,'cluster overview'!$B$102,'caseload data'!$B:$B,"community")</f>
        <v>0</v>
      </c>
      <c r="D106" s="75">
        <f>SUMIFS('caseload data'!F:F,'caseload data'!$D:$D,"TPO",'caseload data'!$C:$C,'cluster overview'!$B$102,'caseload data'!$B:$B,"community")</f>
        <v>0</v>
      </c>
      <c r="E106" s="75">
        <f>SUMIFS('caseload data'!G:G,'caseload data'!$D:$D,"TPO",'caseload data'!$C:$C,'cluster overview'!$B$102,'caseload data'!$B:$B,"community")</f>
        <v>0</v>
      </c>
      <c r="F106" s="75">
        <f>SUMIFS('caseload data'!H:H,'caseload data'!$D:$D,"TPO",'caseload data'!$C:$C,'cluster overview'!$B$102,'caseload data'!$B:$B,"community")</f>
        <v>0</v>
      </c>
      <c r="G106" s="75">
        <f>SUMIFS('caseload data'!I:I,'caseload data'!$D:$D,"TPO",'caseload data'!$C:$C,'cluster overview'!$B$102,'caseload data'!$B:$B,"community")</f>
        <v>0</v>
      </c>
      <c r="H106" s="75">
        <f>SUMIFS('caseload data'!J:J,'caseload data'!$D:$D,"TPO",'caseload data'!$C:$C,'cluster overview'!$B$102,'caseload data'!$B:$B,"community")</f>
        <v>0</v>
      </c>
      <c r="I106" s="75">
        <f>SUMIFS('caseload data'!K:K,'caseload data'!$D:$D,"TPO",'caseload data'!$C:$C,'cluster overview'!$B$102,'caseload data'!$B:$B,"community")</f>
        <v>0</v>
      </c>
      <c r="J106" s="75">
        <f>SUMIFS('caseload data'!L:L,'caseload data'!$D:$D,"TPO",'caseload data'!$C:$C,'cluster overview'!$B$102,'caseload data'!$B:$B,"community")</f>
        <v>0</v>
      </c>
      <c r="K106" s="75">
        <f>SUMIFS('caseload data'!M:M,'caseload data'!$D:$D,"TPO",'caseload data'!$C:$C,'cluster overview'!$B$102,'caseload data'!$B:$B,"community")</f>
        <v>0</v>
      </c>
      <c r="L106" s="75">
        <f>SUMIFS('caseload data'!N:N,'caseload data'!$D:$D,"TPO",'caseload data'!$C:$C,'cluster overview'!$B$102,'caseload data'!$B:$B,"community")</f>
        <v>0</v>
      </c>
      <c r="M106" s="75">
        <f>SUMIFS('caseload data'!O:O,'caseload data'!$D:$D,"TPO",'caseload data'!$C:$C,'cluster overview'!$B$102,'caseload data'!$B:$B,"community")</f>
        <v>0</v>
      </c>
      <c r="N106" s="75">
        <f>SUMIFS('caseload data'!P:P,'caseload data'!$D:$D,"TPO",'caseload data'!$C:$C,'cluster overview'!$B$102,'caseload data'!$B:$B,"community")</f>
        <v>0</v>
      </c>
      <c r="O106" s="75">
        <f>SUMIFS('caseload data'!Q:Q,'caseload data'!$D:$D,"TPO",'caseload data'!$C:$C,'cluster overview'!$B$102,'caseload data'!$B:$B,"community")</f>
        <v>0</v>
      </c>
      <c r="P106" s="75">
        <f>SUMIFS('caseload data'!R:R,'caseload data'!$D:$D,"TPO",'caseload data'!$C:$C,'cluster overview'!$B$102,'caseload data'!$B:$B,"community")</f>
        <v>0</v>
      </c>
      <c r="Q106" s="75">
        <f>SUMIFS('caseload data'!S:S,'caseload data'!$D:$D,"TPO",'caseload data'!$C:$C,'cluster overview'!$B$102,'caseload data'!$B:$B,"community")</f>
        <v>0</v>
      </c>
      <c r="R106" s="75">
        <f>SUMIFS('caseload data'!T:T,'caseload data'!$D:$D,"TPO",'caseload data'!$C:$C,'cluster overview'!$B$102,'caseload data'!$B:$B,"community")</f>
        <v>0</v>
      </c>
      <c r="U106" s="75" t="s">
        <v>1008</v>
      </c>
      <c r="V106" s="67" t="str">
        <f>IFERROR(C$106/SUM(C$104:C$107),"")</f>
        <v/>
      </c>
      <c r="W106" s="67" t="str">
        <f>IFERROR(D$106/SUM(D$104:D$107),"")</f>
        <v/>
      </c>
      <c r="X106" s="67" t="str">
        <f t="shared" ref="X106:AK106" si="10">IFERROR(E$106/SUM(E$104:E$107),"")</f>
        <v/>
      </c>
      <c r="Y106" s="67" t="str">
        <f t="shared" si="10"/>
        <v/>
      </c>
      <c r="Z106" s="67" t="str">
        <f t="shared" si="10"/>
        <v/>
      </c>
      <c r="AA106" s="67" t="str">
        <f t="shared" si="10"/>
        <v/>
      </c>
      <c r="AB106" s="67" t="str">
        <f t="shared" si="10"/>
        <v/>
      </c>
      <c r="AC106" s="67" t="str">
        <f t="shared" si="10"/>
        <v/>
      </c>
      <c r="AD106" s="67" t="str">
        <f t="shared" si="10"/>
        <v/>
      </c>
      <c r="AE106" s="67" t="str">
        <f t="shared" si="10"/>
        <v/>
      </c>
      <c r="AF106" s="67" t="str">
        <f t="shared" si="10"/>
        <v/>
      </c>
      <c r="AG106" s="67" t="str">
        <f t="shared" si="10"/>
        <v/>
      </c>
      <c r="AH106" s="67" t="str">
        <f t="shared" si="10"/>
        <v/>
      </c>
      <c r="AI106" s="67" t="str">
        <f t="shared" si="10"/>
        <v/>
      </c>
      <c r="AJ106" s="67" t="str">
        <f t="shared" si="10"/>
        <v/>
      </c>
      <c r="AK106" s="67" t="str">
        <f t="shared" si="10"/>
        <v/>
      </c>
    </row>
    <row r="107" spans="2:37" ht="14.25" customHeight="1" x14ac:dyDescent="0.15">
      <c r="B107" s="75" t="s">
        <v>1009</v>
      </c>
      <c r="C107" s="75">
        <f>SUMIFS('caseload data'!E:E,'caseload data'!$D:$D,"SPO",'caseload data'!$C:$C,'cluster overview'!$B$102,'caseload data'!$B:$B,"community")</f>
        <v>0</v>
      </c>
      <c r="D107" s="75">
        <f>SUMIFS('caseload data'!F:F,'caseload data'!$D:$D,"SPO",'caseload data'!$C:$C,'cluster overview'!$B$102,'caseload data'!$B:$B,"community")</f>
        <v>0</v>
      </c>
      <c r="E107" s="75">
        <f>SUMIFS('caseload data'!G:G,'caseload data'!$D:$D,"SPO",'caseload data'!$C:$C,'cluster overview'!$B$102,'caseload data'!$B:$B,"community")</f>
        <v>0</v>
      </c>
      <c r="F107" s="75">
        <f>SUMIFS('caseload data'!H:H,'caseload data'!$D:$D,"SPO",'caseload data'!$C:$C,'cluster overview'!$B$102,'caseload data'!$B:$B,"community")</f>
        <v>0</v>
      </c>
      <c r="G107" s="75">
        <f>SUMIFS('caseload data'!I:I,'caseload data'!$D:$D,"SPO",'caseload data'!$C:$C,'cluster overview'!$B$102,'caseload data'!$B:$B,"community")</f>
        <v>0</v>
      </c>
      <c r="H107" s="75">
        <f>SUMIFS('caseload data'!J:J,'caseload data'!$D:$D,"SPO",'caseload data'!$C:$C,'cluster overview'!$B$102,'caseload data'!$B:$B,"community")</f>
        <v>0</v>
      </c>
      <c r="I107" s="75">
        <f>SUMIFS('caseload data'!K:K,'caseload data'!$D:$D,"SPO",'caseload data'!$C:$C,'cluster overview'!$B$102,'caseload data'!$B:$B,"community")</f>
        <v>0</v>
      </c>
      <c r="J107" s="75">
        <f>SUMIFS('caseload data'!L:L,'caseload data'!$D:$D,"SPO",'caseload data'!$C:$C,'cluster overview'!$B$102,'caseload data'!$B:$B,"community")</f>
        <v>0</v>
      </c>
      <c r="K107" s="75">
        <f>SUMIFS('caseload data'!M:M,'caseload data'!$D:$D,"SPO",'caseload data'!$C:$C,'cluster overview'!$B$102,'caseload data'!$B:$B,"community")</f>
        <v>0</v>
      </c>
      <c r="L107" s="75">
        <f>SUMIFS('caseload data'!N:N,'caseload data'!$D:$D,"SPO",'caseload data'!$C:$C,'cluster overview'!$B$102,'caseload data'!$B:$B,"community")</f>
        <v>0</v>
      </c>
      <c r="M107" s="75">
        <f>SUMIFS('caseload data'!O:O,'caseload data'!$D:$D,"SPO",'caseload data'!$C:$C,'cluster overview'!$B$102,'caseload data'!$B:$B,"community")</f>
        <v>0</v>
      </c>
      <c r="N107" s="75">
        <f>SUMIFS('caseload data'!P:P,'caseload data'!$D:$D,"SPO",'caseload data'!$C:$C,'cluster overview'!$B$102,'caseload data'!$B:$B,"community")</f>
        <v>0</v>
      </c>
      <c r="O107" s="75">
        <f>SUMIFS('caseload data'!Q:Q,'caseload data'!$D:$D,"SPO",'caseload data'!$C:$C,'cluster overview'!$B$102,'caseload data'!$B:$B,"community")</f>
        <v>0</v>
      </c>
      <c r="P107" s="75">
        <f>SUMIFS('caseload data'!R:R,'caseload data'!$D:$D,"SPO",'caseload data'!$C:$C,'cluster overview'!$B$102,'caseload data'!$B:$B,"community")</f>
        <v>0</v>
      </c>
      <c r="Q107" s="75">
        <f>SUMIFS('caseload data'!S:S,'caseload data'!$D:$D,"SPO",'caseload data'!$C:$C,'cluster overview'!$B$102,'caseload data'!$B:$B,"community")</f>
        <v>0</v>
      </c>
      <c r="R107" s="75">
        <f>SUMIFS('caseload data'!T:T,'caseload data'!$D:$D,"SPO",'caseload data'!$C:$C,'cluster overview'!$B$102,'caseload data'!$B:$B,"community")</f>
        <v>0</v>
      </c>
      <c r="U107" s="75" t="s">
        <v>1009</v>
      </c>
      <c r="V107" s="67" t="str">
        <f>IFERROR(C$107/SUM(C$104:C$107),"")</f>
        <v/>
      </c>
      <c r="W107" s="67" t="str">
        <f>IFERROR(D$107/SUM(D$104:D$107),"")</f>
        <v/>
      </c>
      <c r="X107" s="67" t="str">
        <f t="shared" ref="X107:AK107" si="11">IFERROR(E$107/SUM(E$104:E$107),"")</f>
        <v/>
      </c>
      <c r="Y107" s="67" t="str">
        <f t="shared" si="11"/>
        <v/>
      </c>
      <c r="Z107" s="67" t="str">
        <f t="shared" si="11"/>
        <v/>
      </c>
      <c r="AA107" s="67" t="str">
        <f t="shared" si="11"/>
        <v/>
      </c>
      <c r="AB107" s="67" t="str">
        <f t="shared" si="11"/>
        <v/>
      </c>
      <c r="AC107" s="67" t="str">
        <f t="shared" si="11"/>
        <v/>
      </c>
      <c r="AD107" s="67" t="str">
        <f t="shared" si="11"/>
        <v/>
      </c>
      <c r="AE107" s="67" t="str">
        <f t="shared" si="11"/>
        <v/>
      </c>
      <c r="AF107" s="67" t="str">
        <f t="shared" si="11"/>
        <v/>
      </c>
      <c r="AG107" s="67" t="str">
        <f t="shared" si="11"/>
        <v/>
      </c>
      <c r="AH107" s="67" t="str">
        <f t="shared" si="11"/>
        <v/>
      </c>
      <c r="AI107" s="67" t="str">
        <f t="shared" si="11"/>
        <v/>
      </c>
      <c r="AJ107" s="67" t="str">
        <f t="shared" si="11"/>
        <v/>
      </c>
      <c r="AK107" s="67" t="str">
        <f t="shared" si="11"/>
        <v/>
      </c>
    </row>
    <row r="108" spans="2:37" ht="32.25" customHeight="1" x14ac:dyDescent="0.15">
      <c r="B108" s="21"/>
    </row>
    <row r="109" spans="2:37" ht="14.25" customHeight="1" x14ac:dyDescent="0.2">
      <c r="B109" s="334" t="str">
        <f>B6</f>
        <v>Hammersmith, Fulham, Kensington, Chelsea and Westminster</v>
      </c>
      <c r="C109" s="442" t="s">
        <v>1010</v>
      </c>
      <c r="D109" s="443"/>
      <c r="E109" s="443"/>
      <c r="F109" s="443"/>
      <c r="G109" s="443"/>
      <c r="H109" s="443"/>
      <c r="I109" s="443"/>
      <c r="J109" s="443"/>
      <c r="K109" s="443"/>
      <c r="L109" s="443"/>
      <c r="M109" s="443"/>
      <c r="N109" s="443"/>
      <c r="O109" s="443"/>
      <c r="P109" s="443"/>
      <c r="Q109" s="443"/>
      <c r="R109" s="443"/>
      <c r="U109" s="114" t="str">
        <f>B6</f>
        <v>Hammersmith, Fulham, Kensington, Chelsea and Westminster</v>
      </c>
      <c r="V109" s="439" t="s">
        <v>1369</v>
      </c>
      <c r="W109" s="440"/>
      <c r="X109" s="440"/>
      <c r="Y109" s="440"/>
      <c r="Z109" s="440"/>
      <c r="AA109" s="440"/>
      <c r="AB109" s="440"/>
      <c r="AC109" s="440"/>
      <c r="AD109" s="440"/>
      <c r="AE109" s="440"/>
      <c r="AF109" s="440"/>
      <c r="AG109" s="440"/>
      <c r="AH109" s="440"/>
      <c r="AI109" s="440"/>
      <c r="AJ109" s="440"/>
      <c r="AK109" s="441"/>
    </row>
    <row r="110" spans="2:37" ht="14.25" customHeight="1" x14ac:dyDescent="0.15">
      <c r="B110" s="95" t="s">
        <v>1005</v>
      </c>
      <c r="C110" s="38" t="s">
        <v>869</v>
      </c>
      <c r="D110" s="38" t="s">
        <v>870</v>
      </c>
      <c r="E110" s="38" t="s">
        <v>871</v>
      </c>
      <c r="F110" s="38" t="s">
        <v>872</v>
      </c>
      <c r="G110" s="38" t="s">
        <v>873</v>
      </c>
      <c r="H110" s="38" t="s">
        <v>874</v>
      </c>
      <c r="I110" s="38" t="s">
        <v>875</v>
      </c>
      <c r="J110" s="38" t="s">
        <v>876</v>
      </c>
      <c r="K110" s="38" t="s">
        <v>877</v>
      </c>
      <c r="L110" s="38" t="s">
        <v>878</v>
      </c>
      <c r="M110" s="38" t="s">
        <v>879</v>
      </c>
      <c r="N110" s="38" t="s">
        <v>880</v>
      </c>
      <c r="O110" s="38" t="s">
        <v>881</v>
      </c>
      <c r="P110" s="38" t="s">
        <v>882</v>
      </c>
      <c r="Q110" s="38" t="s">
        <v>883</v>
      </c>
      <c r="R110" s="38" t="s">
        <v>884</v>
      </c>
      <c r="U110" s="95" t="s">
        <v>1006</v>
      </c>
      <c r="V110" s="38" t="s">
        <v>869</v>
      </c>
      <c r="W110" s="38" t="s">
        <v>870</v>
      </c>
      <c r="X110" s="38" t="s">
        <v>871</v>
      </c>
      <c r="Y110" s="38" t="s">
        <v>872</v>
      </c>
      <c r="Z110" s="38" t="s">
        <v>873</v>
      </c>
      <c r="AA110" s="38" t="s">
        <v>874</v>
      </c>
      <c r="AB110" s="38" t="s">
        <v>875</v>
      </c>
      <c r="AC110" s="38" t="s">
        <v>876</v>
      </c>
      <c r="AD110" s="38" t="s">
        <v>877</v>
      </c>
      <c r="AE110" s="38" t="s">
        <v>878</v>
      </c>
      <c r="AF110" s="38" t="s">
        <v>879</v>
      </c>
      <c r="AG110" s="38" t="s">
        <v>880</v>
      </c>
      <c r="AH110" s="38" t="s">
        <v>881</v>
      </c>
      <c r="AI110" s="38" t="s">
        <v>882</v>
      </c>
      <c r="AJ110" s="38" t="s">
        <v>883</v>
      </c>
      <c r="AK110" s="38" t="s">
        <v>884</v>
      </c>
    </row>
    <row r="111" spans="2:37" ht="14.25" customHeight="1" x14ac:dyDescent="0.15">
      <c r="B111" s="75" t="s">
        <v>1002</v>
      </c>
      <c r="C111" s="75">
        <f>SUMIFS('caseload data'!E:E,'caseload data'!$D:$D,"PO",'caseload data'!$C:$C,'cluster overview'!$B$102,'caseload data'!$B:$B,"licence")</f>
        <v>0</v>
      </c>
      <c r="D111" s="75">
        <f>SUMIFS('caseload data'!F:F,'caseload data'!$D:$D,"PO",'caseload data'!$C:$C,'cluster overview'!$B$102,'caseload data'!$B:$B,"licence")</f>
        <v>0</v>
      </c>
      <c r="E111" s="75">
        <f>SUMIFS('caseload data'!G:G,'caseload data'!$D:$D,"PO",'caseload data'!$C:$C,'cluster overview'!$B$102,'caseload data'!$B:$B,"licence")</f>
        <v>0</v>
      </c>
      <c r="F111" s="75">
        <f>SUMIFS('caseload data'!H:H,'caseload data'!$D:$D,"PO",'caseload data'!$C:$C,'cluster overview'!$B$102,'caseload data'!$B:$B,"licence")</f>
        <v>0</v>
      </c>
      <c r="G111" s="75">
        <f>SUMIFS('caseload data'!I:I,'caseload data'!$D:$D,"PO",'caseload data'!$C:$C,'cluster overview'!$B$102,'caseload data'!$B:$B,"licence")</f>
        <v>0</v>
      </c>
      <c r="H111" s="75">
        <f>SUMIFS('caseload data'!J:J,'caseload data'!$D:$D,"PO",'caseload data'!$C:$C,'cluster overview'!$B$102,'caseload data'!$B:$B,"licence")</f>
        <v>0</v>
      </c>
      <c r="I111" s="75">
        <f>SUMIFS('caseload data'!K:K,'caseload data'!$D:$D,"PO",'caseload data'!$C:$C,'cluster overview'!$B$102,'caseload data'!$B:$B,"licence")</f>
        <v>0</v>
      </c>
      <c r="J111" s="75">
        <f>SUMIFS('caseload data'!L:L,'caseload data'!$D:$D,"PO",'caseload data'!$C:$C,'cluster overview'!$B$102,'caseload data'!$B:$B,"licence")</f>
        <v>0</v>
      </c>
      <c r="K111" s="75">
        <f>SUMIFS('caseload data'!M:M,'caseload data'!$D:$D,"PO",'caseload data'!$C:$C,'cluster overview'!$B$102,'caseload data'!$B:$B,"licence")</f>
        <v>0</v>
      </c>
      <c r="L111" s="75">
        <f>SUMIFS('caseload data'!N:N,'caseload data'!$D:$D,"PO",'caseload data'!$C:$C,'cluster overview'!$B$102,'caseload data'!$B:$B,"licence")</f>
        <v>0</v>
      </c>
      <c r="M111" s="75">
        <f>SUMIFS('caseload data'!O:O,'caseload data'!$D:$D,"PO",'caseload data'!$C:$C,'cluster overview'!$B$102,'caseload data'!$B:$B,"licence")</f>
        <v>0</v>
      </c>
      <c r="N111" s="75">
        <f>SUMIFS('caseload data'!P:P,'caseload data'!$D:$D,"PO",'caseload data'!$C:$C,'cluster overview'!$B$102,'caseload data'!$B:$B,"licence")</f>
        <v>0</v>
      </c>
      <c r="O111" s="75">
        <f>SUMIFS('caseload data'!Q:Q,'caseload data'!$D:$D,"PO",'caseload data'!$C:$C,'cluster overview'!$B$102,'caseload data'!$B:$B,"licence")</f>
        <v>0</v>
      </c>
      <c r="P111" s="75">
        <f>SUMIFS('caseload data'!R:R,'caseload data'!$D:$D,"PO",'caseload data'!$C:$C,'cluster overview'!$B$102,'caseload data'!$B:$B,"licence")</f>
        <v>0</v>
      </c>
      <c r="Q111" s="75">
        <f>SUMIFS('caseload data'!S:S,'caseload data'!$D:$D,"PO",'caseload data'!$C:$C,'cluster overview'!$B$102,'caseload data'!$B:$B,"licence")</f>
        <v>0</v>
      </c>
      <c r="R111" s="75">
        <f>SUMIFS('caseload data'!T:T,'caseload data'!$D:$D,"PO",'caseload data'!$C:$C,'cluster overview'!$B$102,'caseload data'!$B:$B,"licence")</f>
        <v>0</v>
      </c>
      <c r="U111" s="75" t="s">
        <v>1002</v>
      </c>
      <c r="V111" s="67" t="str">
        <f>IFERROR(C$111/SUM(C$111:C$114),"")</f>
        <v/>
      </c>
      <c r="W111" s="67" t="str">
        <f>IFERROR(D$111/SUM(D$111:D$114),"")</f>
        <v/>
      </c>
      <c r="X111" s="67" t="str">
        <f t="shared" ref="X111:AK111" si="12">IFERROR(E$111/SUM(E$111:E$114),"")</f>
        <v/>
      </c>
      <c r="Y111" s="67" t="str">
        <f t="shared" si="12"/>
        <v/>
      </c>
      <c r="Z111" s="67" t="str">
        <f t="shared" si="12"/>
        <v/>
      </c>
      <c r="AA111" s="67" t="str">
        <f t="shared" si="12"/>
        <v/>
      </c>
      <c r="AB111" s="67" t="str">
        <f t="shared" si="12"/>
        <v/>
      </c>
      <c r="AC111" s="67" t="str">
        <f t="shared" si="12"/>
        <v/>
      </c>
      <c r="AD111" s="67" t="str">
        <f t="shared" si="12"/>
        <v/>
      </c>
      <c r="AE111" s="67" t="str">
        <f t="shared" si="12"/>
        <v/>
      </c>
      <c r="AF111" s="67" t="str">
        <f t="shared" si="12"/>
        <v/>
      </c>
      <c r="AG111" s="67" t="str">
        <f t="shared" si="12"/>
        <v/>
      </c>
      <c r="AH111" s="67" t="str">
        <f t="shared" si="12"/>
        <v/>
      </c>
      <c r="AI111" s="67" t="str">
        <f t="shared" si="12"/>
        <v/>
      </c>
      <c r="AJ111" s="67" t="str">
        <f t="shared" si="12"/>
        <v/>
      </c>
      <c r="AK111" s="67" t="str">
        <f t="shared" si="12"/>
        <v/>
      </c>
    </row>
    <row r="112" spans="2:37" ht="14.25" customHeight="1" x14ac:dyDescent="0.15">
      <c r="B112" s="75" t="s">
        <v>1007</v>
      </c>
      <c r="C112" s="75">
        <f>SUMIFS('caseload data'!E:E,'caseload data'!$D:$D,"PSO",'caseload data'!$C:$C,'cluster overview'!$B$102,'caseload data'!$B:$B,"licence")</f>
        <v>0</v>
      </c>
      <c r="D112" s="75">
        <f>SUMIFS('caseload data'!F:F,'caseload data'!$D:$D,"PSO",'caseload data'!$C:$C,'cluster overview'!$B$102,'caseload data'!$B:$B,"licence")</f>
        <v>0</v>
      </c>
      <c r="E112" s="75">
        <f>SUMIFS('caseload data'!G:G,'caseload data'!$D:$D,"PSO",'caseload data'!$C:$C,'cluster overview'!$B$102,'caseload data'!$B:$B,"licence")</f>
        <v>0</v>
      </c>
      <c r="F112" s="75">
        <f>SUMIFS('caseload data'!H:H,'caseload data'!$D:$D,"PSO",'caseload data'!$C:$C,'cluster overview'!$B$102,'caseload data'!$B:$B,"licence")</f>
        <v>0</v>
      </c>
      <c r="G112" s="75">
        <f>SUMIFS('caseload data'!I:I,'caseload data'!$D:$D,"PSO",'caseload data'!$C:$C,'cluster overview'!$B$102,'caseload data'!$B:$B,"licence")</f>
        <v>0</v>
      </c>
      <c r="H112" s="75">
        <f>SUMIFS('caseload data'!J:J,'caseload data'!$D:$D,"PSO",'caseload data'!$C:$C,'cluster overview'!$B$102,'caseload data'!$B:$B,"licence")</f>
        <v>0</v>
      </c>
      <c r="I112" s="75">
        <f>SUMIFS('caseload data'!K:K,'caseload data'!$D:$D,"PSO",'caseload data'!$C:$C,'cluster overview'!$B$102,'caseload data'!$B:$B,"licence")</f>
        <v>0</v>
      </c>
      <c r="J112" s="75">
        <f>SUMIFS('caseload data'!L:L,'caseload data'!$D:$D,"PSO",'caseload data'!$C:$C,'cluster overview'!$B$102,'caseload data'!$B:$B,"licence")</f>
        <v>0</v>
      </c>
      <c r="K112" s="75">
        <f>SUMIFS('caseload data'!M:M,'caseload data'!$D:$D,"PSO",'caseload data'!$C:$C,'cluster overview'!$B$102,'caseload data'!$B:$B,"licence")</f>
        <v>0</v>
      </c>
      <c r="L112" s="75">
        <f>SUMIFS('caseload data'!N:N,'caseload data'!$D:$D,"PSO",'caseload data'!$C:$C,'cluster overview'!$B$102,'caseload data'!$B:$B,"licence")</f>
        <v>0</v>
      </c>
      <c r="M112" s="75">
        <f>SUMIFS('caseload data'!O:O,'caseload data'!$D:$D,"PSO",'caseload data'!$C:$C,'cluster overview'!$B$102,'caseload data'!$B:$B,"licence")</f>
        <v>0</v>
      </c>
      <c r="N112" s="75">
        <f>SUMIFS('caseload data'!P:P,'caseload data'!$D:$D,"PSO",'caseload data'!$C:$C,'cluster overview'!$B$102,'caseload data'!$B:$B,"licence")</f>
        <v>0</v>
      </c>
      <c r="O112" s="75">
        <f>SUMIFS('caseload data'!Q:Q,'caseload data'!$D:$D,"PSO",'caseload data'!$C:$C,'cluster overview'!$B$102,'caseload data'!$B:$B,"licence")</f>
        <v>0</v>
      </c>
      <c r="P112" s="75">
        <f>SUMIFS('caseload data'!R:R,'caseload data'!$D:$D,"PSO",'caseload data'!$C:$C,'cluster overview'!$B$102,'caseload data'!$B:$B,"licence")</f>
        <v>0</v>
      </c>
      <c r="Q112" s="75">
        <f>SUMIFS('caseload data'!S:S,'caseload data'!$D:$D,"PSO",'caseload data'!$C:$C,'cluster overview'!$B$102,'caseload data'!$B:$B,"licence")</f>
        <v>0</v>
      </c>
      <c r="R112" s="75">
        <f>SUMIFS('caseload data'!T:T,'caseload data'!$D:$D,"PSO",'caseload data'!$C:$C,'cluster overview'!$B$102,'caseload data'!$B:$B,"licence")</f>
        <v>0</v>
      </c>
      <c r="U112" s="75" t="s">
        <v>1007</v>
      </c>
      <c r="V112" s="67" t="str">
        <f>IFERROR(C$112/SUM(C$111:C$114),"")</f>
        <v/>
      </c>
      <c r="W112" s="67" t="str">
        <f>IFERROR(D$112/SUM(D$111:D$114),"")</f>
        <v/>
      </c>
      <c r="X112" s="67" t="str">
        <f t="shared" ref="X112:AK112" si="13">IFERROR(E$112/SUM(E$111:E$114),"")</f>
        <v/>
      </c>
      <c r="Y112" s="67" t="str">
        <f t="shared" si="13"/>
        <v/>
      </c>
      <c r="Z112" s="67" t="str">
        <f t="shared" si="13"/>
        <v/>
      </c>
      <c r="AA112" s="67" t="str">
        <f t="shared" si="13"/>
        <v/>
      </c>
      <c r="AB112" s="67" t="str">
        <f t="shared" si="13"/>
        <v/>
      </c>
      <c r="AC112" s="67" t="str">
        <f t="shared" si="13"/>
        <v/>
      </c>
      <c r="AD112" s="67" t="str">
        <f t="shared" si="13"/>
        <v/>
      </c>
      <c r="AE112" s="67" t="str">
        <f t="shared" si="13"/>
        <v/>
      </c>
      <c r="AF112" s="67" t="str">
        <f t="shared" si="13"/>
        <v/>
      </c>
      <c r="AG112" s="67" t="str">
        <f t="shared" si="13"/>
        <v/>
      </c>
      <c r="AH112" s="67" t="str">
        <f t="shared" si="13"/>
        <v/>
      </c>
      <c r="AI112" s="67" t="str">
        <f t="shared" si="13"/>
        <v/>
      </c>
      <c r="AJ112" s="67" t="str">
        <f t="shared" si="13"/>
        <v/>
      </c>
      <c r="AK112" s="67" t="str">
        <f t="shared" si="13"/>
        <v/>
      </c>
    </row>
    <row r="113" spans="2:37" ht="14.25" customHeight="1" x14ac:dyDescent="0.15">
      <c r="B113" s="75" t="s">
        <v>1008</v>
      </c>
      <c r="C113" s="75">
        <f>SUMIFS('caseload data'!E:E,'caseload data'!$D:$D,"TPO",'caseload data'!$C:$C,'cluster overview'!$B$102,'caseload data'!$B:$B,"licence")</f>
        <v>0</v>
      </c>
      <c r="D113" s="75">
        <f>SUMIFS('caseload data'!F:F,'caseload data'!$D:$D,"TPO",'caseload data'!$C:$C,'cluster overview'!$B$102,'caseload data'!$B:$B,"licence")</f>
        <v>0</v>
      </c>
      <c r="E113" s="75">
        <f>SUMIFS('caseload data'!G:G,'caseload data'!$D:$D,"TPO",'caseload data'!$C:$C,'cluster overview'!$B$102,'caseload data'!$B:$B,"licence")</f>
        <v>0</v>
      </c>
      <c r="F113" s="75">
        <f>SUMIFS('caseload data'!H:H,'caseload data'!$D:$D,"TPO",'caseload data'!$C:$C,'cluster overview'!$B$102,'caseload data'!$B:$B,"licence")</f>
        <v>0</v>
      </c>
      <c r="G113" s="75">
        <f>SUMIFS('caseload data'!I:I,'caseload data'!$D:$D,"TPO",'caseload data'!$C:$C,'cluster overview'!$B$102,'caseload data'!$B:$B,"licence")</f>
        <v>0</v>
      </c>
      <c r="H113" s="75">
        <f>SUMIFS('caseload data'!J:J,'caseload data'!$D:$D,"TPO",'caseload data'!$C:$C,'cluster overview'!$B$102,'caseload data'!$B:$B,"licence")</f>
        <v>0</v>
      </c>
      <c r="I113" s="75">
        <f>SUMIFS('caseload data'!K:K,'caseload data'!$D:$D,"TPO",'caseload data'!$C:$C,'cluster overview'!$B$102,'caseload data'!$B:$B,"licence")</f>
        <v>0</v>
      </c>
      <c r="J113" s="75">
        <f>SUMIFS('caseload data'!L:L,'caseload data'!$D:$D,"TPO",'caseload data'!$C:$C,'cluster overview'!$B$102,'caseload data'!$B:$B,"licence")</f>
        <v>0</v>
      </c>
      <c r="K113" s="75">
        <f>SUMIFS('caseload data'!M:M,'caseload data'!$D:$D,"TPO",'caseload data'!$C:$C,'cluster overview'!$B$102,'caseload data'!$B:$B,"licence")</f>
        <v>0</v>
      </c>
      <c r="L113" s="75">
        <f>SUMIFS('caseload data'!N:N,'caseload data'!$D:$D,"TPO",'caseload data'!$C:$C,'cluster overview'!$B$102,'caseload data'!$B:$B,"licence")</f>
        <v>0</v>
      </c>
      <c r="M113" s="75">
        <f>SUMIFS('caseload data'!O:O,'caseload data'!$D:$D,"TPO",'caseload data'!$C:$C,'cluster overview'!$B$102,'caseload data'!$B:$B,"licence")</f>
        <v>0</v>
      </c>
      <c r="N113" s="75">
        <f>SUMIFS('caseload data'!P:P,'caseload data'!$D:$D,"TPO",'caseload data'!$C:$C,'cluster overview'!$B$102,'caseload data'!$B:$B,"licence")</f>
        <v>0</v>
      </c>
      <c r="O113" s="75">
        <f>SUMIFS('caseload data'!Q:Q,'caseload data'!$D:$D,"TPO",'caseload data'!$C:$C,'cluster overview'!$B$102,'caseload data'!$B:$B,"licence")</f>
        <v>0</v>
      </c>
      <c r="P113" s="75">
        <f>SUMIFS('caseload data'!R:R,'caseload data'!$D:$D,"TPO",'caseload data'!$C:$C,'cluster overview'!$B$102,'caseload data'!$B:$B,"licence")</f>
        <v>0</v>
      </c>
      <c r="Q113" s="75">
        <f>SUMIFS('caseload data'!S:S,'caseload data'!$D:$D,"TPO",'caseload data'!$C:$C,'cluster overview'!$B$102,'caseload data'!$B:$B,"licence")</f>
        <v>0</v>
      </c>
      <c r="R113" s="75">
        <f>SUMIFS('caseload data'!T:T,'caseload data'!$D:$D,"TPO",'caseload data'!$C:$C,'cluster overview'!$B$102,'caseload data'!$B:$B,"licence")</f>
        <v>0</v>
      </c>
      <c r="U113" s="75" t="s">
        <v>1008</v>
      </c>
      <c r="V113" s="67" t="str">
        <f>IFERROR(C$113/SUM(C$111:C$114),"")</f>
        <v/>
      </c>
      <c r="W113" s="67" t="str">
        <f>IFERROR(D$113/SUM(D$111:D$114),"")</f>
        <v/>
      </c>
      <c r="X113" s="67" t="str">
        <f t="shared" ref="X113:AK113" si="14">IFERROR(E$113/SUM(E$111:E$114),"")</f>
        <v/>
      </c>
      <c r="Y113" s="67" t="str">
        <f t="shared" si="14"/>
        <v/>
      </c>
      <c r="Z113" s="67" t="str">
        <f t="shared" si="14"/>
        <v/>
      </c>
      <c r="AA113" s="67" t="str">
        <f t="shared" si="14"/>
        <v/>
      </c>
      <c r="AB113" s="67" t="str">
        <f t="shared" si="14"/>
        <v/>
      </c>
      <c r="AC113" s="67" t="str">
        <f t="shared" si="14"/>
        <v/>
      </c>
      <c r="AD113" s="67" t="str">
        <f t="shared" si="14"/>
        <v/>
      </c>
      <c r="AE113" s="67" t="str">
        <f t="shared" si="14"/>
        <v/>
      </c>
      <c r="AF113" s="67" t="str">
        <f t="shared" si="14"/>
        <v/>
      </c>
      <c r="AG113" s="67" t="str">
        <f t="shared" si="14"/>
        <v/>
      </c>
      <c r="AH113" s="67" t="str">
        <f t="shared" si="14"/>
        <v/>
      </c>
      <c r="AI113" s="67" t="str">
        <f t="shared" si="14"/>
        <v/>
      </c>
      <c r="AJ113" s="67" t="str">
        <f t="shared" si="14"/>
        <v/>
      </c>
      <c r="AK113" s="67" t="str">
        <f t="shared" si="14"/>
        <v/>
      </c>
    </row>
    <row r="114" spans="2:37" ht="14.25" customHeight="1" x14ac:dyDescent="0.15">
      <c r="B114" s="75" t="s">
        <v>1009</v>
      </c>
      <c r="C114" s="75">
        <f>SUMIFS('caseload data'!E:E,'caseload data'!$D:$D,"SPO",'caseload data'!$C:$C,'cluster overview'!$B$102,'caseload data'!$B:$B,"licence")</f>
        <v>0</v>
      </c>
      <c r="D114" s="75">
        <f>SUMIFS('caseload data'!F:F,'caseload data'!$D:$D,"SPO",'caseload data'!$C:$C,'cluster overview'!$B$102,'caseload data'!$B:$B,"licence")</f>
        <v>0</v>
      </c>
      <c r="E114" s="75">
        <f>SUMIFS('caseload data'!G:G,'caseload data'!$D:$D,"SPO",'caseload data'!$C:$C,'cluster overview'!$B$102,'caseload data'!$B:$B,"licence")</f>
        <v>0</v>
      </c>
      <c r="F114" s="75">
        <f>SUMIFS('caseload data'!H:H,'caseload data'!$D:$D,"SPO",'caseload data'!$C:$C,'cluster overview'!$B$102,'caseload data'!$B:$B,"licence")</f>
        <v>0</v>
      </c>
      <c r="G114" s="75">
        <f>SUMIFS('caseload data'!I:I,'caseload data'!$D:$D,"SPO",'caseload data'!$C:$C,'cluster overview'!$B$102,'caseload data'!$B:$B,"licence")</f>
        <v>0</v>
      </c>
      <c r="H114" s="75">
        <f>SUMIFS('caseload data'!J:J,'caseload data'!$D:$D,"SPO",'caseload data'!$C:$C,'cluster overview'!$B$102,'caseload data'!$B:$B,"licence")</f>
        <v>0</v>
      </c>
      <c r="I114" s="75">
        <f>SUMIFS('caseload data'!K:K,'caseload data'!$D:$D,"SPO",'caseload data'!$C:$C,'cluster overview'!$B$102,'caseload data'!$B:$B,"licence")</f>
        <v>0</v>
      </c>
      <c r="J114" s="75">
        <f>SUMIFS('caseload data'!L:L,'caseload data'!$D:$D,"SPO",'caseload data'!$C:$C,'cluster overview'!$B$102,'caseload data'!$B:$B,"licence")</f>
        <v>0</v>
      </c>
      <c r="K114" s="75">
        <f>SUMIFS('caseload data'!M:M,'caseload data'!$D:$D,"SPO",'caseload data'!$C:$C,'cluster overview'!$B$102,'caseload data'!$B:$B,"licence")</f>
        <v>0</v>
      </c>
      <c r="L114" s="75">
        <f>SUMIFS('caseload data'!N:N,'caseload data'!$D:$D,"SPO",'caseload data'!$C:$C,'cluster overview'!$B$102,'caseload data'!$B:$B,"licence")</f>
        <v>0</v>
      </c>
      <c r="M114" s="75">
        <f>SUMIFS('caseload data'!O:O,'caseload data'!$D:$D,"SPO",'caseload data'!$C:$C,'cluster overview'!$B$102,'caseload data'!$B:$B,"licence")</f>
        <v>0</v>
      </c>
      <c r="N114" s="75">
        <f>SUMIFS('caseload data'!P:P,'caseload data'!$D:$D,"SPO",'caseload data'!$C:$C,'cluster overview'!$B$102,'caseload data'!$B:$B,"licence")</f>
        <v>0</v>
      </c>
      <c r="O114" s="75">
        <f>SUMIFS('caseload data'!Q:Q,'caseload data'!$D:$D,"SPO",'caseload data'!$C:$C,'cluster overview'!$B$102,'caseload data'!$B:$B,"licence")</f>
        <v>0</v>
      </c>
      <c r="P114" s="75">
        <f>SUMIFS('caseload data'!R:R,'caseload data'!$D:$D,"SPO",'caseload data'!$C:$C,'cluster overview'!$B$102,'caseload data'!$B:$B,"licence")</f>
        <v>0</v>
      </c>
      <c r="Q114" s="75">
        <f>SUMIFS('caseload data'!S:S,'caseload data'!$D:$D,"SPO",'caseload data'!$C:$C,'cluster overview'!$B$102,'caseload data'!$B:$B,"licence")</f>
        <v>0</v>
      </c>
      <c r="R114" s="75">
        <f>SUMIFS('caseload data'!T:T,'caseload data'!$D:$D,"SPO",'caseload data'!$C:$C,'cluster overview'!$B$102,'caseload data'!$B:$B,"licence")</f>
        <v>0</v>
      </c>
      <c r="U114" s="75" t="s">
        <v>1009</v>
      </c>
      <c r="V114" s="67" t="str">
        <f>IFERROR(C$114/SUM(C$111:C$114),"")</f>
        <v/>
      </c>
      <c r="W114" s="67" t="str">
        <f>IFERROR(D$114/SUM(D$111:D$114),"")</f>
        <v/>
      </c>
      <c r="X114" s="67" t="str">
        <f t="shared" ref="X114:AK114" si="15">IFERROR(E$114/SUM(E$111:E$114),"")</f>
        <v/>
      </c>
      <c r="Y114" s="67" t="str">
        <f t="shared" si="15"/>
        <v/>
      </c>
      <c r="Z114" s="67" t="str">
        <f t="shared" si="15"/>
        <v/>
      </c>
      <c r="AA114" s="67" t="str">
        <f t="shared" si="15"/>
        <v/>
      </c>
      <c r="AB114" s="67" t="str">
        <f t="shared" si="15"/>
        <v/>
      </c>
      <c r="AC114" s="67" t="str">
        <f t="shared" si="15"/>
        <v/>
      </c>
      <c r="AD114" s="67" t="str">
        <f t="shared" si="15"/>
        <v/>
      </c>
      <c r="AE114" s="67" t="str">
        <f t="shared" si="15"/>
        <v/>
      </c>
      <c r="AF114" s="67" t="str">
        <f t="shared" si="15"/>
        <v/>
      </c>
      <c r="AG114" s="67" t="str">
        <f t="shared" si="15"/>
        <v/>
      </c>
      <c r="AH114" s="67" t="str">
        <f t="shared" si="15"/>
        <v/>
      </c>
      <c r="AI114" s="67" t="str">
        <f t="shared" si="15"/>
        <v/>
      </c>
      <c r="AJ114" s="67" t="str">
        <f t="shared" si="15"/>
        <v/>
      </c>
      <c r="AK114" s="67" t="str">
        <f t="shared" si="15"/>
        <v/>
      </c>
    </row>
    <row r="115" spans="2:37" ht="39" customHeight="1" x14ac:dyDescent="0.15">
      <c r="B115" s="21"/>
    </row>
    <row r="116" spans="2:37" ht="14.25" customHeight="1" x14ac:dyDescent="0.2">
      <c r="B116" s="334" t="str">
        <f>B6</f>
        <v>Hammersmith, Fulham, Kensington, Chelsea and Westminster</v>
      </c>
      <c r="C116" s="442" t="s">
        <v>1011</v>
      </c>
      <c r="D116" s="443"/>
      <c r="E116" s="443"/>
      <c r="F116" s="443"/>
      <c r="G116" s="443"/>
      <c r="H116" s="443"/>
      <c r="I116" s="443"/>
      <c r="J116" s="443"/>
      <c r="K116" s="443"/>
      <c r="L116" s="443"/>
      <c r="M116" s="443"/>
      <c r="N116" s="443"/>
      <c r="O116" s="443"/>
      <c r="P116" s="443"/>
      <c r="Q116" s="443"/>
      <c r="R116" s="443"/>
      <c r="U116" s="114" t="str">
        <f>B6</f>
        <v>Hammersmith, Fulham, Kensington, Chelsea and Westminster</v>
      </c>
      <c r="V116" s="439" t="s">
        <v>1367</v>
      </c>
      <c r="W116" s="440"/>
      <c r="X116" s="440"/>
      <c r="Y116" s="440"/>
      <c r="Z116" s="440"/>
      <c r="AA116" s="440"/>
      <c r="AB116" s="440"/>
      <c r="AC116" s="440"/>
      <c r="AD116" s="440"/>
      <c r="AE116" s="440"/>
      <c r="AF116" s="440"/>
      <c r="AG116" s="440"/>
      <c r="AH116" s="440"/>
      <c r="AI116" s="440"/>
      <c r="AJ116" s="440"/>
      <c r="AK116" s="441"/>
    </row>
    <row r="117" spans="2:37" ht="14.25" customHeight="1" x14ac:dyDescent="0.15">
      <c r="B117" s="95" t="s">
        <v>1005</v>
      </c>
      <c r="C117" s="38" t="s">
        <v>869</v>
      </c>
      <c r="D117" s="38" t="s">
        <v>870</v>
      </c>
      <c r="E117" s="38" t="s">
        <v>871</v>
      </c>
      <c r="F117" s="38" t="s">
        <v>872</v>
      </c>
      <c r="G117" s="38" t="s">
        <v>873</v>
      </c>
      <c r="H117" s="38" t="s">
        <v>874</v>
      </c>
      <c r="I117" s="38" t="s">
        <v>875</v>
      </c>
      <c r="J117" s="38" t="s">
        <v>876</v>
      </c>
      <c r="K117" s="38" t="s">
        <v>877</v>
      </c>
      <c r="L117" s="38" t="s">
        <v>878</v>
      </c>
      <c r="M117" s="38" t="s">
        <v>879</v>
      </c>
      <c r="N117" s="38" t="s">
        <v>880</v>
      </c>
      <c r="O117" s="38" t="s">
        <v>881</v>
      </c>
      <c r="P117" s="38" t="s">
        <v>882</v>
      </c>
      <c r="Q117" s="38" t="s">
        <v>883</v>
      </c>
      <c r="R117" s="38" t="s">
        <v>884</v>
      </c>
      <c r="U117" s="95" t="s">
        <v>1006</v>
      </c>
      <c r="V117" s="38" t="s">
        <v>869</v>
      </c>
      <c r="W117" s="38" t="s">
        <v>870</v>
      </c>
      <c r="X117" s="38" t="s">
        <v>871</v>
      </c>
      <c r="Y117" s="38" t="s">
        <v>872</v>
      </c>
      <c r="Z117" s="38" t="s">
        <v>873</v>
      </c>
      <c r="AA117" s="38" t="s">
        <v>874</v>
      </c>
      <c r="AB117" s="38" t="s">
        <v>875</v>
      </c>
      <c r="AC117" s="38" t="s">
        <v>876</v>
      </c>
      <c r="AD117" s="38" t="s">
        <v>877</v>
      </c>
      <c r="AE117" s="38" t="s">
        <v>878</v>
      </c>
      <c r="AF117" s="38" t="s">
        <v>879</v>
      </c>
      <c r="AG117" s="38" t="s">
        <v>880</v>
      </c>
      <c r="AH117" s="38" t="s">
        <v>881</v>
      </c>
      <c r="AI117" s="38" t="s">
        <v>882</v>
      </c>
      <c r="AJ117" s="38" t="s">
        <v>883</v>
      </c>
      <c r="AK117" s="38" t="s">
        <v>884</v>
      </c>
    </row>
    <row r="118" spans="2:37" ht="14.25" customHeight="1" x14ac:dyDescent="0.15">
      <c r="B118" s="75" t="s">
        <v>1002</v>
      </c>
      <c r="C118" s="75">
        <f>SUMIFS('caseload data'!E:E,'caseload data'!$D:$D,"PO",'caseload data'!$C:$C,'cluster overview'!$B$102,'caseload data'!$B:$B,"custody")</f>
        <v>0</v>
      </c>
      <c r="D118" s="75">
        <f>SUMIFS('caseload data'!F:F,'caseload data'!$D:$D,"PO",'caseload data'!$C:$C,'cluster overview'!$B$102,'caseload data'!$B:$B,"custody")</f>
        <v>0</v>
      </c>
      <c r="E118" s="75">
        <f>SUMIFS('caseload data'!G:G,'caseload data'!$D:$D,"PO",'caseload data'!$C:$C,'cluster overview'!$B$102,'caseload data'!$B:$B,"custody")</f>
        <v>0</v>
      </c>
      <c r="F118" s="75">
        <f>SUMIFS('caseload data'!H:H,'caseload data'!$D:$D,"PO",'caseload data'!$C:$C,'cluster overview'!$B$102,'caseload data'!$B:$B,"custody")</f>
        <v>0</v>
      </c>
      <c r="G118" s="75">
        <f>SUMIFS('caseload data'!I:I,'caseload data'!$D:$D,"PO",'caseload data'!$C:$C,'cluster overview'!$B$102,'caseload data'!$B:$B,"custody")</f>
        <v>0</v>
      </c>
      <c r="H118" s="75">
        <f>SUMIFS('caseload data'!J:J,'caseload data'!$D:$D,"PO",'caseload data'!$C:$C,'cluster overview'!$B$102,'caseload data'!$B:$B,"custody")</f>
        <v>0</v>
      </c>
      <c r="I118" s="75">
        <f>SUMIFS('caseload data'!K:K,'caseload data'!$D:$D,"PO",'caseload data'!$C:$C,'cluster overview'!$B$102,'caseload data'!$B:$B,"custody")</f>
        <v>0</v>
      </c>
      <c r="J118" s="75">
        <f>SUMIFS('caseload data'!L:L,'caseload data'!$D:$D,"PO",'caseload data'!$C:$C,'cluster overview'!$B$102,'caseload data'!$B:$B,"custody")</f>
        <v>0</v>
      </c>
      <c r="K118" s="75">
        <f>SUMIFS('caseload data'!M:M,'caseload data'!$D:$D,"PO",'caseload data'!$C:$C,'cluster overview'!$B$102,'caseload data'!$B:$B,"custody")</f>
        <v>0</v>
      </c>
      <c r="L118" s="75">
        <f>SUMIFS('caseload data'!N:N,'caseload data'!$D:$D,"PO",'caseload data'!$C:$C,'cluster overview'!$B$102,'caseload data'!$B:$B,"custody")</f>
        <v>0</v>
      </c>
      <c r="M118" s="75">
        <f>SUMIFS('caseload data'!O:O,'caseload data'!$D:$D,"PO",'caseload data'!$C:$C,'cluster overview'!$B$102,'caseload data'!$B:$B,"custody")</f>
        <v>0</v>
      </c>
      <c r="N118" s="75">
        <f>SUMIFS('caseload data'!P:P,'caseload data'!$D:$D,"PO",'caseload data'!$C:$C,'cluster overview'!$B$102,'caseload data'!$B:$B,"custody")</f>
        <v>0</v>
      </c>
      <c r="O118" s="75">
        <f>SUMIFS('caseload data'!Q:Q,'caseload data'!$D:$D,"PO",'caseload data'!$C:$C,'cluster overview'!$B$102,'caseload data'!$B:$B,"custody")</f>
        <v>0</v>
      </c>
      <c r="P118" s="75">
        <f>SUMIFS('caseload data'!R:R,'caseload data'!$D:$D,"PO",'caseload data'!$C:$C,'cluster overview'!$B$102,'caseload data'!$B:$B,"custody")</f>
        <v>0</v>
      </c>
      <c r="Q118" s="75">
        <f>SUMIFS('caseload data'!S:S,'caseload data'!$D:$D,"PO",'caseload data'!$C:$C,'cluster overview'!$B$102,'caseload data'!$B:$B,"custody")</f>
        <v>0</v>
      </c>
      <c r="R118" s="75">
        <f>SUMIFS('caseload data'!T:T,'caseload data'!$D:$D,"PO",'caseload data'!$C:$C,'cluster overview'!$B$102,'caseload data'!$B:$B,"custody")</f>
        <v>0</v>
      </c>
      <c r="U118" s="75" t="s">
        <v>1002</v>
      </c>
      <c r="V118" s="67" t="str">
        <f>IFERROR(C$118/SUM(C$118:C$121),"")</f>
        <v/>
      </c>
      <c r="W118" s="67" t="str">
        <f>IFERROR(D$118/SUM(D$118:D$121),"")</f>
        <v/>
      </c>
      <c r="X118" s="67" t="str">
        <f t="shared" ref="X118:AK118" si="16">IFERROR(E$118/SUM(E$118:E$121),"")</f>
        <v/>
      </c>
      <c r="Y118" s="67" t="str">
        <f t="shared" si="16"/>
        <v/>
      </c>
      <c r="Z118" s="67" t="str">
        <f t="shared" si="16"/>
        <v/>
      </c>
      <c r="AA118" s="67" t="str">
        <f t="shared" si="16"/>
        <v/>
      </c>
      <c r="AB118" s="67" t="str">
        <f t="shared" si="16"/>
        <v/>
      </c>
      <c r="AC118" s="67" t="str">
        <f t="shared" si="16"/>
        <v/>
      </c>
      <c r="AD118" s="67" t="str">
        <f t="shared" si="16"/>
        <v/>
      </c>
      <c r="AE118" s="67" t="str">
        <f t="shared" si="16"/>
        <v/>
      </c>
      <c r="AF118" s="67" t="str">
        <f t="shared" si="16"/>
        <v/>
      </c>
      <c r="AG118" s="67" t="str">
        <f t="shared" si="16"/>
        <v/>
      </c>
      <c r="AH118" s="67" t="str">
        <f t="shared" si="16"/>
        <v/>
      </c>
      <c r="AI118" s="67" t="str">
        <f t="shared" si="16"/>
        <v/>
      </c>
      <c r="AJ118" s="67" t="str">
        <f t="shared" si="16"/>
        <v/>
      </c>
      <c r="AK118" s="67" t="str">
        <f t="shared" si="16"/>
        <v/>
      </c>
    </row>
    <row r="119" spans="2:37" ht="14.25" customHeight="1" x14ac:dyDescent="0.15">
      <c r="B119" s="75" t="s">
        <v>1007</v>
      </c>
      <c r="C119" s="75">
        <f>SUMIFS('caseload data'!E:E,'caseload data'!$D:$D,"PSO",'caseload data'!$C:$C,'cluster overview'!$B$102,'caseload data'!$B:$B,"custody")</f>
        <v>0</v>
      </c>
      <c r="D119" s="75">
        <f>SUMIFS('caseload data'!F:F,'caseload data'!$D:$D,"PSO",'caseload data'!$C:$C,'cluster overview'!$B$102,'caseload data'!$B:$B,"custody")</f>
        <v>0</v>
      </c>
      <c r="E119" s="75">
        <f>SUMIFS('caseload data'!G:G,'caseload data'!$D:$D,"PSO",'caseload data'!$C:$C,'cluster overview'!$B$102,'caseload data'!$B:$B,"custody")</f>
        <v>0</v>
      </c>
      <c r="F119" s="75">
        <f>SUMIFS('caseload data'!H:H,'caseload data'!$D:$D,"PSO",'caseload data'!$C:$C,'cluster overview'!$B$102,'caseload data'!$B:$B,"custody")</f>
        <v>0</v>
      </c>
      <c r="G119" s="75">
        <f>SUMIFS('caseload data'!I:I,'caseload data'!$D:$D,"PSO",'caseload data'!$C:$C,'cluster overview'!$B$102,'caseload data'!$B:$B,"custody")</f>
        <v>0</v>
      </c>
      <c r="H119" s="75">
        <f>SUMIFS('caseload data'!J:J,'caseload data'!$D:$D,"PSO",'caseload data'!$C:$C,'cluster overview'!$B$102,'caseload data'!$B:$B,"custody")</f>
        <v>0</v>
      </c>
      <c r="I119" s="75">
        <f>SUMIFS('caseload data'!K:K,'caseload data'!$D:$D,"PSO",'caseload data'!$C:$C,'cluster overview'!$B$102,'caseload data'!$B:$B,"custody")</f>
        <v>0</v>
      </c>
      <c r="J119" s="75">
        <f>SUMIFS('caseload data'!L:L,'caseload data'!$D:$D,"PSO",'caseload data'!$C:$C,'cluster overview'!$B$102,'caseload data'!$B:$B,"custody")</f>
        <v>0</v>
      </c>
      <c r="K119" s="75">
        <f>SUMIFS('caseload data'!M:M,'caseload data'!$D:$D,"PSO",'caseload data'!$C:$C,'cluster overview'!$B$102,'caseload data'!$B:$B,"custody")</f>
        <v>0</v>
      </c>
      <c r="L119" s="75">
        <f>SUMIFS('caseload data'!N:N,'caseload data'!$D:$D,"PSO",'caseload data'!$C:$C,'cluster overview'!$B$102,'caseload data'!$B:$B,"custody")</f>
        <v>0</v>
      </c>
      <c r="M119" s="75">
        <f>SUMIFS('caseload data'!O:O,'caseload data'!$D:$D,"PSO",'caseload data'!$C:$C,'cluster overview'!$B$102,'caseload data'!$B:$B,"custody")</f>
        <v>0</v>
      </c>
      <c r="N119" s="75">
        <f>SUMIFS('caseload data'!P:P,'caseload data'!$D:$D,"PSO",'caseload data'!$C:$C,'cluster overview'!$B$102,'caseload data'!$B:$B,"custody")</f>
        <v>0</v>
      </c>
      <c r="O119" s="75">
        <f>SUMIFS('caseload data'!Q:Q,'caseload data'!$D:$D,"PSO",'caseload data'!$C:$C,'cluster overview'!$B$102,'caseload data'!$B:$B,"custody")</f>
        <v>0</v>
      </c>
      <c r="P119" s="75">
        <f>SUMIFS('caseload data'!R:R,'caseload data'!$D:$D,"PSO",'caseload data'!$C:$C,'cluster overview'!$B$102,'caseload data'!$B:$B,"custody")</f>
        <v>0</v>
      </c>
      <c r="Q119" s="75">
        <f>SUMIFS('caseload data'!S:S,'caseload data'!$D:$D,"PSO",'caseload data'!$C:$C,'cluster overview'!$B$102,'caseload data'!$B:$B,"custody")</f>
        <v>0</v>
      </c>
      <c r="R119" s="75">
        <f>SUMIFS('caseload data'!T:T,'caseload data'!$D:$D,"PSO",'caseload data'!$C:$C,'cluster overview'!$B$102,'caseload data'!$B:$B,"custody")</f>
        <v>0</v>
      </c>
      <c r="U119" s="75" t="s">
        <v>1007</v>
      </c>
      <c r="V119" s="67" t="str">
        <f>IFERROR(C$119/SUM(C$118:C$121),"")</f>
        <v/>
      </c>
      <c r="W119" s="67" t="str">
        <f>IFERROR(D$119/SUM(D$118:D$121),"")</f>
        <v/>
      </c>
      <c r="X119" s="67" t="str">
        <f t="shared" ref="X119:AK119" si="17">IFERROR(E$119/SUM(E$118:E$121),"")</f>
        <v/>
      </c>
      <c r="Y119" s="67" t="str">
        <f t="shared" si="17"/>
        <v/>
      </c>
      <c r="Z119" s="67" t="str">
        <f t="shared" si="17"/>
        <v/>
      </c>
      <c r="AA119" s="67" t="str">
        <f t="shared" si="17"/>
        <v/>
      </c>
      <c r="AB119" s="67" t="str">
        <f t="shared" si="17"/>
        <v/>
      </c>
      <c r="AC119" s="67" t="str">
        <f t="shared" si="17"/>
        <v/>
      </c>
      <c r="AD119" s="67" t="str">
        <f t="shared" si="17"/>
        <v/>
      </c>
      <c r="AE119" s="67" t="str">
        <f t="shared" si="17"/>
        <v/>
      </c>
      <c r="AF119" s="67" t="str">
        <f t="shared" si="17"/>
        <v/>
      </c>
      <c r="AG119" s="67" t="str">
        <f t="shared" si="17"/>
        <v/>
      </c>
      <c r="AH119" s="67" t="str">
        <f t="shared" si="17"/>
        <v/>
      </c>
      <c r="AI119" s="67" t="str">
        <f t="shared" si="17"/>
        <v/>
      </c>
      <c r="AJ119" s="67" t="str">
        <f t="shared" si="17"/>
        <v/>
      </c>
      <c r="AK119" s="67" t="str">
        <f t="shared" si="17"/>
        <v/>
      </c>
    </row>
    <row r="120" spans="2:37" ht="14.25" customHeight="1" x14ac:dyDescent="0.15">
      <c r="B120" s="75" t="s">
        <v>1008</v>
      </c>
      <c r="C120" s="75">
        <f>SUMIFS('caseload data'!E:E,'caseload data'!$D:$D,"TPO",'caseload data'!$C:$C,'cluster overview'!$B$102,'caseload data'!$B:$B,"custody")</f>
        <v>0</v>
      </c>
      <c r="D120" s="75">
        <f>SUMIFS('caseload data'!F:F,'caseload data'!$D:$D,"TPO",'caseload data'!$C:$C,'cluster overview'!$B$102,'caseload data'!$B:$B,"custody")</f>
        <v>0</v>
      </c>
      <c r="E120" s="75">
        <f>SUMIFS('caseload data'!G:G,'caseload data'!$D:$D,"TPO",'caseload data'!$C:$C,'cluster overview'!$B$102,'caseload data'!$B:$B,"custody")</f>
        <v>0</v>
      </c>
      <c r="F120" s="75">
        <f>SUMIFS('caseload data'!H:H,'caseload data'!$D:$D,"TPO",'caseload data'!$C:$C,'cluster overview'!$B$102,'caseload data'!$B:$B,"custody")</f>
        <v>0</v>
      </c>
      <c r="G120" s="75">
        <f>SUMIFS('caseload data'!I:I,'caseload data'!$D:$D,"TPO",'caseload data'!$C:$C,'cluster overview'!$B$102,'caseload data'!$B:$B,"custody")</f>
        <v>0</v>
      </c>
      <c r="H120" s="75">
        <f>SUMIFS('caseload data'!J:J,'caseload data'!$D:$D,"TPO",'caseload data'!$C:$C,'cluster overview'!$B$102,'caseload data'!$B:$B,"custody")</f>
        <v>0</v>
      </c>
      <c r="I120" s="75">
        <f>SUMIFS('caseload data'!K:K,'caseload data'!$D:$D,"TPO",'caseload data'!$C:$C,'cluster overview'!$B$102,'caseload data'!$B:$B,"custody")</f>
        <v>0</v>
      </c>
      <c r="J120" s="75">
        <f>SUMIFS('caseload data'!L:L,'caseload data'!$D:$D,"TPO",'caseload data'!$C:$C,'cluster overview'!$B$102,'caseload data'!$B:$B,"custody")</f>
        <v>0</v>
      </c>
      <c r="K120" s="75">
        <f>SUMIFS('caseload data'!M:M,'caseload data'!$D:$D,"TPO",'caseload data'!$C:$C,'cluster overview'!$B$102,'caseload data'!$B:$B,"custody")</f>
        <v>0</v>
      </c>
      <c r="L120" s="75">
        <f>SUMIFS('caseload data'!N:N,'caseload data'!$D:$D,"TPO",'caseload data'!$C:$C,'cluster overview'!$B$102,'caseload data'!$B:$B,"custody")</f>
        <v>0</v>
      </c>
      <c r="M120" s="75">
        <f>SUMIFS('caseload data'!O:O,'caseload data'!$D:$D,"TPO",'caseload data'!$C:$C,'cluster overview'!$B$102,'caseload data'!$B:$B,"custody")</f>
        <v>0</v>
      </c>
      <c r="N120" s="75">
        <f>SUMIFS('caseload data'!P:P,'caseload data'!$D:$D,"TPO",'caseload data'!$C:$C,'cluster overview'!$B$102,'caseload data'!$B:$B,"custody")</f>
        <v>0</v>
      </c>
      <c r="O120" s="75">
        <f>SUMIFS('caseload data'!Q:Q,'caseload data'!$D:$D,"TPO",'caseload data'!$C:$C,'cluster overview'!$B$102,'caseload data'!$B:$B,"custody")</f>
        <v>0</v>
      </c>
      <c r="P120" s="75">
        <f>SUMIFS('caseload data'!R:R,'caseload data'!$D:$D,"TPO",'caseload data'!$C:$C,'cluster overview'!$B$102,'caseload data'!$B:$B,"custody")</f>
        <v>0</v>
      </c>
      <c r="Q120" s="75">
        <f>SUMIFS('caseload data'!S:S,'caseload data'!$D:$D,"TPO",'caseload data'!$C:$C,'cluster overview'!$B$102,'caseload data'!$B:$B,"custody")</f>
        <v>0</v>
      </c>
      <c r="R120" s="75">
        <f>SUMIFS('caseload data'!T:T,'caseload data'!$D:$D,"TPO",'caseload data'!$C:$C,'cluster overview'!$B$102,'caseload data'!$B:$B,"custody")</f>
        <v>0</v>
      </c>
      <c r="U120" s="75" t="s">
        <v>1008</v>
      </c>
      <c r="V120" s="67" t="str">
        <f>IFERROR(C$120/SUM(C$118:C$121),"")</f>
        <v/>
      </c>
      <c r="W120" s="67" t="str">
        <f>IFERROR(D$120/SUM(D$118:D$121),"")</f>
        <v/>
      </c>
      <c r="X120" s="67" t="str">
        <f t="shared" ref="X120:AK120" si="18">IFERROR(E$120/SUM(E$118:E$121),"")</f>
        <v/>
      </c>
      <c r="Y120" s="67" t="str">
        <f t="shared" si="18"/>
        <v/>
      </c>
      <c r="Z120" s="67" t="str">
        <f t="shared" si="18"/>
        <v/>
      </c>
      <c r="AA120" s="67" t="str">
        <f t="shared" si="18"/>
        <v/>
      </c>
      <c r="AB120" s="67" t="str">
        <f t="shared" si="18"/>
        <v/>
      </c>
      <c r="AC120" s="67" t="str">
        <f t="shared" si="18"/>
        <v/>
      </c>
      <c r="AD120" s="67" t="str">
        <f t="shared" si="18"/>
        <v/>
      </c>
      <c r="AE120" s="67" t="str">
        <f t="shared" si="18"/>
        <v/>
      </c>
      <c r="AF120" s="67" t="str">
        <f t="shared" si="18"/>
        <v/>
      </c>
      <c r="AG120" s="67" t="str">
        <f t="shared" si="18"/>
        <v/>
      </c>
      <c r="AH120" s="67" t="str">
        <f t="shared" si="18"/>
        <v/>
      </c>
      <c r="AI120" s="67" t="str">
        <f t="shared" si="18"/>
        <v/>
      </c>
      <c r="AJ120" s="67" t="str">
        <f t="shared" si="18"/>
        <v/>
      </c>
      <c r="AK120" s="67" t="str">
        <f t="shared" si="18"/>
        <v/>
      </c>
    </row>
    <row r="121" spans="2:37" ht="14.25" customHeight="1" x14ac:dyDescent="0.15">
      <c r="B121" s="75" t="s">
        <v>1009</v>
      </c>
      <c r="C121" s="75">
        <f>SUMIFS('caseload data'!E:E,'caseload data'!$D:$D,"SPO",'caseload data'!$C:$C,'cluster overview'!$B$102,'caseload data'!$B:$B,"custody")</f>
        <v>0</v>
      </c>
      <c r="D121" s="75">
        <f>SUMIFS('caseload data'!F:F,'caseload data'!$D:$D,"SPO",'caseload data'!$C:$C,'cluster overview'!$B$102,'caseload data'!$B:$B,"custody")</f>
        <v>0</v>
      </c>
      <c r="E121" s="75">
        <f>SUMIFS('caseload data'!G:G,'caseload data'!$D:$D,"SPO",'caseload data'!$C:$C,'cluster overview'!$B$102,'caseload data'!$B:$B,"custody")</f>
        <v>0</v>
      </c>
      <c r="F121" s="75">
        <f>SUMIFS('caseload data'!H:H,'caseload data'!$D:$D,"SPO",'caseload data'!$C:$C,'cluster overview'!$B$102,'caseload data'!$B:$B,"custody")</f>
        <v>0</v>
      </c>
      <c r="G121" s="75">
        <f>SUMIFS('caseload data'!I:I,'caseload data'!$D:$D,"SPO",'caseload data'!$C:$C,'cluster overview'!$B$102,'caseload data'!$B:$B,"custody")</f>
        <v>0</v>
      </c>
      <c r="H121" s="75">
        <f>SUMIFS('caseload data'!J:J,'caseload data'!$D:$D,"SPO",'caseload data'!$C:$C,'cluster overview'!$B$102,'caseload data'!$B:$B,"custody")</f>
        <v>0</v>
      </c>
      <c r="I121" s="75">
        <f>SUMIFS('caseload data'!K:K,'caseload data'!$D:$D,"SPO",'caseload data'!$C:$C,'cluster overview'!$B$102,'caseload data'!$B:$B,"custody")</f>
        <v>0</v>
      </c>
      <c r="J121" s="75">
        <f>SUMIFS('caseload data'!L:L,'caseload data'!$D:$D,"SPO",'caseload data'!$C:$C,'cluster overview'!$B$102,'caseload data'!$B:$B,"custody")</f>
        <v>0</v>
      </c>
      <c r="K121" s="75">
        <f>SUMIFS('caseload data'!M:M,'caseload data'!$D:$D,"SPO",'caseload data'!$C:$C,'cluster overview'!$B$102,'caseload data'!$B:$B,"custody")</f>
        <v>0</v>
      </c>
      <c r="L121" s="75">
        <f>SUMIFS('caseload data'!N:N,'caseload data'!$D:$D,"SPO",'caseload data'!$C:$C,'cluster overview'!$B$102,'caseload data'!$B:$B,"custody")</f>
        <v>0</v>
      </c>
      <c r="M121" s="75">
        <f>SUMIFS('caseload data'!O:O,'caseload data'!$D:$D,"SPO",'caseload data'!$C:$C,'cluster overview'!$B$102,'caseload data'!$B:$B,"custody")</f>
        <v>0</v>
      </c>
      <c r="N121" s="75">
        <f>SUMIFS('caseload data'!P:P,'caseload data'!$D:$D,"SPO",'caseload data'!$C:$C,'cluster overview'!$B$102,'caseload data'!$B:$B,"custody")</f>
        <v>0</v>
      </c>
      <c r="O121" s="75">
        <f>SUMIFS('caseload data'!Q:Q,'caseload data'!$D:$D,"SPO",'caseload data'!$C:$C,'cluster overview'!$B$102,'caseload data'!$B:$B,"custody")</f>
        <v>0</v>
      </c>
      <c r="P121" s="75">
        <f>SUMIFS('caseload data'!R:R,'caseload data'!$D:$D,"SPO",'caseload data'!$C:$C,'cluster overview'!$B$102,'caseload data'!$B:$B,"custody")</f>
        <v>0</v>
      </c>
      <c r="Q121" s="75">
        <f>SUMIFS('caseload data'!S:S,'caseload data'!$D:$D,"SPO",'caseload data'!$C:$C,'cluster overview'!$B$102,'caseload data'!$B:$B,"custody")</f>
        <v>0</v>
      </c>
      <c r="R121" s="75">
        <f>SUMIFS('caseload data'!T:T,'caseload data'!$D:$D,"SPO",'caseload data'!$C:$C,'cluster overview'!$B$102,'caseload data'!$B:$B,"custody")</f>
        <v>0</v>
      </c>
      <c r="U121" s="75" t="s">
        <v>1009</v>
      </c>
      <c r="V121" s="67" t="str">
        <f>IFERROR(C$121/SUM(C$118:C$121),"")</f>
        <v/>
      </c>
      <c r="W121" s="67" t="str">
        <f>IFERROR(D$121/SUM(D$118:D$121),"")</f>
        <v/>
      </c>
      <c r="X121" s="67" t="str">
        <f t="shared" ref="X121:AK121" si="19">IFERROR(E$121/SUM(E$118:E$121),"")</f>
        <v/>
      </c>
      <c r="Y121" s="67" t="str">
        <f t="shared" si="19"/>
        <v/>
      </c>
      <c r="Z121" s="67" t="str">
        <f t="shared" si="19"/>
        <v/>
      </c>
      <c r="AA121" s="67" t="str">
        <f t="shared" si="19"/>
        <v/>
      </c>
      <c r="AB121" s="67" t="str">
        <f t="shared" si="19"/>
        <v/>
      </c>
      <c r="AC121" s="67" t="str">
        <f t="shared" si="19"/>
        <v/>
      </c>
      <c r="AD121" s="67" t="str">
        <f t="shared" si="19"/>
        <v/>
      </c>
      <c r="AE121" s="67" t="str">
        <f t="shared" si="19"/>
        <v/>
      </c>
      <c r="AF121" s="67" t="str">
        <f t="shared" si="19"/>
        <v/>
      </c>
      <c r="AG121" s="67" t="str">
        <f t="shared" si="19"/>
        <v/>
      </c>
      <c r="AH121" s="67" t="str">
        <f t="shared" si="19"/>
        <v/>
      </c>
      <c r="AI121" s="67" t="str">
        <f t="shared" si="19"/>
        <v/>
      </c>
      <c r="AJ121" s="67" t="str">
        <f t="shared" si="19"/>
        <v/>
      </c>
      <c r="AK121" s="67" t="str">
        <f t="shared" si="19"/>
        <v/>
      </c>
    </row>
    <row r="122" spans="2:37" ht="31.5" customHeight="1" x14ac:dyDescent="0.15"/>
    <row r="123" spans="2:37" ht="14.25" customHeight="1" x14ac:dyDescent="0.2">
      <c r="B123" s="334" t="str">
        <f>B6</f>
        <v>Hammersmith, Fulham, Kensington, Chelsea and Westminster</v>
      </c>
      <c r="C123" s="442" t="s">
        <v>1012</v>
      </c>
      <c r="D123" s="443"/>
      <c r="E123" s="443"/>
      <c r="F123" s="443"/>
      <c r="G123" s="443"/>
      <c r="H123" s="443"/>
      <c r="I123" s="443"/>
      <c r="J123" s="443"/>
      <c r="K123" s="443"/>
      <c r="L123" s="443"/>
      <c r="M123" s="443"/>
      <c r="N123" s="443"/>
      <c r="O123" s="443"/>
      <c r="P123" s="443"/>
      <c r="Q123" s="443"/>
      <c r="R123" s="443"/>
      <c r="U123" s="114" t="str">
        <f>B6</f>
        <v>Hammersmith, Fulham, Kensington, Chelsea and Westminster</v>
      </c>
      <c r="V123" s="439" t="s">
        <v>1370</v>
      </c>
      <c r="W123" s="440"/>
      <c r="X123" s="440"/>
      <c r="Y123" s="440"/>
      <c r="Z123" s="440"/>
      <c r="AA123" s="440"/>
      <c r="AB123" s="440"/>
      <c r="AC123" s="440"/>
      <c r="AD123" s="440"/>
      <c r="AE123" s="440"/>
      <c r="AF123" s="440"/>
      <c r="AG123" s="440"/>
      <c r="AH123" s="440"/>
      <c r="AI123" s="440"/>
      <c r="AJ123" s="440"/>
      <c r="AK123" s="441"/>
    </row>
    <row r="124" spans="2:37" ht="14.25" customHeight="1" x14ac:dyDescent="0.15">
      <c r="B124" s="95" t="s">
        <v>1005</v>
      </c>
      <c r="C124" s="38" t="s">
        <v>869</v>
      </c>
      <c r="D124" s="38" t="s">
        <v>870</v>
      </c>
      <c r="E124" s="38" t="s">
        <v>871</v>
      </c>
      <c r="F124" s="38" t="s">
        <v>872</v>
      </c>
      <c r="G124" s="38" t="s">
        <v>873</v>
      </c>
      <c r="H124" s="38" t="s">
        <v>874</v>
      </c>
      <c r="I124" s="38" t="s">
        <v>875</v>
      </c>
      <c r="J124" s="38" t="s">
        <v>876</v>
      </c>
      <c r="K124" s="38" t="s">
        <v>877</v>
      </c>
      <c r="L124" s="38" t="s">
        <v>878</v>
      </c>
      <c r="M124" s="38" t="s">
        <v>879</v>
      </c>
      <c r="N124" s="38" t="s">
        <v>880</v>
      </c>
      <c r="O124" s="38" t="s">
        <v>881</v>
      </c>
      <c r="P124" s="38" t="s">
        <v>882</v>
      </c>
      <c r="Q124" s="38" t="s">
        <v>883</v>
      </c>
      <c r="R124" s="38" t="s">
        <v>884</v>
      </c>
      <c r="U124" s="51" t="s">
        <v>1006</v>
      </c>
      <c r="V124" s="38" t="s">
        <v>869</v>
      </c>
      <c r="W124" s="38" t="s">
        <v>870</v>
      </c>
      <c r="X124" s="38" t="s">
        <v>871</v>
      </c>
      <c r="Y124" s="38" t="s">
        <v>872</v>
      </c>
      <c r="Z124" s="38" t="s">
        <v>873</v>
      </c>
      <c r="AA124" s="38" t="s">
        <v>874</v>
      </c>
      <c r="AB124" s="38" t="s">
        <v>875</v>
      </c>
      <c r="AC124" s="38" t="s">
        <v>876</v>
      </c>
      <c r="AD124" s="38" t="s">
        <v>877</v>
      </c>
      <c r="AE124" s="38" t="s">
        <v>878</v>
      </c>
      <c r="AF124" s="38" t="s">
        <v>879</v>
      </c>
      <c r="AG124" s="38" t="s">
        <v>880</v>
      </c>
      <c r="AH124" s="38" t="s">
        <v>881</v>
      </c>
      <c r="AI124" s="38" t="s">
        <v>882</v>
      </c>
      <c r="AJ124" s="38" t="s">
        <v>883</v>
      </c>
      <c r="AK124" s="38" t="s">
        <v>884</v>
      </c>
    </row>
    <row r="125" spans="2:37" ht="14.25" customHeight="1" x14ac:dyDescent="0.15">
      <c r="B125" s="75" t="s">
        <v>1002</v>
      </c>
      <c r="C125" s="75">
        <f>SUMIFS('caseload data'!E:E,'caseload data'!$D:$D,"PO",'caseload data'!$C:$C,'cluster overview'!$B$109)</f>
        <v>0</v>
      </c>
      <c r="D125" s="75">
        <f>SUMIFS('caseload data'!F:F,'caseload data'!$D:$D,"PO",'caseload data'!$C:$C,'cluster overview'!$B$109)</f>
        <v>0</v>
      </c>
      <c r="E125" s="75">
        <f>SUMIFS('caseload data'!G:G,'caseload data'!$D:$D,"PO",'caseload data'!$C:$C,'cluster overview'!$B$109)</f>
        <v>0</v>
      </c>
      <c r="F125" s="75">
        <f>SUMIFS('caseload data'!H:H,'caseload data'!$D:$D,"PO",'caseload data'!$C:$C,'cluster overview'!$B$109)</f>
        <v>0</v>
      </c>
      <c r="G125" s="75">
        <f>SUMIFS('caseload data'!I:I,'caseload data'!$D:$D,"PO",'caseload data'!$C:$C,'cluster overview'!$B$109)</f>
        <v>0</v>
      </c>
      <c r="H125" s="75">
        <f>SUMIFS('caseload data'!J:J,'caseload data'!$D:$D,"PO",'caseload data'!$C:$C,'cluster overview'!$B$109)</f>
        <v>0</v>
      </c>
      <c r="I125" s="75">
        <f>SUMIFS('caseload data'!K:K,'caseload data'!$D:$D,"PO",'caseload data'!$C:$C,'cluster overview'!$B$109)</f>
        <v>0</v>
      </c>
      <c r="J125" s="75">
        <f>SUMIFS('caseload data'!L:L,'caseload data'!$D:$D,"PO",'caseload data'!$C:$C,'cluster overview'!$B$109)</f>
        <v>0</v>
      </c>
      <c r="K125" s="75">
        <f>SUMIFS('caseload data'!M:M,'caseload data'!$D:$D,"PO",'caseload data'!$C:$C,'cluster overview'!$B$109)</f>
        <v>0</v>
      </c>
      <c r="L125" s="75">
        <f>SUMIFS('caseload data'!N:N,'caseload data'!$D:$D,"PO",'caseload data'!$C:$C,'cluster overview'!$B$109)</f>
        <v>0</v>
      </c>
      <c r="M125" s="75">
        <f>SUMIFS('caseload data'!O:O,'caseload data'!$D:$D,"PO",'caseload data'!$C:$C,'cluster overview'!$B$109)</f>
        <v>0</v>
      </c>
      <c r="N125" s="75">
        <f>SUMIFS('caseload data'!P:P,'caseload data'!$D:$D,"PO",'caseload data'!$C:$C,'cluster overview'!$B$109)</f>
        <v>0</v>
      </c>
      <c r="O125" s="75">
        <f>SUMIFS('caseload data'!Q:Q,'caseload data'!$D:$D,"PO",'caseload data'!$C:$C,'cluster overview'!$B$109)</f>
        <v>0</v>
      </c>
      <c r="P125" s="75">
        <f>SUMIFS('caseload data'!R:R,'caseload data'!$D:$D,"PO",'caseload data'!$C:$C,'cluster overview'!$B$109)</f>
        <v>0</v>
      </c>
      <c r="Q125" s="75">
        <f>SUMIFS('caseload data'!S:S,'caseload data'!$D:$D,"PO",'caseload data'!$C:$C,'cluster overview'!$B$109)</f>
        <v>0</v>
      </c>
      <c r="R125" s="75">
        <f>SUMIFS('caseload data'!T:T,'caseload data'!$D:$D,"PO",'caseload data'!$C:$C,'cluster overview'!$B$109)</f>
        <v>0</v>
      </c>
      <c r="U125" s="75" t="s">
        <v>1002</v>
      </c>
      <c r="V125" s="67" t="str">
        <f>IFERROR(C$125/SUM(C$125:C$128),"")</f>
        <v/>
      </c>
      <c r="W125" s="67" t="str">
        <f>IFERROR(D$125/SUM(D$125:D$128),"")</f>
        <v/>
      </c>
      <c r="X125" s="67" t="str">
        <f t="shared" ref="X125:AK125" si="20">IFERROR(E$125/SUM(E$125:E$128),"")</f>
        <v/>
      </c>
      <c r="Y125" s="67" t="str">
        <f t="shared" si="20"/>
        <v/>
      </c>
      <c r="Z125" s="67" t="str">
        <f t="shared" si="20"/>
        <v/>
      </c>
      <c r="AA125" s="67" t="str">
        <f t="shared" si="20"/>
        <v/>
      </c>
      <c r="AB125" s="67" t="str">
        <f t="shared" si="20"/>
        <v/>
      </c>
      <c r="AC125" s="67" t="str">
        <f t="shared" si="20"/>
        <v/>
      </c>
      <c r="AD125" s="67" t="str">
        <f t="shared" si="20"/>
        <v/>
      </c>
      <c r="AE125" s="67" t="str">
        <f t="shared" si="20"/>
        <v/>
      </c>
      <c r="AF125" s="67" t="str">
        <f t="shared" si="20"/>
        <v/>
      </c>
      <c r="AG125" s="67" t="str">
        <f t="shared" si="20"/>
        <v/>
      </c>
      <c r="AH125" s="67" t="str">
        <f t="shared" si="20"/>
        <v/>
      </c>
      <c r="AI125" s="67" t="str">
        <f t="shared" si="20"/>
        <v/>
      </c>
      <c r="AJ125" s="67" t="str">
        <f t="shared" si="20"/>
        <v/>
      </c>
      <c r="AK125" s="67" t="str">
        <f t="shared" si="20"/>
        <v/>
      </c>
    </row>
    <row r="126" spans="2:37" ht="14.25" customHeight="1" x14ac:dyDescent="0.15">
      <c r="B126" s="75" t="s">
        <v>1007</v>
      </c>
      <c r="C126" s="75">
        <f>SUMIFS('caseload data'!E:E,'caseload data'!$D:$D,"PSO",'caseload data'!$C:$C,'cluster overview'!$B$109)</f>
        <v>0</v>
      </c>
      <c r="D126" s="75">
        <f>SUMIFS('caseload data'!F:F,'caseload data'!$D:$D,"PSO",'caseload data'!$C:$C,'cluster overview'!$B$109)</f>
        <v>0</v>
      </c>
      <c r="E126" s="75">
        <f>SUMIFS('caseload data'!G:G,'caseload data'!$D:$D,"PSO",'caseload data'!$C:$C,'cluster overview'!$B$109)</f>
        <v>0</v>
      </c>
      <c r="F126" s="75">
        <f>SUMIFS('caseload data'!H:H,'caseload data'!$D:$D,"PSO",'caseload data'!$C:$C,'cluster overview'!$B$109)</f>
        <v>0</v>
      </c>
      <c r="G126" s="75">
        <f>SUMIFS('caseload data'!I:I,'caseload data'!$D:$D,"PSO",'caseload data'!$C:$C,'cluster overview'!$B$109)</f>
        <v>0</v>
      </c>
      <c r="H126" s="75">
        <f>SUMIFS('caseload data'!J:J,'caseload data'!$D:$D,"PSO",'caseload data'!$C:$C,'cluster overview'!$B$109)</f>
        <v>0</v>
      </c>
      <c r="I126" s="75">
        <f>SUMIFS('caseload data'!K:K,'caseload data'!$D:$D,"PSO",'caseload data'!$C:$C,'cluster overview'!$B$109)</f>
        <v>0</v>
      </c>
      <c r="J126" s="75">
        <f>SUMIFS('caseload data'!L:L,'caseload data'!$D:$D,"PSO",'caseload data'!$C:$C,'cluster overview'!$B$109)</f>
        <v>0</v>
      </c>
      <c r="K126" s="75">
        <f>SUMIFS('caseload data'!M:M,'caseload data'!$D:$D,"PSO",'caseload data'!$C:$C,'cluster overview'!$B$109)</f>
        <v>0</v>
      </c>
      <c r="L126" s="75">
        <f>SUMIFS('caseload data'!N:N,'caseload data'!$D:$D,"PSO",'caseload data'!$C:$C,'cluster overview'!$B$109)</f>
        <v>0</v>
      </c>
      <c r="M126" s="75">
        <f>SUMIFS('caseload data'!O:O,'caseload data'!$D:$D,"PSO",'caseload data'!$C:$C,'cluster overview'!$B$109)</f>
        <v>0</v>
      </c>
      <c r="N126" s="75">
        <f>SUMIFS('caseload data'!P:P,'caseload data'!$D:$D,"PSO",'caseload data'!$C:$C,'cluster overview'!$B$109)</f>
        <v>0</v>
      </c>
      <c r="O126" s="75">
        <f>SUMIFS('caseload data'!Q:Q,'caseload data'!$D:$D,"PSO",'caseload data'!$C:$C,'cluster overview'!$B$109)</f>
        <v>0</v>
      </c>
      <c r="P126" s="75">
        <f>SUMIFS('caseload data'!R:R,'caseload data'!$D:$D,"PSO",'caseload data'!$C:$C,'cluster overview'!$B$109)</f>
        <v>0</v>
      </c>
      <c r="Q126" s="75">
        <f>SUMIFS('caseload data'!S:S,'caseload data'!$D:$D,"PSO",'caseload data'!$C:$C,'cluster overview'!$B$109)</f>
        <v>0</v>
      </c>
      <c r="R126" s="75">
        <f>SUMIFS('caseload data'!T:T,'caseload data'!$D:$D,"PSO",'caseload data'!$C:$C,'cluster overview'!$B$109)</f>
        <v>0</v>
      </c>
      <c r="U126" s="75" t="s">
        <v>1007</v>
      </c>
      <c r="V126" s="67" t="str">
        <f>IFERROR(C$126/SUM(C$125:C$128),"")</f>
        <v/>
      </c>
      <c r="W126" s="67" t="str">
        <f>IFERROR(D$126/SUM(D$125:D$128),"")</f>
        <v/>
      </c>
      <c r="X126" s="67" t="str">
        <f t="shared" ref="X126:AK126" si="21">IFERROR(E$126/SUM(E$125:E$128),"")</f>
        <v/>
      </c>
      <c r="Y126" s="67" t="str">
        <f t="shared" si="21"/>
        <v/>
      </c>
      <c r="Z126" s="67" t="str">
        <f t="shared" si="21"/>
        <v/>
      </c>
      <c r="AA126" s="67" t="str">
        <f t="shared" si="21"/>
        <v/>
      </c>
      <c r="AB126" s="67" t="str">
        <f t="shared" si="21"/>
        <v/>
      </c>
      <c r="AC126" s="67" t="str">
        <f t="shared" si="21"/>
        <v/>
      </c>
      <c r="AD126" s="67" t="str">
        <f t="shared" si="21"/>
        <v/>
      </c>
      <c r="AE126" s="67" t="str">
        <f t="shared" si="21"/>
        <v/>
      </c>
      <c r="AF126" s="67" t="str">
        <f t="shared" si="21"/>
        <v/>
      </c>
      <c r="AG126" s="67" t="str">
        <f t="shared" si="21"/>
        <v/>
      </c>
      <c r="AH126" s="67" t="str">
        <f t="shared" si="21"/>
        <v/>
      </c>
      <c r="AI126" s="67" t="str">
        <f t="shared" si="21"/>
        <v/>
      </c>
      <c r="AJ126" s="67" t="str">
        <f t="shared" si="21"/>
        <v/>
      </c>
      <c r="AK126" s="67" t="str">
        <f t="shared" si="21"/>
        <v/>
      </c>
    </row>
    <row r="127" spans="2:37" ht="14.25" customHeight="1" x14ac:dyDescent="0.15">
      <c r="B127" s="75" t="s">
        <v>1008</v>
      </c>
      <c r="C127" s="75">
        <f>SUMIFS('caseload data'!E:E,'caseload data'!$D:$D,"TPO",'caseload data'!$C:$C,'cluster overview'!$B$109)</f>
        <v>0</v>
      </c>
      <c r="D127" s="75">
        <f>SUMIFS('caseload data'!F:F,'caseload data'!$D:$D,"TPO",'caseload data'!$C:$C,'cluster overview'!$B$109)</f>
        <v>0</v>
      </c>
      <c r="E127" s="75">
        <f>SUMIFS('caseload data'!G:G,'caseload data'!$D:$D,"TPO",'caseload data'!$C:$C,'cluster overview'!$B$109)</f>
        <v>0</v>
      </c>
      <c r="F127" s="75">
        <f>SUMIFS('caseload data'!H:H,'caseload data'!$D:$D,"TPO",'caseload data'!$C:$C,'cluster overview'!$B$109)</f>
        <v>0</v>
      </c>
      <c r="G127" s="75">
        <f>SUMIFS('caseload data'!I:I,'caseload data'!$D:$D,"TPO",'caseload data'!$C:$C,'cluster overview'!$B$109)</f>
        <v>0</v>
      </c>
      <c r="H127" s="75">
        <f>SUMIFS('caseload data'!J:J,'caseload data'!$D:$D,"TPO",'caseload data'!$C:$C,'cluster overview'!$B$109)</f>
        <v>0</v>
      </c>
      <c r="I127" s="75">
        <f>SUMIFS('caseload data'!K:K,'caseload data'!$D:$D,"TPO",'caseload data'!$C:$C,'cluster overview'!$B$109)</f>
        <v>0</v>
      </c>
      <c r="J127" s="75">
        <f>SUMIFS('caseload data'!L:L,'caseload data'!$D:$D,"TPO",'caseload data'!$C:$C,'cluster overview'!$B$109)</f>
        <v>0</v>
      </c>
      <c r="K127" s="75">
        <f>SUMIFS('caseload data'!M:M,'caseload data'!$D:$D,"TPO",'caseload data'!$C:$C,'cluster overview'!$B$109)</f>
        <v>0</v>
      </c>
      <c r="L127" s="75">
        <f>SUMIFS('caseload data'!N:N,'caseload data'!$D:$D,"TPO",'caseload data'!$C:$C,'cluster overview'!$B$109)</f>
        <v>0</v>
      </c>
      <c r="M127" s="75">
        <f>SUMIFS('caseload data'!O:O,'caseload data'!$D:$D,"TPO",'caseload data'!$C:$C,'cluster overview'!$B$109)</f>
        <v>0</v>
      </c>
      <c r="N127" s="75">
        <f>SUMIFS('caseload data'!P:P,'caseload data'!$D:$D,"TPO",'caseload data'!$C:$C,'cluster overview'!$B$109)</f>
        <v>0</v>
      </c>
      <c r="O127" s="75">
        <f>SUMIFS('caseload data'!Q:Q,'caseload data'!$D:$D,"TPO",'caseload data'!$C:$C,'cluster overview'!$B$109)</f>
        <v>0</v>
      </c>
      <c r="P127" s="75">
        <f>SUMIFS('caseload data'!R:R,'caseload data'!$D:$D,"TPO",'caseload data'!$C:$C,'cluster overview'!$B$109)</f>
        <v>0</v>
      </c>
      <c r="Q127" s="75">
        <f>SUMIFS('caseload data'!S:S,'caseload data'!$D:$D,"TPO",'caseload data'!$C:$C,'cluster overview'!$B$109)</f>
        <v>0</v>
      </c>
      <c r="R127" s="75">
        <f>SUMIFS('caseload data'!T:T,'caseload data'!$D:$D,"TPO",'caseload data'!$C:$C,'cluster overview'!$B$109)</f>
        <v>0</v>
      </c>
      <c r="U127" s="75" t="s">
        <v>1008</v>
      </c>
      <c r="V127" s="67" t="str">
        <f>IFERROR(C$127/SUM(C$125:C$128),"")</f>
        <v/>
      </c>
      <c r="W127" s="67" t="str">
        <f>IFERROR(D$127/SUM(D$125:D$128),"")</f>
        <v/>
      </c>
      <c r="X127" s="67" t="str">
        <f t="shared" ref="X127:AK127" si="22">IFERROR(E$127/SUM(E$125:E$128),"")</f>
        <v/>
      </c>
      <c r="Y127" s="67" t="str">
        <f t="shared" si="22"/>
        <v/>
      </c>
      <c r="Z127" s="67" t="str">
        <f t="shared" si="22"/>
        <v/>
      </c>
      <c r="AA127" s="67" t="str">
        <f t="shared" si="22"/>
        <v/>
      </c>
      <c r="AB127" s="67" t="str">
        <f t="shared" si="22"/>
        <v/>
      </c>
      <c r="AC127" s="67" t="str">
        <f t="shared" si="22"/>
        <v/>
      </c>
      <c r="AD127" s="67" t="str">
        <f t="shared" si="22"/>
        <v/>
      </c>
      <c r="AE127" s="67" t="str">
        <f t="shared" si="22"/>
        <v/>
      </c>
      <c r="AF127" s="67" t="str">
        <f t="shared" si="22"/>
        <v/>
      </c>
      <c r="AG127" s="67" t="str">
        <f t="shared" si="22"/>
        <v/>
      </c>
      <c r="AH127" s="67" t="str">
        <f t="shared" si="22"/>
        <v/>
      </c>
      <c r="AI127" s="67" t="str">
        <f t="shared" si="22"/>
        <v/>
      </c>
      <c r="AJ127" s="67" t="str">
        <f t="shared" si="22"/>
        <v/>
      </c>
      <c r="AK127" s="67" t="str">
        <f t="shared" si="22"/>
        <v/>
      </c>
    </row>
    <row r="128" spans="2:37" ht="14.25" customHeight="1" x14ac:dyDescent="0.15">
      <c r="B128" s="75" t="s">
        <v>1009</v>
      </c>
      <c r="C128" s="75">
        <f>SUMIFS('caseload data'!E:E,'caseload data'!$D:$D,"SPO",'caseload data'!$C:$C,'cluster overview'!$B$109)</f>
        <v>0</v>
      </c>
      <c r="D128" s="75">
        <f>SUMIFS('caseload data'!F:F,'caseload data'!$D:$D,"SPO",'caseload data'!$C:$C,'cluster overview'!$B$109)</f>
        <v>0</v>
      </c>
      <c r="E128" s="75">
        <f>SUMIFS('caseload data'!G:G,'caseload data'!$D:$D,"SPO",'caseload data'!$C:$C,'cluster overview'!$B$109)</f>
        <v>0</v>
      </c>
      <c r="F128" s="75">
        <f>SUMIFS('caseload data'!H:H,'caseload data'!$D:$D,"SPO",'caseload data'!$C:$C,'cluster overview'!$B$109)</f>
        <v>0</v>
      </c>
      <c r="G128" s="75">
        <f>SUMIFS('caseload data'!I:I,'caseload data'!$D:$D,"SPO",'caseload data'!$C:$C,'cluster overview'!$B$109)</f>
        <v>0</v>
      </c>
      <c r="H128" s="75">
        <f>SUMIFS('caseload data'!J:J,'caseload data'!$D:$D,"SPO",'caseload data'!$C:$C,'cluster overview'!$B$109)</f>
        <v>0</v>
      </c>
      <c r="I128" s="75">
        <f>SUMIFS('caseload data'!K:K,'caseload data'!$D:$D,"SPO",'caseload data'!$C:$C,'cluster overview'!$B$109)</f>
        <v>0</v>
      </c>
      <c r="J128" s="75">
        <f>SUMIFS('caseload data'!L:L,'caseload data'!$D:$D,"SPO",'caseload data'!$C:$C,'cluster overview'!$B$109)</f>
        <v>0</v>
      </c>
      <c r="K128" s="75">
        <f>SUMIFS('caseload data'!M:M,'caseload data'!$D:$D,"SPO",'caseload data'!$C:$C,'cluster overview'!$B$109)</f>
        <v>0</v>
      </c>
      <c r="L128" s="75">
        <f>SUMIFS('caseload data'!N:N,'caseload data'!$D:$D,"SPO",'caseload data'!$C:$C,'cluster overview'!$B$109)</f>
        <v>0</v>
      </c>
      <c r="M128" s="75">
        <f>SUMIFS('caseload data'!O:O,'caseload data'!$D:$D,"SPO",'caseload data'!$C:$C,'cluster overview'!$B$109)</f>
        <v>0</v>
      </c>
      <c r="N128" s="75">
        <f>SUMIFS('caseload data'!P:P,'caseload data'!$D:$D,"SPO",'caseload data'!$C:$C,'cluster overview'!$B$109)</f>
        <v>0</v>
      </c>
      <c r="O128" s="75">
        <f>SUMIFS('caseload data'!Q:Q,'caseload data'!$D:$D,"SPO",'caseload data'!$C:$C,'cluster overview'!$B$109)</f>
        <v>0</v>
      </c>
      <c r="P128" s="75">
        <f>SUMIFS('caseload data'!R:R,'caseload data'!$D:$D,"SPO",'caseload data'!$C:$C,'cluster overview'!$B$109)</f>
        <v>0</v>
      </c>
      <c r="Q128" s="75">
        <f>SUMIFS('caseload data'!S:S,'caseload data'!$D:$D,"SPO",'caseload data'!$C:$C,'cluster overview'!$B$109)</f>
        <v>0</v>
      </c>
      <c r="R128" s="75">
        <f>SUMIFS('caseload data'!T:T,'caseload data'!$D:$D,"SPO",'caseload data'!$C:$C,'cluster overview'!$B$109)</f>
        <v>0</v>
      </c>
      <c r="U128" s="75" t="s">
        <v>1009</v>
      </c>
      <c r="V128" s="67" t="str">
        <f>IFERROR(C$128/SUM(C$125:C$128),"")</f>
        <v/>
      </c>
      <c r="W128" s="67" t="str">
        <f>IFERROR(D$128/SUM(D$125:D$128),"")</f>
        <v/>
      </c>
      <c r="X128" s="67" t="str">
        <f t="shared" ref="X128:AK128" si="23">IFERROR(E$128/SUM(E$125:E$128),"")</f>
        <v/>
      </c>
      <c r="Y128" s="67" t="str">
        <f t="shared" si="23"/>
        <v/>
      </c>
      <c r="Z128" s="67" t="str">
        <f t="shared" si="23"/>
        <v/>
      </c>
      <c r="AA128" s="67" t="str">
        <f t="shared" si="23"/>
        <v/>
      </c>
      <c r="AB128" s="67" t="str">
        <f t="shared" si="23"/>
        <v/>
      </c>
      <c r="AC128" s="67" t="str">
        <f t="shared" si="23"/>
        <v/>
      </c>
      <c r="AD128" s="67" t="str">
        <f t="shared" si="23"/>
        <v/>
      </c>
      <c r="AE128" s="67" t="str">
        <f t="shared" si="23"/>
        <v/>
      </c>
      <c r="AF128" s="67" t="str">
        <f t="shared" si="23"/>
        <v/>
      </c>
      <c r="AG128" s="67" t="str">
        <f t="shared" si="23"/>
        <v/>
      </c>
      <c r="AH128" s="67" t="str">
        <f t="shared" si="23"/>
        <v/>
      </c>
      <c r="AI128" s="67" t="str">
        <f t="shared" si="23"/>
        <v/>
      </c>
      <c r="AJ128" s="67" t="str">
        <f t="shared" si="23"/>
        <v/>
      </c>
      <c r="AK128" s="67" t="str">
        <f t="shared" si="23"/>
        <v/>
      </c>
    </row>
    <row r="129" ht="31.5" customHeight="1" x14ac:dyDescent="0.15"/>
    <row r="130" ht="14.25" customHeight="1" x14ac:dyDescent="0.15"/>
    <row r="131" ht="14.25" customHeight="1" x14ac:dyDescent="0.15"/>
    <row r="132" ht="14.25" customHeight="1" x14ac:dyDescent="0.15"/>
    <row r="133" ht="14.25" customHeight="1" x14ac:dyDescent="0.15"/>
    <row r="134" ht="14.25" customHeight="1" x14ac:dyDescent="0.15"/>
  </sheetData>
  <sortState xmlns:xlrd2="http://schemas.microsoft.com/office/spreadsheetml/2017/richdata2" ref="B34:D79">
    <sortCondition ref="B34:B79"/>
  </sortState>
  <mergeCells count="28">
    <mergeCell ref="B86:S86"/>
    <mergeCell ref="B93:R93"/>
    <mergeCell ref="C102:R102"/>
    <mergeCell ref="C109:R109"/>
    <mergeCell ref="C116:R116"/>
    <mergeCell ref="B26:F26"/>
    <mergeCell ref="G26:H26"/>
    <mergeCell ref="I26:K26"/>
    <mergeCell ref="F47:F51"/>
    <mergeCell ref="G47:G51"/>
    <mergeCell ref="F34:F36"/>
    <mergeCell ref="G34:G36"/>
    <mergeCell ref="B32:D32"/>
    <mergeCell ref="F32:G32"/>
    <mergeCell ref="F37:F39"/>
    <mergeCell ref="G37:G39"/>
    <mergeCell ref="F41:F46"/>
    <mergeCell ref="G41:G46"/>
    <mergeCell ref="B8:F8"/>
    <mergeCell ref="A1:M1"/>
    <mergeCell ref="A2:M2"/>
    <mergeCell ref="B19:F19"/>
    <mergeCell ref="G19:H19"/>
    <mergeCell ref="V102:AK102"/>
    <mergeCell ref="V109:AK109"/>
    <mergeCell ref="V116:AK116"/>
    <mergeCell ref="V123:AK123"/>
    <mergeCell ref="C123:R123"/>
  </mergeCells>
  <phoneticPr fontId="75" type="noConversion"/>
  <conditionalFormatting sqref="C11:E11 C10:F10">
    <cfRule type="cellIs" dxfId="6098" priority="201" operator="lessThan">
      <formula>0.9</formula>
    </cfRule>
    <cfRule type="cellIs" dxfId="6097" priority="202" operator="greaterThanOrEqual">
      <formula>1.1</formula>
    </cfRule>
  </conditionalFormatting>
  <conditionalFormatting sqref="F11">
    <cfRule type="cellIs" dxfId="6096" priority="197" operator="lessThan">
      <formula>0.9</formula>
    </cfRule>
    <cfRule type="cellIs" dxfId="6095" priority="198" operator="greaterThanOrEqual">
      <formula>1.1</formula>
    </cfRule>
  </conditionalFormatting>
  <conditionalFormatting sqref="C105:C106">
    <cfRule type="cellIs" dxfId="6094" priority="191" operator="equal">
      <formula>0</formula>
    </cfRule>
    <cfRule type="cellIs" dxfId="6093" priority="192" operator="greaterThan">
      <formula>0</formula>
    </cfRule>
  </conditionalFormatting>
  <conditionalFormatting sqref="D105:D106">
    <cfRule type="cellIs" dxfId="6092" priority="189" operator="equal">
      <formula>0</formula>
    </cfRule>
    <cfRule type="cellIs" dxfId="6091" priority="190" operator="greaterThan">
      <formula>0</formula>
    </cfRule>
  </conditionalFormatting>
  <conditionalFormatting sqref="E105:E106">
    <cfRule type="cellIs" dxfId="6090" priority="187" operator="equal">
      <formula>0</formula>
    </cfRule>
    <cfRule type="cellIs" dxfId="6089" priority="188" operator="greaterThan">
      <formula>0</formula>
    </cfRule>
  </conditionalFormatting>
  <conditionalFormatting sqref="F105:F106">
    <cfRule type="cellIs" dxfId="6088" priority="185" operator="equal">
      <formula>0</formula>
    </cfRule>
    <cfRule type="cellIs" dxfId="6087" priority="186" operator="greaterThan">
      <formula>0</formula>
    </cfRule>
  </conditionalFormatting>
  <conditionalFormatting sqref="G105:G106">
    <cfRule type="cellIs" dxfId="6086" priority="183" operator="equal">
      <formula>0</formula>
    </cfRule>
    <cfRule type="cellIs" dxfId="6085" priority="184" operator="greaterThan">
      <formula>0</formula>
    </cfRule>
  </conditionalFormatting>
  <conditionalFormatting sqref="H105:H106">
    <cfRule type="cellIs" dxfId="6084" priority="181" operator="equal">
      <formula>0</formula>
    </cfRule>
    <cfRule type="cellIs" dxfId="6083" priority="182" operator="greaterThan">
      <formula>0</formula>
    </cfRule>
  </conditionalFormatting>
  <conditionalFormatting sqref="I105:I106">
    <cfRule type="cellIs" dxfId="6082" priority="179" operator="equal">
      <formula>0</formula>
    </cfRule>
    <cfRule type="cellIs" dxfId="6081" priority="180" operator="greaterThan">
      <formula>0</formula>
    </cfRule>
  </conditionalFormatting>
  <conditionalFormatting sqref="J105:J106">
    <cfRule type="cellIs" dxfId="6080" priority="177" operator="equal">
      <formula>0</formula>
    </cfRule>
    <cfRule type="cellIs" dxfId="6079" priority="178" operator="greaterThan">
      <formula>0</formula>
    </cfRule>
  </conditionalFormatting>
  <conditionalFormatting sqref="O104">
    <cfRule type="cellIs" dxfId="6078" priority="175" operator="equal">
      <formula>0</formula>
    </cfRule>
    <cfRule type="cellIs" dxfId="6077" priority="176" operator="greaterThan">
      <formula>0</formula>
    </cfRule>
  </conditionalFormatting>
  <conditionalFormatting sqref="P104">
    <cfRule type="cellIs" dxfId="6076" priority="173" operator="equal">
      <formula>0</formula>
    </cfRule>
    <cfRule type="cellIs" dxfId="6075" priority="174" operator="greaterThan">
      <formula>0</formula>
    </cfRule>
  </conditionalFormatting>
  <conditionalFormatting sqref="Q104">
    <cfRule type="cellIs" dxfId="6074" priority="171" operator="equal">
      <formula>0</formula>
    </cfRule>
    <cfRule type="cellIs" dxfId="6073" priority="172" operator="greaterThan">
      <formula>0</formula>
    </cfRule>
  </conditionalFormatting>
  <conditionalFormatting sqref="R104">
    <cfRule type="cellIs" dxfId="6072" priority="169" operator="equal">
      <formula>0</formula>
    </cfRule>
    <cfRule type="cellIs" dxfId="6071" priority="170" operator="greaterThan">
      <formula>0</formula>
    </cfRule>
  </conditionalFormatting>
  <conditionalFormatting sqref="C112:C113">
    <cfRule type="cellIs" dxfId="6070" priority="167" operator="equal">
      <formula>0</formula>
    </cfRule>
    <cfRule type="cellIs" dxfId="6069" priority="168" operator="greaterThan">
      <formula>0</formula>
    </cfRule>
  </conditionalFormatting>
  <conditionalFormatting sqref="D112:D113">
    <cfRule type="cellIs" dxfId="6068" priority="165" operator="equal">
      <formula>0</formula>
    </cfRule>
    <cfRule type="cellIs" dxfId="6067" priority="166" operator="greaterThan">
      <formula>0</formula>
    </cfRule>
  </conditionalFormatting>
  <conditionalFormatting sqref="E112:E113">
    <cfRule type="cellIs" dxfId="6066" priority="163" operator="equal">
      <formula>0</formula>
    </cfRule>
    <cfRule type="cellIs" dxfId="6065" priority="164" operator="greaterThan">
      <formula>0</formula>
    </cfRule>
  </conditionalFormatting>
  <conditionalFormatting sqref="F112:F113">
    <cfRule type="cellIs" dxfId="6064" priority="161" operator="equal">
      <formula>0</formula>
    </cfRule>
    <cfRule type="cellIs" dxfId="6063" priority="162" operator="greaterThan">
      <formula>0</formula>
    </cfRule>
  </conditionalFormatting>
  <conditionalFormatting sqref="G112:G113">
    <cfRule type="cellIs" dxfId="6062" priority="159" operator="equal">
      <formula>0</formula>
    </cfRule>
    <cfRule type="cellIs" dxfId="6061" priority="160" operator="greaterThan">
      <formula>0</formula>
    </cfRule>
  </conditionalFormatting>
  <conditionalFormatting sqref="H112:H113">
    <cfRule type="cellIs" dxfId="6060" priority="157" operator="equal">
      <formula>0</formula>
    </cfRule>
    <cfRule type="cellIs" dxfId="6059" priority="158" operator="greaterThan">
      <formula>0</formula>
    </cfRule>
  </conditionalFormatting>
  <conditionalFormatting sqref="I112:I113">
    <cfRule type="cellIs" dxfId="6058" priority="155" operator="equal">
      <formula>0</formula>
    </cfRule>
    <cfRule type="cellIs" dxfId="6057" priority="156" operator="greaterThan">
      <formula>0</formula>
    </cfRule>
  </conditionalFormatting>
  <conditionalFormatting sqref="J112:J113">
    <cfRule type="cellIs" dxfId="6056" priority="153" operator="equal">
      <formula>0</formula>
    </cfRule>
    <cfRule type="cellIs" dxfId="6055" priority="154" operator="greaterThan">
      <formula>0</formula>
    </cfRule>
  </conditionalFormatting>
  <conditionalFormatting sqref="O111">
    <cfRule type="cellIs" dxfId="6054" priority="151" operator="equal">
      <formula>0</formula>
    </cfRule>
    <cfRule type="cellIs" dxfId="6053" priority="152" operator="greaterThan">
      <formula>0</formula>
    </cfRule>
  </conditionalFormatting>
  <conditionalFormatting sqref="P111">
    <cfRule type="cellIs" dxfId="6052" priority="149" operator="equal">
      <formula>0</formula>
    </cfRule>
    <cfRule type="cellIs" dxfId="6051" priority="150" operator="greaterThan">
      <formula>0</formula>
    </cfRule>
  </conditionalFormatting>
  <conditionalFormatting sqref="Q111">
    <cfRule type="cellIs" dxfId="6050" priority="147" operator="equal">
      <formula>0</formula>
    </cfRule>
    <cfRule type="cellIs" dxfId="6049" priority="148" operator="greaterThan">
      <formula>0</formula>
    </cfRule>
  </conditionalFormatting>
  <conditionalFormatting sqref="R111">
    <cfRule type="cellIs" dxfId="6048" priority="145" operator="equal">
      <formula>0</formula>
    </cfRule>
    <cfRule type="cellIs" dxfId="6047" priority="146" operator="greaterThan">
      <formula>0</formula>
    </cfRule>
  </conditionalFormatting>
  <conditionalFormatting sqref="C119:C120">
    <cfRule type="cellIs" dxfId="6046" priority="143" operator="equal">
      <formula>0</formula>
    </cfRule>
    <cfRule type="cellIs" dxfId="6045" priority="144" operator="greaterThan">
      <formula>0</formula>
    </cfRule>
  </conditionalFormatting>
  <conditionalFormatting sqref="D119:D120">
    <cfRule type="cellIs" dxfId="6044" priority="141" operator="equal">
      <formula>0</formula>
    </cfRule>
    <cfRule type="cellIs" dxfId="6043" priority="142" operator="greaterThan">
      <formula>0</formula>
    </cfRule>
  </conditionalFormatting>
  <conditionalFormatting sqref="E119:E120">
    <cfRule type="cellIs" dxfId="6042" priority="139" operator="equal">
      <formula>0</formula>
    </cfRule>
    <cfRule type="cellIs" dxfId="6041" priority="140" operator="greaterThan">
      <formula>0</formula>
    </cfRule>
  </conditionalFormatting>
  <conditionalFormatting sqref="F119:F120">
    <cfRule type="cellIs" dxfId="6040" priority="137" operator="equal">
      <formula>0</formula>
    </cfRule>
    <cfRule type="cellIs" dxfId="6039" priority="138" operator="greaterThan">
      <formula>0</formula>
    </cfRule>
  </conditionalFormatting>
  <conditionalFormatting sqref="G119:G120">
    <cfRule type="cellIs" dxfId="6038" priority="135" operator="equal">
      <formula>0</formula>
    </cfRule>
    <cfRule type="cellIs" dxfId="6037" priority="136" operator="greaterThan">
      <formula>0</formula>
    </cfRule>
  </conditionalFormatting>
  <conditionalFormatting sqref="H119:H120">
    <cfRule type="cellIs" dxfId="6036" priority="133" operator="equal">
      <formula>0</formula>
    </cfRule>
    <cfRule type="cellIs" dxfId="6035" priority="134" operator="greaterThan">
      <formula>0</formula>
    </cfRule>
  </conditionalFormatting>
  <conditionalFormatting sqref="I119:I120">
    <cfRule type="cellIs" dxfId="6034" priority="131" operator="equal">
      <formula>0</formula>
    </cfRule>
    <cfRule type="cellIs" dxfId="6033" priority="132" operator="greaterThan">
      <formula>0</formula>
    </cfRule>
  </conditionalFormatting>
  <conditionalFormatting sqref="J119:J120">
    <cfRule type="cellIs" dxfId="6032" priority="129" operator="equal">
      <formula>0</formula>
    </cfRule>
    <cfRule type="cellIs" dxfId="6031" priority="130" operator="greaterThan">
      <formula>0</formula>
    </cfRule>
  </conditionalFormatting>
  <conditionalFormatting sqref="O118">
    <cfRule type="cellIs" dxfId="6030" priority="127" operator="equal">
      <formula>0</formula>
    </cfRule>
    <cfRule type="cellIs" dxfId="6029" priority="128" operator="greaterThan">
      <formula>0</formula>
    </cfRule>
  </conditionalFormatting>
  <conditionalFormatting sqref="P118">
    <cfRule type="cellIs" dxfId="6028" priority="125" operator="equal">
      <formula>0</formula>
    </cfRule>
    <cfRule type="cellIs" dxfId="6027" priority="126" operator="greaterThan">
      <formula>0</formula>
    </cfRule>
  </conditionalFormatting>
  <conditionalFormatting sqref="Q118">
    <cfRule type="cellIs" dxfId="6026" priority="123" operator="equal">
      <formula>0</formula>
    </cfRule>
    <cfRule type="cellIs" dxfId="6025" priority="124" operator="greaterThan">
      <formula>0</formula>
    </cfRule>
  </conditionalFormatting>
  <conditionalFormatting sqref="R118">
    <cfRule type="cellIs" dxfId="6024" priority="121" operator="equal">
      <formula>0</formula>
    </cfRule>
    <cfRule type="cellIs" dxfId="6023" priority="122" operator="greaterThan">
      <formula>0</formula>
    </cfRule>
  </conditionalFormatting>
  <conditionalFormatting sqref="C126:C127">
    <cfRule type="cellIs" dxfId="6022" priority="119" operator="equal">
      <formula>0</formula>
    </cfRule>
    <cfRule type="cellIs" dxfId="6021" priority="120" operator="greaterThan">
      <formula>0</formula>
    </cfRule>
  </conditionalFormatting>
  <conditionalFormatting sqref="D126:D127">
    <cfRule type="cellIs" dxfId="6020" priority="117" operator="equal">
      <formula>0</formula>
    </cfRule>
    <cfRule type="cellIs" dxfId="6019" priority="118" operator="greaterThan">
      <formula>0</formula>
    </cfRule>
  </conditionalFormatting>
  <conditionalFormatting sqref="E126:E127">
    <cfRule type="cellIs" dxfId="6018" priority="115" operator="equal">
      <formula>0</formula>
    </cfRule>
    <cfRule type="cellIs" dxfId="6017" priority="116" operator="greaterThan">
      <formula>0</formula>
    </cfRule>
  </conditionalFormatting>
  <conditionalFormatting sqref="F126:F127">
    <cfRule type="cellIs" dxfId="6016" priority="113" operator="equal">
      <formula>0</formula>
    </cfRule>
    <cfRule type="cellIs" dxfId="6015" priority="114" operator="greaterThan">
      <formula>0</formula>
    </cfRule>
  </conditionalFormatting>
  <conditionalFormatting sqref="G126:G127">
    <cfRule type="cellIs" dxfId="6014" priority="111" operator="equal">
      <formula>0</formula>
    </cfRule>
    <cfRule type="cellIs" dxfId="6013" priority="112" operator="greaterThan">
      <formula>0</formula>
    </cfRule>
  </conditionalFormatting>
  <conditionalFormatting sqref="H126:H127">
    <cfRule type="cellIs" dxfId="6012" priority="109" operator="equal">
      <formula>0</formula>
    </cfRule>
    <cfRule type="cellIs" dxfId="6011" priority="110" operator="greaterThan">
      <formula>0</formula>
    </cfRule>
  </conditionalFormatting>
  <conditionalFormatting sqref="I126:I127">
    <cfRule type="cellIs" dxfId="6010" priority="107" operator="equal">
      <formula>0</formula>
    </cfRule>
    <cfRule type="cellIs" dxfId="6009" priority="108" operator="greaterThan">
      <formula>0</formula>
    </cfRule>
  </conditionalFormatting>
  <conditionalFormatting sqref="J126:J127">
    <cfRule type="cellIs" dxfId="6008" priority="105" operator="equal">
      <formula>0</formula>
    </cfRule>
    <cfRule type="cellIs" dxfId="6007" priority="106" operator="greaterThan">
      <formula>0</formula>
    </cfRule>
  </conditionalFormatting>
  <conditionalFormatting sqref="O125">
    <cfRule type="cellIs" dxfId="6006" priority="103" operator="equal">
      <formula>0</formula>
    </cfRule>
    <cfRule type="cellIs" dxfId="6005" priority="104" operator="greaterThan">
      <formula>0</formula>
    </cfRule>
  </conditionalFormatting>
  <conditionalFormatting sqref="P125">
    <cfRule type="cellIs" dxfId="6004" priority="101" operator="equal">
      <formula>0</formula>
    </cfRule>
    <cfRule type="cellIs" dxfId="6003" priority="102" operator="greaterThan">
      <formula>0</formula>
    </cfRule>
  </conditionalFormatting>
  <conditionalFormatting sqref="Q125">
    <cfRule type="cellIs" dxfId="6002" priority="99" operator="equal">
      <formula>0</formula>
    </cfRule>
    <cfRule type="cellIs" dxfId="6001" priority="100" operator="greaterThan">
      <formula>0</formula>
    </cfRule>
  </conditionalFormatting>
  <conditionalFormatting sqref="R125">
    <cfRule type="cellIs" dxfId="6000" priority="97" operator="equal">
      <formula>0</formula>
    </cfRule>
    <cfRule type="cellIs" dxfId="5999" priority="98" operator="greaterThan">
      <formula>0</formula>
    </cfRule>
  </conditionalFormatting>
  <conditionalFormatting sqref="V105:V106">
    <cfRule type="cellIs" dxfId="5998" priority="95" operator="equal">
      <formula>0</formula>
    </cfRule>
    <cfRule type="cellIs" dxfId="5997" priority="96" operator="greaterThan">
      <formula>0</formula>
    </cfRule>
  </conditionalFormatting>
  <conditionalFormatting sqref="W105:W106">
    <cfRule type="cellIs" dxfId="5996" priority="93" operator="equal">
      <formula>0</formula>
    </cfRule>
    <cfRule type="cellIs" dxfId="5995" priority="94" operator="greaterThan">
      <formula>0</formula>
    </cfRule>
  </conditionalFormatting>
  <conditionalFormatting sqref="X105:X106">
    <cfRule type="cellIs" dxfId="5994" priority="91" operator="equal">
      <formula>0</formula>
    </cfRule>
    <cfRule type="cellIs" dxfId="5993" priority="92" operator="greaterThan">
      <formula>0</formula>
    </cfRule>
  </conditionalFormatting>
  <conditionalFormatting sqref="Y105:Y106">
    <cfRule type="cellIs" dxfId="5992" priority="89" operator="equal">
      <formula>0</formula>
    </cfRule>
    <cfRule type="cellIs" dxfId="5991" priority="90" operator="greaterThan">
      <formula>0</formula>
    </cfRule>
  </conditionalFormatting>
  <conditionalFormatting sqref="Z105:Z106">
    <cfRule type="cellIs" dxfId="5990" priority="87" operator="equal">
      <formula>0</formula>
    </cfRule>
    <cfRule type="cellIs" dxfId="5989" priority="88" operator="greaterThan">
      <formula>0</formula>
    </cfRule>
  </conditionalFormatting>
  <conditionalFormatting sqref="AA105:AA106">
    <cfRule type="cellIs" dxfId="5988" priority="85" operator="equal">
      <formula>0</formula>
    </cfRule>
    <cfRule type="cellIs" dxfId="5987" priority="86" operator="greaterThan">
      <formula>0</formula>
    </cfRule>
  </conditionalFormatting>
  <conditionalFormatting sqref="AB105:AB106">
    <cfRule type="cellIs" dxfId="5986" priority="83" operator="equal">
      <formula>0</formula>
    </cfRule>
    <cfRule type="cellIs" dxfId="5985" priority="84" operator="greaterThan">
      <formula>0</formula>
    </cfRule>
  </conditionalFormatting>
  <conditionalFormatting sqref="AC105:AC106">
    <cfRule type="cellIs" dxfId="5984" priority="81" operator="equal">
      <formula>0</formula>
    </cfRule>
    <cfRule type="cellIs" dxfId="5983" priority="82" operator="greaterThan">
      <formula>0</formula>
    </cfRule>
  </conditionalFormatting>
  <conditionalFormatting sqref="AH104">
    <cfRule type="cellIs" dxfId="5982" priority="79" operator="equal">
      <formula>0</formula>
    </cfRule>
    <cfRule type="cellIs" dxfId="5981" priority="80" operator="greaterThan">
      <formula>0</formula>
    </cfRule>
  </conditionalFormatting>
  <conditionalFormatting sqref="AI104">
    <cfRule type="cellIs" dxfId="5980" priority="77" operator="equal">
      <formula>0</formula>
    </cfRule>
    <cfRule type="cellIs" dxfId="5979" priority="78" operator="greaterThan">
      <formula>0</formula>
    </cfRule>
  </conditionalFormatting>
  <conditionalFormatting sqref="AJ104">
    <cfRule type="cellIs" dxfId="5978" priority="75" operator="equal">
      <formula>0</formula>
    </cfRule>
    <cfRule type="cellIs" dxfId="5977" priority="76" operator="greaterThan">
      <formula>0</formula>
    </cfRule>
  </conditionalFormatting>
  <conditionalFormatting sqref="AK104">
    <cfRule type="cellIs" dxfId="5976" priority="73" operator="equal">
      <formula>0</formula>
    </cfRule>
    <cfRule type="cellIs" dxfId="5975" priority="74" operator="greaterThan">
      <formula>0</formula>
    </cfRule>
  </conditionalFormatting>
  <conditionalFormatting sqref="V112:V113">
    <cfRule type="cellIs" dxfId="5974" priority="71" operator="equal">
      <formula>0</formula>
    </cfRule>
    <cfRule type="cellIs" dxfId="5973" priority="72" operator="greaterThan">
      <formula>0</formula>
    </cfRule>
  </conditionalFormatting>
  <conditionalFormatting sqref="W112:W113">
    <cfRule type="cellIs" dxfId="5972" priority="69" operator="equal">
      <formula>0</formula>
    </cfRule>
    <cfRule type="cellIs" dxfId="5971" priority="70" operator="greaterThan">
      <formula>0</formula>
    </cfRule>
  </conditionalFormatting>
  <conditionalFormatting sqref="X112:X113">
    <cfRule type="cellIs" dxfId="5970" priority="67" operator="equal">
      <formula>0</formula>
    </cfRule>
    <cfRule type="cellIs" dxfId="5969" priority="68" operator="greaterThan">
      <formula>0</formula>
    </cfRule>
  </conditionalFormatting>
  <conditionalFormatting sqref="Y112:Y113">
    <cfRule type="cellIs" dxfId="5968" priority="65" operator="equal">
      <formula>0</formula>
    </cfRule>
    <cfRule type="cellIs" dxfId="5967" priority="66" operator="greaterThan">
      <formula>0</formula>
    </cfRule>
  </conditionalFormatting>
  <conditionalFormatting sqref="Z112:Z113">
    <cfRule type="cellIs" dxfId="5966" priority="63" operator="equal">
      <formula>0</formula>
    </cfRule>
    <cfRule type="cellIs" dxfId="5965" priority="64" operator="greaterThan">
      <formula>0</formula>
    </cfRule>
  </conditionalFormatting>
  <conditionalFormatting sqref="AA112:AA113">
    <cfRule type="cellIs" dxfId="5964" priority="61" operator="equal">
      <formula>0</formula>
    </cfRule>
    <cfRule type="cellIs" dxfId="5963" priority="62" operator="greaterThan">
      <formula>0</formula>
    </cfRule>
  </conditionalFormatting>
  <conditionalFormatting sqref="AB112:AB113">
    <cfRule type="cellIs" dxfId="5962" priority="59" operator="equal">
      <formula>0</formula>
    </cfRule>
    <cfRule type="cellIs" dxfId="5961" priority="60" operator="greaterThan">
      <formula>0</formula>
    </cfRule>
  </conditionalFormatting>
  <conditionalFormatting sqref="AC112:AC113">
    <cfRule type="cellIs" dxfId="5960" priority="57" operator="equal">
      <formula>0</formula>
    </cfRule>
    <cfRule type="cellIs" dxfId="5959" priority="58" operator="greaterThan">
      <formula>0</formula>
    </cfRule>
  </conditionalFormatting>
  <conditionalFormatting sqref="AH111">
    <cfRule type="cellIs" dxfId="5958" priority="55" operator="equal">
      <formula>0</formula>
    </cfRule>
    <cfRule type="cellIs" dxfId="5957" priority="56" operator="greaterThan">
      <formula>0</formula>
    </cfRule>
  </conditionalFormatting>
  <conditionalFormatting sqref="AI111">
    <cfRule type="cellIs" dxfId="5956" priority="53" operator="equal">
      <formula>0</formula>
    </cfRule>
    <cfRule type="cellIs" dxfId="5955" priority="54" operator="greaterThan">
      <formula>0</formula>
    </cfRule>
  </conditionalFormatting>
  <conditionalFormatting sqref="AJ111">
    <cfRule type="cellIs" dxfId="5954" priority="51" operator="equal">
      <formula>0</formula>
    </cfRule>
    <cfRule type="cellIs" dxfId="5953" priority="52" operator="greaterThan">
      <formula>0</formula>
    </cfRule>
  </conditionalFormatting>
  <conditionalFormatting sqref="AK111">
    <cfRule type="cellIs" dxfId="5952" priority="49" operator="equal">
      <formula>0</formula>
    </cfRule>
    <cfRule type="cellIs" dxfId="5951" priority="50" operator="greaterThan">
      <formula>0</formula>
    </cfRule>
  </conditionalFormatting>
  <conditionalFormatting sqref="V119:V120">
    <cfRule type="cellIs" dxfId="5950" priority="47" operator="equal">
      <formula>0</formula>
    </cfRule>
    <cfRule type="cellIs" dxfId="5949" priority="48" operator="greaterThan">
      <formula>0</formula>
    </cfRule>
  </conditionalFormatting>
  <conditionalFormatting sqref="W119:W120">
    <cfRule type="cellIs" dxfId="5948" priority="45" operator="equal">
      <formula>0</formula>
    </cfRule>
    <cfRule type="cellIs" dxfId="5947" priority="46" operator="greaterThan">
      <formula>0</formula>
    </cfRule>
  </conditionalFormatting>
  <conditionalFormatting sqref="X119:X120">
    <cfRule type="cellIs" dxfId="5946" priority="43" operator="equal">
      <formula>0</formula>
    </cfRule>
    <cfRule type="cellIs" dxfId="5945" priority="44" operator="greaterThan">
      <formula>0</formula>
    </cfRule>
  </conditionalFormatting>
  <conditionalFormatting sqref="Y119:Y120">
    <cfRule type="cellIs" dxfId="5944" priority="41" operator="equal">
      <formula>0</formula>
    </cfRule>
    <cfRule type="cellIs" dxfId="5943" priority="42" operator="greaterThan">
      <formula>0</formula>
    </cfRule>
  </conditionalFormatting>
  <conditionalFormatting sqref="Z119:Z120">
    <cfRule type="cellIs" dxfId="5942" priority="39" operator="equal">
      <formula>0</formula>
    </cfRule>
    <cfRule type="cellIs" dxfId="5941" priority="40" operator="greaterThan">
      <formula>0</formula>
    </cfRule>
  </conditionalFormatting>
  <conditionalFormatting sqref="AA119:AA120">
    <cfRule type="cellIs" dxfId="5940" priority="37" operator="equal">
      <formula>0</formula>
    </cfRule>
    <cfRule type="cellIs" dxfId="5939" priority="38" operator="greaterThan">
      <formula>0</formula>
    </cfRule>
  </conditionalFormatting>
  <conditionalFormatting sqref="AB119:AB120">
    <cfRule type="cellIs" dxfId="5938" priority="35" operator="equal">
      <formula>0</formula>
    </cfRule>
    <cfRule type="cellIs" dxfId="5937" priority="36" operator="greaterThan">
      <formula>0</formula>
    </cfRule>
  </conditionalFormatting>
  <conditionalFormatting sqref="AC119:AC120">
    <cfRule type="cellIs" dxfId="5936" priority="33" operator="equal">
      <formula>0</formula>
    </cfRule>
    <cfRule type="cellIs" dxfId="5935" priority="34" operator="greaterThan">
      <formula>0</formula>
    </cfRule>
  </conditionalFormatting>
  <conditionalFormatting sqref="AH118">
    <cfRule type="cellIs" dxfId="5934" priority="31" operator="equal">
      <formula>0</formula>
    </cfRule>
    <cfRule type="cellIs" dxfId="5933" priority="32" operator="greaterThan">
      <formula>0</formula>
    </cfRule>
  </conditionalFormatting>
  <conditionalFormatting sqref="AI118">
    <cfRule type="cellIs" dxfId="5932" priority="29" operator="equal">
      <formula>0</formula>
    </cfRule>
    <cfRule type="cellIs" dxfId="5931" priority="30" operator="greaterThan">
      <formula>0</formula>
    </cfRule>
  </conditionalFormatting>
  <conditionalFormatting sqref="AJ118">
    <cfRule type="cellIs" dxfId="5930" priority="27" operator="equal">
      <formula>0</formula>
    </cfRule>
    <cfRule type="cellIs" dxfId="5929" priority="28" operator="greaterThan">
      <formula>0</formula>
    </cfRule>
  </conditionalFormatting>
  <conditionalFormatting sqref="AK118">
    <cfRule type="cellIs" dxfId="5928" priority="25" operator="equal">
      <formula>0</formula>
    </cfRule>
    <cfRule type="cellIs" dxfId="5927" priority="26" operator="greaterThan">
      <formula>0</formula>
    </cfRule>
  </conditionalFormatting>
  <conditionalFormatting sqref="V126:V127">
    <cfRule type="cellIs" dxfId="5926" priority="23" operator="equal">
      <formula>0</formula>
    </cfRule>
    <cfRule type="cellIs" dxfId="5925" priority="24" operator="greaterThan">
      <formula>0</formula>
    </cfRule>
  </conditionalFormatting>
  <conditionalFormatting sqref="W126:W127">
    <cfRule type="cellIs" dxfId="5924" priority="21" operator="equal">
      <formula>0</formula>
    </cfRule>
    <cfRule type="cellIs" dxfId="5923" priority="22" operator="greaterThan">
      <formula>0</formula>
    </cfRule>
  </conditionalFormatting>
  <conditionalFormatting sqref="X126:X127">
    <cfRule type="cellIs" dxfId="5922" priority="19" operator="equal">
      <formula>0</formula>
    </cfRule>
    <cfRule type="cellIs" dxfId="5921" priority="20" operator="greaterThan">
      <formula>0</formula>
    </cfRule>
  </conditionalFormatting>
  <conditionalFormatting sqref="Y126:Y127">
    <cfRule type="cellIs" dxfId="5920" priority="17" operator="equal">
      <formula>0</formula>
    </cfRule>
    <cfRule type="cellIs" dxfId="5919" priority="18" operator="greaterThan">
      <formula>0</formula>
    </cfRule>
  </conditionalFormatting>
  <conditionalFormatting sqref="Z126:Z127">
    <cfRule type="cellIs" dxfId="5918" priority="15" operator="equal">
      <formula>0</formula>
    </cfRule>
    <cfRule type="cellIs" dxfId="5917" priority="16" operator="greaterThan">
      <formula>0</formula>
    </cfRule>
  </conditionalFormatting>
  <conditionalFormatting sqref="AA126:AA127">
    <cfRule type="cellIs" dxfId="5916" priority="13" operator="equal">
      <formula>0</formula>
    </cfRule>
    <cfRule type="cellIs" dxfId="5915" priority="14" operator="greaterThan">
      <formula>0</formula>
    </cfRule>
  </conditionalFormatting>
  <conditionalFormatting sqref="AB126:AB127">
    <cfRule type="cellIs" dxfId="5914" priority="11" operator="equal">
      <formula>0</formula>
    </cfRule>
    <cfRule type="cellIs" dxfId="5913" priority="12" operator="greaterThan">
      <formula>0</formula>
    </cfRule>
  </conditionalFormatting>
  <conditionalFormatting sqref="AC126:AC127">
    <cfRule type="cellIs" dxfId="5912" priority="9" operator="equal">
      <formula>0</formula>
    </cfRule>
    <cfRule type="cellIs" dxfId="5911" priority="10" operator="greaterThan">
      <formula>0</formula>
    </cfRule>
  </conditionalFormatting>
  <conditionalFormatting sqref="AH125">
    <cfRule type="cellIs" dxfId="5910" priority="7" operator="equal">
      <formula>0</formula>
    </cfRule>
    <cfRule type="cellIs" dxfId="5909" priority="8" operator="greaterThan">
      <formula>0</formula>
    </cfRule>
  </conditionalFormatting>
  <conditionalFormatting sqref="AI125">
    <cfRule type="cellIs" dxfId="5908" priority="5" operator="equal">
      <formula>0</formula>
    </cfRule>
    <cfRule type="cellIs" dxfId="5907" priority="6" operator="greaterThan">
      <formula>0</formula>
    </cfRule>
  </conditionalFormatting>
  <conditionalFormatting sqref="AJ125">
    <cfRule type="cellIs" dxfId="5906" priority="3" operator="equal">
      <formula>0</formula>
    </cfRule>
    <cfRule type="cellIs" dxfId="5905" priority="4" operator="greaterThan">
      <formula>0</formula>
    </cfRule>
  </conditionalFormatting>
  <conditionalFormatting sqref="AK125">
    <cfRule type="cellIs" dxfId="5904" priority="1" operator="equal">
      <formula>0</formula>
    </cfRule>
    <cfRule type="cellIs" dxfId="5903"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2"/>
  <sheetViews>
    <sheetView showGridLines="0" topLeftCell="A31" zoomScale="85" zoomScaleNormal="85" workbookViewId="0">
      <selection activeCell="C75" sqref="C75"/>
    </sheetView>
  </sheetViews>
  <sheetFormatPr baseColWidth="10" defaultColWidth="9.1640625" defaultRowHeight="14" x14ac:dyDescent="0.15"/>
  <cols>
    <col min="2" max="2" width="42.5" customWidth="1"/>
    <col min="3" max="3" width="19.1640625" customWidth="1"/>
    <col min="4" max="4" width="20.5" bestFit="1" customWidth="1"/>
    <col min="5" max="5" width="16.33203125" customWidth="1"/>
    <col min="6" max="6" width="17.1640625" customWidth="1"/>
    <col min="7" max="7" width="18.5" customWidth="1"/>
    <col min="8" max="8" width="19.1640625" customWidth="1"/>
    <col min="9" max="9" width="17.5" customWidth="1"/>
    <col min="10" max="10" width="20.5" customWidth="1"/>
    <col min="11" max="11" width="23.6640625" customWidth="1"/>
    <col min="12" max="12" width="19.83203125" customWidth="1"/>
    <col min="13" max="13" width="17.83203125" bestFit="1" customWidth="1"/>
    <col min="14" max="14" width="8.5" bestFit="1" customWidth="1"/>
    <col min="17" max="17" width="10" bestFit="1" customWidth="1"/>
  </cols>
  <sheetData>
    <row r="1" spans="1:19" ht="43.5" customHeight="1" x14ac:dyDescent="0.15">
      <c r="A1" s="469" t="s">
        <v>1067</v>
      </c>
      <c r="B1" s="469"/>
      <c r="C1" s="469"/>
      <c r="D1" s="469"/>
      <c r="E1" s="469"/>
      <c r="F1" s="469"/>
      <c r="G1" s="469"/>
      <c r="H1" s="469"/>
      <c r="I1" s="469"/>
      <c r="J1" s="469"/>
      <c r="K1" s="469"/>
      <c r="L1" s="469"/>
      <c r="M1" s="469"/>
      <c r="N1" s="470"/>
      <c r="O1" s="470"/>
      <c r="P1" s="470"/>
      <c r="Q1" s="470"/>
      <c r="R1" s="470"/>
      <c r="S1" s="470"/>
    </row>
    <row r="2" spans="1:19" ht="37.5" customHeight="1" x14ac:dyDescent="0.15">
      <c r="A2" s="424"/>
      <c r="B2" s="424"/>
      <c r="C2" s="424"/>
      <c r="D2" s="424"/>
      <c r="E2" s="424"/>
      <c r="F2" s="424"/>
      <c r="G2" s="424"/>
      <c r="H2" s="424"/>
      <c r="I2" s="424"/>
      <c r="J2" s="424"/>
      <c r="K2" s="424"/>
      <c r="L2" s="424"/>
      <c r="M2" s="424"/>
      <c r="N2" s="241"/>
      <c r="O2" s="241"/>
      <c r="P2" s="241"/>
      <c r="Q2" s="241"/>
      <c r="R2" s="241"/>
      <c r="S2" s="241"/>
    </row>
    <row r="3" spans="1:19" ht="16.5" customHeight="1" x14ac:dyDescent="0.15"/>
    <row r="4" spans="1:19" ht="33.75" customHeight="1" x14ac:dyDescent="0.15">
      <c r="B4" s="337" t="s">
        <v>1068</v>
      </c>
    </row>
    <row r="5" spans="1:19" ht="24" customHeight="1" x14ac:dyDescent="0.15">
      <c r="B5" s="242" t="s">
        <v>17</v>
      </c>
      <c r="D5" t="s">
        <v>1069</v>
      </c>
      <c r="F5" s="40"/>
    </row>
    <row r="6" spans="1:19" ht="33" customHeight="1" x14ac:dyDescent="0.15">
      <c r="B6" s="304" t="s">
        <v>41</v>
      </c>
    </row>
    <row r="8" spans="1:19" ht="23" x14ac:dyDescent="0.15">
      <c r="B8" s="444" t="s">
        <v>941</v>
      </c>
      <c r="C8" s="445"/>
      <c r="D8" s="445"/>
      <c r="E8" s="445"/>
      <c r="F8" s="446"/>
    </row>
    <row r="9" spans="1:19" ht="56" x14ac:dyDescent="0.15">
      <c r="B9" s="62"/>
      <c r="C9" s="219" t="s">
        <v>942</v>
      </c>
      <c r="D9" s="63" t="s">
        <v>943</v>
      </c>
      <c r="E9" s="63" t="s">
        <v>944</v>
      </c>
      <c r="F9" s="63" t="s">
        <v>945</v>
      </c>
      <c r="G9" s="64"/>
      <c r="H9" s="219" t="s">
        <v>1047</v>
      </c>
      <c r="I9" s="219" t="s">
        <v>947</v>
      </c>
      <c r="J9" s="64"/>
      <c r="K9" s="219" t="s">
        <v>948</v>
      </c>
      <c r="L9" s="219" t="s">
        <v>949</v>
      </c>
      <c r="M9" s="64"/>
    </row>
    <row r="10" spans="1:19" x14ac:dyDescent="0.15">
      <c r="B10" s="65" t="str">
        <f>B6</f>
        <v>Boston - N53</v>
      </c>
      <c r="C10" s="111" t="str">
        <f>IFERROR(SUM((SUMIFS('capacity data'!$G:$G,'capacity data'!$E:$E,"PO",'capacity data'!$C:$C,B6))-SUMIFS('capacity data'!$H:$H,'capacity data'!$E:$E,"PO",'capacity data'!$C:$C,B6))/SUMIFS('capacity data'!$G:$G,'capacity data'!$E:$E,"PO",'capacity data'!$C:$C,B6),"")</f>
        <v/>
      </c>
      <c r="D10" s="67" t="str">
        <f>IFERROR(SUM((SUMIFS('capacity data'!$G:$G,'capacity data'!$E:$E,"PSO",'capacity data'!$C:$C,B6))-SUMIFS('capacity data'!$H:$H,'capacity data'!$E:$E,"PSO",'capacity data'!$C:$C,B6))/SUMIFS('capacity data'!$G:$G,'capacity data'!$E:$E,"PSO",'capacity data'!$C:$C,B6),"")</f>
        <v/>
      </c>
      <c r="E10" s="67" t="str">
        <f>IFERROR(SUM((SUMIFS('capacity data'!$G:$G,'capacity data'!$E:$E,"TPO",'capacity data'!$C:$C,B6))-SUMIFS('capacity data'!$H:$H,'capacity data'!$E:$E,"TPO",'capacity data'!$C:$C,B6))/SUMIFS('capacity data'!$G:$G,'capacity data'!$E:$E,"TPO",'capacity data'!$C:$C,B6),"")</f>
        <v/>
      </c>
      <c r="F10" s="67" t="str">
        <f>IFERROR(SUM((SUMIFS('capacity data'!G:G,'capacity data'!C:C,'team overview'!B6))-SUMIFS('capacity data'!H:H,'capacity data'!C:C,'team overview'!B6))/SUMIFS('capacity data'!G:G,'capacity data'!C:C,'team overview'!B6),"")</f>
        <v/>
      </c>
      <c r="G10" s="64"/>
      <c r="H10" s="66" t="e">
        <f>SUMIFS('capacity data'!$L:$L,'capacity data'!$C:$C,$B$6,'capacity data'!$E:$E,"PSO")/SUM((SUMIFS('capacity data'!$G:$G,'capacity data'!$E:$E,"PSO",'capacity data'!$C:$C,$B$6))-SUMIFS('capacity data'!$H:$H,'capacity data'!$E:$E,"PSO",'capacity data'!$C:$C,$B$6))</f>
        <v>#DIV/0!</v>
      </c>
      <c r="I10" s="211" t="e">
        <f>SUMIFS('capacity data'!$L:$L,'capacity data'!$C:$C,$B$6,'capacity data'!$E:$E,"PSO")/SUMIFS('capacity data'!$G:$G,'capacity data'!$E:$E,"PSO",'capacity data'!$C:$C,$B$6)</f>
        <v>#DIV/0!</v>
      </c>
      <c r="J10" s="64"/>
      <c r="K10" s="66" t="e">
        <f>SUMIFS('capacity data'!$L:$L,'capacity data'!$C:$C,$B$6,'capacity data'!$E:$E,"TPO")/SUM((SUMIFS('capacity data'!$G:$G,'capacity data'!$E:$E,"TPO",'capacity data'!$C:$C,$B$6))-SUMIFS('capacity data'!$H:$H,'capacity data'!$E:$E,"TPO",'capacity data'!$C:$C,$B$6))</f>
        <v>#DIV/0!</v>
      </c>
      <c r="L10" s="211" t="e">
        <f>SUMIFS('capacity data'!$L:$L,'capacity data'!$C:$C,$B$6,'capacity data'!$E:$E,"TPO")/SUMIFS('capacity data'!$G:$G,'capacity data'!$E:$E,"TPO",'capacity data'!$C:$C,$B$6)</f>
        <v>#DIV/0!</v>
      </c>
      <c r="M10" s="64"/>
    </row>
    <row r="11" spans="1:19" x14ac:dyDescent="0.15">
      <c r="B11" s="106" t="s">
        <v>950</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data'!E:E,"PSO",'capacity data'!G:G))-SUMIF('capacity data'!E:E,"PSO",'capacity data'!H:H))/SUMIF('capacity data'!E:E,"PSO",'capacity data'!G:G)</f>
        <v>#DIV/0!</v>
      </c>
      <c r="F11" s="82" t="e">
        <f>SUM((SUM('capacity data'!G:G)-SUM('capacity data'!H:H))/SUM('capacity data'!G:G))</f>
        <v>#DIV/0!</v>
      </c>
      <c r="G11" s="64"/>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c r="M11" s="64"/>
    </row>
    <row r="12" spans="1:19" x14ac:dyDescent="0.15">
      <c r="B12" s="119" t="s">
        <v>1041</v>
      </c>
      <c r="C12" s="120" t="e">
        <f>+C10-C11</f>
        <v>#VALUE!</v>
      </c>
      <c r="D12" s="103" t="str">
        <f>IFERROR(+D10-D11,"N/A")</f>
        <v>N/A</v>
      </c>
      <c r="E12" s="103" t="str">
        <f>IFERROR(+E10-E11,"N/A")</f>
        <v>N/A</v>
      </c>
      <c r="F12" s="103" t="e">
        <f>+F10-F11</f>
        <v>#VALUE!</v>
      </c>
      <c r="G12" s="64"/>
      <c r="H12" s="99" t="e">
        <f>+H10-H11</f>
        <v>#DIV/0!</v>
      </c>
      <c r="I12" s="121" t="e">
        <f>+I10-I11</f>
        <v>#DIV/0!</v>
      </c>
      <c r="J12" s="64"/>
      <c r="K12" s="99" t="e">
        <f>+K10-K11</f>
        <v>#DIV/0!</v>
      </c>
      <c r="L12" s="121" t="e">
        <f>+L10-L11</f>
        <v>#DIV/0!</v>
      </c>
      <c r="M12" s="64"/>
    </row>
    <row r="13" spans="1:19" x14ac:dyDescent="0.15">
      <c r="B13" s="64"/>
      <c r="C13" s="64"/>
      <c r="D13" s="64"/>
      <c r="E13" s="64"/>
      <c r="F13" s="64"/>
      <c r="G13" s="64"/>
      <c r="H13" s="64"/>
      <c r="I13" s="64"/>
      <c r="J13" s="64"/>
      <c r="K13" s="64"/>
      <c r="L13" s="64"/>
      <c r="M13" s="64"/>
    </row>
    <row r="14" spans="1:19" ht="50.25" customHeight="1" x14ac:dyDescent="0.15">
      <c r="B14" s="69"/>
      <c r="C14" s="70" t="s">
        <v>953</v>
      </c>
      <c r="D14" s="70" t="s">
        <v>954</v>
      </c>
      <c r="E14" s="70" t="s">
        <v>955</v>
      </c>
      <c r="F14" s="70" t="s">
        <v>956</v>
      </c>
      <c r="G14" s="70" t="s">
        <v>957</v>
      </c>
      <c r="H14" s="70" t="s">
        <v>958</v>
      </c>
      <c r="I14" s="70" t="s">
        <v>959</v>
      </c>
      <c r="J14" s="71" t="s">
        <v>960</v>
      </c>
      <c r="K14" s="70" t="s">
        <v>961</v>
      </c>
      <c r="L14" s="70" t="s">
        <v>962</v>
      </c>
      <c r="M14" s="70" t="s">
        <v>963</v>
      </c>
    </row>
    <row r="15" spans="1:19" ht="20.25" customHeight="1" x14ac:dyDescent="0.15">
      <c r="B15" s="72" t="str">
        <f>B6</f>
        <v>Boston - N53</v>
      </c>
      <c r="C15" s="213">
        <f>COUNTIFS('capacity data'!C:C,'team overview'!B6,'capacity data'!E:E,"PO")</f>
        <v>0</v>
      </c>
      <c r="D15" s="213">
        <f>COUNTIFS('capacity data'!C:C,B6,'capacity data'!E:E,"PO",'capacity data'!F:F,"&gt;110%")</f>
        <v>0</v>
      </c>
      <c r="E15" s="73" t="e">
        <f>D15/C15</f>
        <v>#DIV/0!</v>
      </c>
      <c r="F15" s="213">
        <f>COUNTIFS('capacity data'!C:C,'team overview'!B6,'capacity data'!E:E,"PSO")</f>
        <v>0</v>
      </c>
      <c r="G15" s="213">
        <f>COUNTIFS('capacity data'!C:C,B6,'capacity data'!E:E,"PSO",'capacity data'!F:F,"&gt;110%")</f>
        <v>0</v>
      </c>
      <c r="H15" s="74" t="str">
        <f>IFERROR(G15/F15,"N/A")</f>
        <v>N/A</v>
      </c>
      <c r="I15" s="213">
        <f>COUNTIFS('capacity data'!C:C,B6,'capacity data'!E:E,"PSO",'capacity data'!F:F,"&lt;910%")</f>
        <v>0</v>
      </c>
      <c r="J15" s="74" t="str">
        <f>IFERROR(I15/F15,"")</f>
        <v/>
      </c>
      <c r="K15" s="213">
        <f>COUNTIFS('capacity data'!C:C,'team overview'!B6,'capacity data'!E:E,"TPO")</f>
        <v>0</v>
      </c>
      <c r="L15" s="213">
        <f>COUNTIFS('capacity data'!C:C,B6,'capacity data'!E:E,"TPO",'capacity data'!F:F,"&gt;110%")</f>
        <v>0</v>
      </c>
      <c r="M15" s="67" t="str">
        <f>IFERROR(L15/K15,"N/A")</f>
        <v>N/A</v>
      </c>
    </row>
    <row r="16" spans="1:19" x14ac:dyDescent="0.15">
      <c r="B16" s="106" t="s">
        <v>1054</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1041</v>
      </c>
      <c r="C17" s="100" t="s">
        <v>965</v>
      </c>
      <c r="D17" s="100" t="s">
        <v>965</v>
      </c>
      <c r="E17" s="101" t="e">
        <f>+E15-E16</f>
        <v>#DIV/0!</v>
      </c>
      <c r="F17" s="100" t="s">
        <v>965</v>
      </c>
      <c r="G17" s="100" t="s">
        <v>965</v>
      </c>
      <c r="H17" s="101" t="str">
        <f>IFERROR(+H15-H16,"N/A")</f>
        <v>N/A</v>
      </c>
      <c r="I17" s="100" t="s">
        <v>965</v>
      </c>
      <c r="J17" s="101" t="str">
        <f>IFERROR(+J15-J16,"N/A")</f>
        <v>N/A</v>
      </c>
      <c r="K17" s="100" t="s">
        <v>965</v>
      </c>
      <c r="L17" s="100" t="s">
        <v>965</v>
      </c>
      <c r="M17" s="101" t="str">
        <f>IFERROR(+M15-M16,"N/A")</f>
        <v>N/A</v>
      </c>
    </row>
    <row r="19" spans="2:13" ht="23" x14ac:dyDescent="0.15">
      <c r="B19" s="444" t="s">
        <v>966</v>
      </c>
      <c r="C19" s="445"/>
      <c r="D19" s="445"/>
      <c r="E19" s="445"/>
      <c r="F19" s="445"/>
      <c r="G19" s="445"/>
      <c r="H19" s="445"/>
    </row>
    <row r="20" spans="2:13" ht="49.5" customHeight="1" x14ac:dyDescent="0.15">
      <c r="B20" s="76"/>
      <c r="C20" s="63" t="s">
        <v>1049</v>
      </c>
      <c r="D20" s="63" t="s">
        <v>1050</v>
      </c>
      <c r="E20" s="63" t="s">
        <v>1051</v>
      </c>
      <c r="F20" s="63" t="s">
        <v>970</v>
      </c>
      <c r="G20" s="219" t="s">
        <v>1070</v>
      </c>
      <c r="H20" s="219" t="s">
        <v>1053</v>
      </c>
    </row>
    <row r="21" spans="2:13" x14ac:dyDescent="0.15">
      <c r="B21" s="62" t="str">
        <f>B6</f>
        <v>Boston - N53</v>
      </c>
      <c r="C21" s="75">
        <f>SUMIFS('capacity data'!K:K,'capacity data'!C:C,'team overview'!B6,'capacity data'!E:E,"SPO")</f>
        <v>0</v>
      </c>
      <c r="D21" s="75">
        <f>SUMIFS('capacity data'!K:K,'capacity data'!C:C,'team overview'!B6,'capacity data'!E:E,"DMY")</f>
        <v>0</v>
      </c>
      <c r="E21" s="75">
        <f>SUM(C21:D21)</f>
        <v>0</v>
      </c>
      <c r="F21" s="77">
        <f>SUMIF('capacity data'!C:C,'team overview'!B6,'capacity data'!K:K)</f>
        <v>0</v>
      </c>
      <c r="G21" s="66" t="e">
        <f>E21/F21</f>
        <v>#DIV/0!</v>
      </c>
      <c r="H21" s="78">
        <f>SUMIF('caseload data'!C:C,'team overview'!#REF!,'caseload data'!U:U)</f>
        <v>0</v>
      </c>
    </row>
    <row r="22" spans="2:13" x14ac:dyDescent="0.15">
      <c r="B22" s="79" t="s">
        <v>1054</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1041</v>
      </c>
      <c r="C23" s="100" t="s">
        <v>965</v>
      </c>
      <c r="D23" s="100" t="s">
        <v>965</v>
      </c>
      <c r="E23" s="100" t="s">
        <v>965</v>
      </c>
      <c r="F23" s="104" t="s">
        <v>965</v>
      </c>
      <c r="G23" s="104" t="e">
        <f>+G21-G22</f>
        <v>#DIV/0!</v>
      </c>
      <c r="H23" s="100" t="s">
        <v>965</v>
      </c>
    </row>
    <row r="26" spans="2:13" ht="23" x14ac:dyDescent="0.15">
      <c r="B26" s="444" t="s">
        <v>973</v>
      </c>
      <c r="C26" s="445"/>
      <c r="D26" s="445"/>
      <c r="E26" s="445"/>
      <c r="F26" s="445"/>
      <c r="G26" s="445"/>
      <c r="H26" s="445"/>
      <c r="I26" s="445"/>
      <c r="J26" s="445"/>
      <c r="K26" s="445"/>
    </row>
    <row r="27" spans="2:13" ht="48.75" customHeight="1" x14ac:dyDescent="0.15">
      <c r="B27" s="84"/>
      <c r="C27" s="219" t="s">
        <v>974</v>
      </c>
      <c r="D27" s="219" t="s">
        <v>975</v>
      </c>
      <c r="E27" s="219" t="s">
        <v>976</v>
      </c>
      <c r="F27" s="219" t="s">
        <v>977</v>
      </c>
      <c r="G27" s="219" t="s">
        <v>978</v>
      </c>
      <c r="H27" s="219" t="s">
        <v>979</v>
      </c>
      <c r="I27" s="219" t="s">
        <v>980</v>
      </c>
      <c r="J27" s="219" t="s">
        <v>981</v>
      </c>
      <c r="K27" s="219" t="s">
        <v>982</v>
      </c>
    </row>
    <row r="28" spans="2:13" x14ac:dyDescent="0.15">
      <c r="B28" s="62" t="str">
        <f>B6</f>
        <v>Boston - N53</v>
      </c>
      <c r="C28" s="85">
        <f>SUMIFS('capacity data'!I:I,'capacity data'!C:C,'team overview'!B6,'capacity data'!E:E,"PO")</f>
        <v>0</v>
      </c>
      <c r="D28" s="86">
        <f>SUMIFS('capacity data'!J:J,'capacity data'!C:C,'team overview'!B6,'capacity data'!E:E,"PO")</f>
        <v>0</v>
      </c>
      <c r="E28" s="87" t="e">
        <f>D28/C28</f>
        <v>#DIV/0!</v>
      </c>
      <c r="F28" s="86">
        <f>SUMIFS('capacity data'!I:I,'capacity data'!C:C,'team overview'!B6,'capacity data'!E:E,"PSO")</f>
        <v>0</v>
      </c>
      <c r="G28" s="86">
        <f>SUMIFS('capacity data'!J:J,'capacity data'!C:C,'team overview'!B6,'capacity data'!E:E,"PSO")</f>
        <v>0</v>
      </c>
      <c r="H28" s="87" t="str">
        <f>IFERROR(G28/F28,"N/A")</f>
        <v>N/A</v>
      </c>
      <c r="I28" s="86">
        <f>SUMIFS('capacity data'!I:I,'capacity data'!C:C,'team overview'!B6,'capacity data'!E:E,"TPO")</f>
        <v>0</v>
      </c>
      <c r="J28" s="88">
        <f>SUMIFS('capacity data'!J:J,'capacity data'!C:C,'team overview'!B6,'capacity data'!E:E,"TPO")</f>
        <v>0</v>
      </c>
      <c r="K28" s="87" t="str">
        <f>IFERROR(J28/I28,"N/A")</f>
        <v>N/A</v>
      </c>
    </row>
    <row r="29" spans="2:13" x14ac:dyDescent="0.15">
      <c r="B29" s="106" t="s">
        <v>964</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1041</v>
      </c>
      <c r="C30" s="100" t="s">
        <v>965</v>
      </c>
      <c r="D30" s="100" t="s">
        <v>965</v>
      </c>
      <c r="E30" s="99" t="e">
        <f>+E28-E29</f>
        <v>#DIV/0!</v>
      </c>
      <c r="F30" s="100" t="s">
        <v>965</v>
      </c>
      <c r="G30" s="100" t="s">
        <v>965</v>
      </c>
      <c r="H30" s="99" t="str">
        <f>IFERROR(+H28-H29,"N/A")</f>
        <v>N/A</v>
      </c>
      <c r="I30" s="100" t="s">
        <v>965</v>
      </c>
      <c r="J30" s="100" t="s">
        <v>965</v>
      </c>
      <c r="K30" s="99" t="str">
        <f>IFERROR(+K28-K29,"N/A")</f>
        <v>N/A</v>
      </c>
    </row>
    <row r="32" spans="2:13" ht="37.5" customHeight="1" x14ac:dyDescent="0.15">
      <c r="B32" s="466" t="s">
        <v>1071</v>
      </c>
      <c r="C32" s="467"/>
      <c r="D32" s="467"/>
      <c r="F32" s="468" t="s">
        <v>1072</v>
      </c>
      <c r="G32" s="468"/>
    </row>
    <row r="33" spans="1:7" ht="60.75" customHeight="1" x14ac:dyDescent="0.15">
      <c r="B33" s="76" t="s">
        <v>986</v>
      </c>
      <c r="C33" s="219" t="s">
        <v>1058</v>
      </c>
      <c r="D33" s="219" t="s">
        <v>988</v>
      </c>
      <c r="E33" s="64"/>
      <c r="F33" s="215" t="s">
        <v>1073</v>
      </c>
      <c r="G33" s="214">
        <f>COUNTIFS('reductions data'!C:C,'team overview'!B6,'reductions data'!K:K,"ACTIVE")</f>
        <v>0</v>
      </c>
    </row>
    <row r="34" spans="1:7" x14ac:dyDescent="0.15">
      <c r="B34" s="112" t="s">
        <v>897</v>
      </c>
      <c r="C34" s="89">
        <f>COUNTIFS('reductions data'!C:C,'team overview'!$B$6,'reductions data'!G:G,'team overview'!B34)</f>
        <v>0</v>
      </c>
      <c r="D34" s="90">
        <f>SUMIFS('reductions data'!H:H,'reductions data'!$C:$C,'team overview'!$B$6,'reductions data'!G:G,'team overview'!B34)</f>
        <v>0</v>
      </c>
      <c r="E34" s="64"/>
      <c r="F34" s="455" t="s">
        <v>1074</v>
      </c>
      <c r="G34" s="456">
        <f>SUMIF('reductions data'!C:C,'team overview'!B6,'reductions data'!H:H)</f>
        <v>0</v>
      </c>
    </row>
    <row r="35" spans="1:7" x14ac:dyDescent="0.15">
      <c r="B35" s="113" t="s">
        <v>899</v>
      </c>
      <c r="C35" s="89">
        <f>COUNTIFS('reductions data'!C:C,'team overview'!$B$6,'reductions data'!G:G,'team overview'!B35)</f>
        <v>0</v>
      </c>
      <c r="D35" s="90">
        <f>SUMIFS('reductions data'!H:H,'reductions data'!$C:$C,'team overview'!$B$6,'reductions data'!G:G,'team overview'!B35)</f>
        <v>0</v>
      </c>
      <c r="E35" s="64"/>
      <c r="F35" s="418"/>
      <c r="G35" s="418"/>
    </row>
    <row r="36" spans="1:7" x14ac:dyDescent="0.15">
      <c r="B36" s="113" t="s">
        <v>898</v>
      </c>
      <c r="C36" s="89">
        <f>COUNTIFS('reductions data'!C:C,'team overview'!$B$6,'reductions data'!G:G,'team overview'!B36)</f>
        <v>0</v>
      </c>
      <c r="D36" s="90">
        <f>SUMIFS('reductions data'!H:H,'reductions data'!$C:$C,'team overview'!$B$6,'reductions data'!G:G,'team overview'!B36)</f>
        <v>0</v>
      </c>
      <c r="E36" s="91"/>
      <c r="F36" s="418"/>
      <c r="G36" s="418"/>
    </row>
    <row r="37" spans="1:7" x14ac:dyDescent="0.15">
      <c r="B37" s="113" t="s">
        <v>900</v>
      </c>
      <c r="C37" s="89">
        <f>COUNTIFS('reductions data'!C:C,'team overview'!$B$6,'reductions data'!G:G,'team overview'!B37)</f>
        <v>0</v>
      </c>
      <c r="D37" s="90">
        <f>SUMIFS('reductions data'!H:H,'reductions data'!$C:$C,'team overview'!$B$6,'reductions data'!G:G,'team overview'!B37)</f>
        <v>0</v>
      </c>
      <c r="E37" s="91"/>
      <c r="F37" s="461" t="s">
        <v>1075</v>
      </c>
      <c r="G37" s="456">
        <f>SUMIF('capacity data'!C:C,'team overview'!B6,'capacity data'!I:I)</f>
        <v>0</v>
      </c>
    </row>
    <row r="38" spans="1:7" x14ac:dyDescent="0.15">
      <c r="B38" s="113" t="s">
        <v>901</v>
      </c>
      <c r="C38" s="89">
        <f>COUNTIFS('reductions data'!C:C,'team overview'!$B$6,'reductions data'!G:G,'team overview'!B38)</f>
        <v>0</v>
      </c>
      <c r="D38" s="90">
        <f>SUMIFS('reductions data'!H:H,'reductions data'!$C:$C,'team overview'!$B$6,'reductions data'!G:G,'team overview'!B38)</f>
        <v>0</v>
      </c>
      <c r="E38" s="91"/>
      <c r="F38" s="418"/>
      <c r="G38" s="418"/>
    </row>
    <row r="39" spans="1:7" x14ac:dyDescent="0.15">
      <c r="B39" s="113" t="s">
        <v>902</v>
      </c>
      <c r="C39" s="89">
        <f>COUNTIFS('reductions data'!C:C,'team overview'!$B$6,'reductions data'!G:G,'team overview'!B39)</f>
        <v>0</v>
      </c>
      <c r="D39" s="90">
        <f>SUMIFS('reductions data'!H:H,'reductions data'!$C:$C,'team overview'!$B$6,'reductions data'!G:G,'team overview'!B39)</f>
        <v>0</v>
      </c>
      <c r="E39" s="91"/>
      <c r="F39" s="418"/>
      <c r="G39" s="418"/>
    </row>
    <row r="40" spans="1:7" x14ac:dyDescent="0.15">
      <c r="B40" s="113" t="s">
        <v>903</v>
      </c>
      <c r="C40" s="89">
        <f>COUNTIFS('reductions data'!C:C,'team overview'!$B$6,'reductions data'!G:G,'team overview'!B40)</f>
        <v>0</v>
      </c>
      <c r="D40" s="90">
        <f>SUMIFS('reductions data'!H:H,'reductions data'!$C:$C,'team overview'!$B$6,'reductions data'!G:G,'team overview'!B40)</f>
        <v>0</v>
      </c>
      <c r="E40" s="91"/>
      <c r="F40" s="224"/>
      <c r="G40" s="224"/>
    </row>
    <row r="41" spans="1:7" ht="15.75" customHeight="1" x14ac:dyDescent="0.15">
      <c r="A41" s="91"/>
      <c r="B41" s="113" t="s">
        <v>904</v>
      </c>
      <c r="C41" s="89">
        <f>COUNTIFS('reductions data'!C:C,'team overview'!$B$6,'reductions data'!G:G,'team overview'!B41)</f>
        <v>0</v>
      </c>
      <c r="D41" s="90">
        <f>SUMIFS('reductions data'!H:H,'reductions data'!$C:$C,'team overview'!$B$6,'reductions data'!G:G,'team overview'!B41)</f>
        <v>0</v>
      </c>
      <c r="E41" s="91"/>
      <c r="F41" s="462" t="s">
        <v>1076</v>
      </c>
      <c r="G41" s="464" t="e">
        <f>G34/G37</f>
        <v>#DIV/0!</v>
      </c>
    </row>
    <row r="42" spans="1:7" ht="15.75" customHeight="1" x14ac:dyDescent="0.15">
      <c r="A42" s="91"/>
      <c r="B42" s="113" t="s">
        <v>1262</v>
      </c>
      <c r="C42" s="89">
        <f>COUNTIFS('reductions data'!C:C,'team overview'!$B$6,'reductions data'!G:G,'team overview'!B42)</f>
        <v>0</v>
      </c>
      <c r="D42" s="90">
        <f>SUMIFS('reductions data'!H:H,'reductions data'!$C:$C,'team overview'!$B$6,'reductions data'!G:G,'team overview'!B42)</f>
        <v>0</v>
      </c>
      <c r="E42" s="91"/>
      <c r="F42" s="463"/>
      <c r="G42" s="465"/>
    </row>
    <row r="43" spans="1:7" x14ac:dyDescent="0.15">
      <c r="B43" s="113" t="s">
        <v>905</v>
      </c>
      <c r="C43" s="89">
        <f>COUNTIFS('reductions data'!C:C,'team overview'!$B$6,'reductions data'!G:G,'team overview'!B43)</f>
        <v>0</v>
      </c>
      <c r="D43" s="90">
        <f>SUMIFS('reductions data'!H:H,'reductions data'!$C:$C,'team overview'!$B$6,'reductions data'!G:G,'team overview'!B43)</f>
        <v>0</v>
      </c>
      <c r="E43" s="91"/>
      <c r="F43" s="450"/>
      <c r="G43" s="453"/>
    </row>
    <row r="44" spans="1:7" x14ac:dyDescent="0.15">
      <c r="B44" s="113" t="s">
        <v>906</v>
      </c>
      <c r="C44" s="89">
        <f>COUNTIFS('reductions data'!C:C,'team overview'!$B$6,'reductions data'!G:G,'team overview'!B44)</f>
        <v>0</v>
      </c>
      <c r="D44" s="90">
        <f>SUMIFS('reductions data'!H:H,'reductions data'!$C:$C,'team overview'!$B$6,'reductions data'!G:G,'team overview'!B44)</f>
        <v>0</v>
      </c>
      <c r="E44" s="91"/>
      <c r="F44" s="450"/>
      <c r="G44" s="453"/>
    </row>
    <row r="45" spans="1:7" x14ac:dyDescent="0.15">
      <c r="B45" s="113" t="s">
        <v>907</v>
      </c>
      <c r="C45" s="89">
        <f>COUNTIFS('reductions data'!C:C,'team overview'!$B$6,'reductions data'!G:G,'team overview'!B45)</f>
        <v>0</v>
      </c>
      <c r="D45" s="90">
        <f>SUMIFS('reductions data'!H:H,'reductions data'!$C:$C,'team overview'!$B$6,'reductions data'!G:G,'team overview'!B45)</f>
        <v>0</v>
      </c>
      <c r="E45" s="91"/>
      <c r="F45" s="450"/>
      <c r="G45" s="453"/>
    </row>
    <row r="46" spans="1:7" x14ac:dyDescent="0.15">
      <c r="B46" s="113" t="s">
        <v>908</v>
      </c>
      <c r="C46" s="89">
        <f>COUNTIFS('reductions data'!C:C,'team overview'!$B$6,'reductions data'!G:G,'team overview'!B46)</f>
        <v>0</v>
      </c>
      <c r="D46" s="90">
        <f>SUMIFS('reductions data'!H:H,'reductions data'!$C:$C,'team overview'!$B$6,'reductions data'!G:G,'team overview'!B46)</f>
        <v>0</v>
      </c>
      <c r="E46" s="91"/>
      <c r="F46" s="451"/>
      <c r="G46" s="454"/>
    </row>
    <row r="47" spans="1:7" ht="15.75" customHeight="1" x14ac:dyDescent="0.15">
      <c r="B47" s="113" t="s">
        <v>910</v>
      </c>
      <c r="C47" s="89">
        <f>COUNTIFS('reductions data'!C:C,'team overview'!$B$6,'reductions data'!G:G,'team overview'!B47)</f>
        <v>0</v>
      </c>
      <c r="D47" s="90">
        <f>SUMIFS('reductions data'!H:H,'reductions data'!$C:$C,'team overview'!$B$6,'reductions data'!G:G,'team overview'!B47)</f>
        <v>0</v>
      </c>
      <c r="E47" s="91"/>
      <c r="F47" s="449" t="s">
        <v>1064</v>
      </c>
      <c r="G47" s="452" t="e">
        <f>+G41-'div &amp; regional reduction hours'!N18</f>
        <v>#DIV/0!</v>
      </c>
    </row>
    <row r="48" spans="1:7" x14ac:dyDescent="0.15">
      <c r="B48" s="113" t="s">
        <v>913</v>
      </c>
      <c r="C48" s="89">
        <f>COUNTIFS('reductions data'!C:C,'team overview'!$B$6,'reductions data'!G:G,'team overview'!B48)</f>
        <v>0</v>
      </c>
      <c r="D48" s="90">
        <f>SUMIFS('reductions data'!H:H,'reductions data'!$C:$C,'team overview'!$B$6,'reductions data'!G:G,'team overview'!B48)</f>
        <v>0</v>
      </c>
      <c r="E48" s="91"/>
      <c r="F48" s="450"/>
      <c r="G48" s="453"/>
    </row>
    <row r="49" spans="2:7" x14ac:dyDescent="0.15">
      <c r="B49" s="113" t="s">
        <v>909</v>
      </c>
      <c r="C49" s="89">
        <f>COUNTIFS('reductions data'!C:C,'team overview'!$B$6,'reductions data'!G:G,'team overview'!B49)</f>
        <v>0</v>
      </c>
      <c r="D49" s="90">
        <f>SUMIFS('reductions data'!H:H,'reductions data'!$C:$C,'team overview'!$B$6,'reductions data'!G:G,'team overview'!B49)</f>
        <v>0</v>
      </c>
      <c r="E49" s="91"/>
      <c r="F49" s="450"/>
      <c r="G49" s="453"/>
    </row>
    <row r="50" spans="2:7" x14ac:dyDescent="0.15">
      <c r="B50" s="113" t="s">
        <v>994</v>
      </c>
      <c r="C50" s="89">
        <f>COUNTIFS('reductions data'!C:C,'team overview'!$B$6,'reductions data'!G:G,'team overview'!B50)</f>
        <v>0</v>
      </c>
      <c r="D50" s="90">
        <f>SUMIFS('reductions data'!H:H,'reductions data'!$C:$C,'team overview'!$B$6,'reductions data'!G:G,'team overview'!B50)</f>
        <v>0</v>
      </c>
      <c r="E50" s="91"/>
      <c r="F50" s="450"/>
      <c r="G50" s="453"/>
    </row>
    <row r="51" spans="2:7" x14ac:dyDescent="0.15">
      <c r="B51" s="113" t="s">
        <v>914</v>
      </c>
      <c r="C51" s="89">
        <f>COUNTIFS('reductions data'!C:C,'team overview'!$B$6,'reductions data'!G:G,'team overview'!B51)</f>
        <v>0</v>
      </c>
      <c r="D51" s="90">
        <f>SUMIFS('reductions data'!H:H,'reductions data'!$C:$C,'team overview'!$B$6,'reductions data'!G:G,'team overview'!B51)</f>
        <v>0</v>
      </c>
      <c r="E51" s="91"/>
      <c r="F51" s="451"/>
      <c r="G51" s="454"/>
    </row>
    <row r="52" spans="2:7" x14ac:dyDescent="0.15">
      <c r="B52" s="113" t="s">
        <v>915</v>
      </c>
      <c r="C52" s="89">
        <f>COUNTIFS('reductions data'!C:C,'team overview'!$B$6,'reductions data'!G:G,'team overview'!B52)</f>
        <v>0</v>
      </c>
      <c r="D52" s="90">
        <f>SUMIFS('reductions data'!H:H,'reductions data'!$C:$C,'team overview'!$B$6,'reductions data'!G:G,'team overview'!B52)</f>
        <v>0</v>
      </c>
      <c r="E52" s="91"/>
      <c r="F52" s="91"/>
      <c r="G52" s="64"/>
    </row>
    <row r="53" spans="2:7" x14ac:dyDescent="0.15">
      <c r="B53" s="113" t="s">
        <v>916</v>
      </c>
      <c r="C53" s="89">
        <f>COUNTIFS('reductions data'!C:C,'team overview'!$B$6,'reductions data'!G:G,'team overview'!B53)</f>
        <v>0</v>
      </c>
      <c r="D53" s="90">
        <f>SUMIFS('reductions data'!H:H,'reductions data'!$C:$C,'team overview'!$B$6,'reductions data'!G:G,'team overview'!B53)</f>
        <v>0</v>
      </c>
      <c r="E53" s="91"/>
      <c r="F53" s="91"/>
      <c r="G53" s="64"/>
    </row>
    <row r="54" spans="2:7" x14ac:dyDescent="0.15">
      <c r="B54" s="113" t="s">
        <v>917</v>
      </c>
      <c r="C54" s="89">
        <f>COUNTIFS('reductions data'!C:C,'team overview'!$B$6,'reductions data'!G:G,'team overview'!B54)</f>
        <v>0</v>
      </c>
      <c r="D54" s="90">
        <f>SUMIFS('reductions data'!H:H,'reductions data'!$C:$C,'team overview'!$B$6,'reductions data'!G:G,'team overview'!B54)</f>
        <v>0</v>
      </c>
      <c r="E54" s="91"/>
      <c r="F54" s="91"/>
      <c r="G54" s="64"/>
    </row>
    <row r="55" spans="2:7" x14ac:dyDescent="0.15">
      <c r="B55" s="113" t="s">
        <v>918</v>
      </c>
      <c r="C55" s="89">
        <f>COUNTIFS('reductions data'!C:C,'team overview'!$B$6,'reductions data'!G:G,'team overview'!B55)</f>
        <v>0</v>
      </c>
      <c r="D55" s="90">
        <f>SUMIFS('reductions data'!H:H,'reductions data'!$C:$C,'team overview'!$B$6,'reductions data'!G:G,'team overview'!B55)</f>
        <v>0</v>
      </c>
      <c r="E55" s="91"/>
      <c r="F55" s="91"/>
      <c r="G55" s="64"/>
    </row>
    <row r="56" spans="2:7" x14ac:dyDescent="0.15">
      <c r="B56" s="113" t="s">
        <v>919</v>
      </c>
      <c r="C56" s="89">
        <f>COUNTIFS('reductions data'!C:C,'team overview'!$B$6,'reductions data'!G:G,'team overview'!B56)</f>
        <v>0</v>
      </c>
      <c r="D56" s="90">
        <f>SUMIFS('reductions data'!H:H,'reductions data'!$C:$C,'team overview'!$B$6,'reductions data'!G:G,'team overview'!B56)</f>
        <v>0</v>
      </c>
      <c r="E56" s="91"/>
      <c r="F56" s="91"/>
      <c r="G56" s="64"/>
    </row>
    <row r="57" spans="2:7" x14ac:dyDescent="0.15">
      <c r="B57" s="113" t="s">
        <v>920</v>
      </c>
      <c r="C57" s="89">
        <f>COUNTIFS('reductions data'!C:C,'team overview'!$B$6,'reductions data'!G:G,'team overview'!B57)</f>
        <v>0</v>
      </c>
      <c r="D57" s="90">
        <f>SUMIFS('reductions data'!H:H,'reductions data'!$C:$C,'team overview'!$B$6,'reductions data'!G:G,'team overview'!B57)</f>
        <v>0</v>
      </c>
      <c r="E57" s="91"/>
      <c r="F57" s="91"/>
      <c r="G57" s="64"/>
    </row>
    <row r="58" spans="2:7" x14ac:dyDescent="0.15">
      <c r="B58" s="113" t="s">
        <v>1255</v>
      </c>
      <c r="C58" s="89">
        <f>COUNTIFS('reductions data'!C:C,'team overview'!$B$6,'reductions data'!G:G,'team overview'!B58)</f>
        <v>0</v>
      </c>
      <c r="D58" s="90">
        <f>SUMIFS('reductions data'!H:H,'reductions data'!$C:$C,'team overview'!$B$6,'reductions data'!G:G,'team overview'!B58)</f>
        <v>0</v>
      </c>
      <c r="E58" s="91"/>
      <c r="F58" s="91"/>
      <c r="G58" s="64"/>
    </row>
    <row r="59" spans="2:7" x14ac:dyDescent="0.15">
      <c r="B59" s="113" t="s">
        <v>1256</v>
      </c>
      <c r="C59" s="89">
        <f>COUNTIFS('reductions data'!C:C,'team overview'!$B$6,'reductions data'!G:G,'team overview'!B59)</f>
        <v>0</v>
      </c>
      <c r="D59" s="90">
        <f>SUMIFS('reductions data'!H:H,'reductions data'!$C:$C,'team overview'!$B$6,'reductions data'!G:G,'team overview'!B59)</f>
        <v>0</v>
      </c>
      <c r="E59" s="91"/>
      <c r="F59" s="91"/>
      <c r="G59" s="64"/>
    </row>
    <row r="60" spans="2:7" x14ac:dyDescent="0.15">
      <c r="B60" s="322" t="s">
        <v>1253</v>
      </c>
      <c r="C60" s="89">
        <f>COUNTIFS('reductions data'!C:C,'team overview'!$B$6,'reductions data'!G:G,'team overview'!B60)</f>
        <v>0</v>
      </c>
      <c r="D60" s="90">
        <f>SUMIFS('reductions data'!H:H,'reductions data'!$C:$C,'team overview'!$B$6,'reductions data'!G:G,'team overview'!B60)</f>
        <v>0</v>
      </c>
      <c r="E60" s="91"/>
      <c r="F60" s="91"/>
      <c r="G60" s="64"/>
    </row>
    <row r="61" spans="2:7" x14ac:dyDescent="0.15">
      <c r="B61" s="322" t="s">
        <v>1254</v>
      </c>
      <c r="C61" s="89">
        <f>COUNTIFS('reductions data'!C:C,'team overview'!$B$6,'reductions data'!G:G,'team overview'!B61)</f>
        <v>0</v>
      </c>
      <c r="D61" s="90">
        <f>SUMIFS('reductions data'!H:H,'reductions data'!$C:$C,'team overview'!$B$6,'reductions data'!G:G,'team overview'!B61)</f>
        <v>0</v>
      </c>
      <c r="E61" s="91"/>
      <c r="F61" s="91"/>
      <c r="G61" s="64"/>
    </row>
    <row r="62" spans="2:7" x14ac:dyDescent="0.15">
      <c r="B62" s="322" t="s">
        <v>1263</v>
      </c>
      <c r="C62" s="89">
        <f>COUNTIFS('reductions data'!C:C,'team overview'!$B$6,'reductions data'!G:G,'team overview'!B62)</f>
        <v>0</v>
      </c>
      <c r="D62" s="90">
        <f>SUMIFS('reductions data'!H:H,'reductions data'!$C:$C,'team overview'!$B$6,'reductions data'!G:G,'team overview'!B62)</f>
        <v>0</v>
      </c>
      <c r="E62" s="91"/>
      <c r="F62" s="91"/>
      <c r="G62" s="64"/>
    </row>
    <row r="63" spans="2:7" x14ac:dyDescent="0.15">
      <c r="B63" s="112" t="s">
        <v>1257</v>
      </c>
      <c r="C63" s="89">
        <f>COUNTIFS('reductions data'!C:C,'team overview'!$B$6,'reductions data'!G:G,'team overview'!B63)</f>
        <v>0</v>
      </c>
      <c r="D63" s="90">
        <f>SUMIFS('reductions data'!H:H,'reductions data'!$C:$C,'team overview'!$B$6,'reductions data'!G:G,'team overview'!B63)</f>
        <v>0</v>
      </c>
      <c r="E63" s="91"/>
      <c r="F63" s="91"/>
      <c r="G63" s="64"/>
    </row>
    <row r="64" spans="2:7" x14ac:dyDescent="0.15">
      <c r="B64" s="113" t="s">
        <v>1258</v>
      </c>
      <c r="C64" s="89">
        <f>COUNTIFS('reductions data'!C:C,'team overview'!$B$6,'reductions data'!G:G,'team overview'!B64)</f>
        <v>0</v>
      </c>
      <c r="D64" s="90">
        <f>SUMIFS('reductions data'!H:H,'reductions data'!$C:$C,'team overview'!$B$6,'reductions data'!G:G,'team overview'!B64)</f>
        <v>0</v>
      </c>
      <c r="E64" s="91"/>
      <c r="F64" s="91"/>
      <c r="G64" s="64"/>
    </row>
    <row r="65" spans="2:19" x14ac:dyDescent="0.15">
      <c r="B65" s="113" t="s">
        <v>922</v>
      </c>
      <c r="C65" s="89">
        <f>COUNTIFS('reductions data'!C:C,'team overview'!$B$6,'reductions data'!G:G,'team overview'!B65)</f>
        <v>0</v>
      </c>
      <c r="D65" s="90">
        <f>SUMIFS('reductions data'!H:H,'reductions data'!$C:$C,'team overview'!$B$6,'reductions data'!G:G,'team overview'!B65)</f>
        <v>0</v>
      </c>
      <c r="E65" s="91"/>
      <c r="F65" s="91"/>
      <c r="G65" s="64"/>
    </row>
    <row r="66" spans="2:19" x14ac:dyDescent="0.15">
      <c r="B66" s="113" t="s">
        <v>923</v>
      </c>
      <c r="C66" s="89">
        <f>COUNTIFS('reductions data'!C:C,'team overview'!$B$6,'reductions data'!G:G,'team overview'!B66)</f>
        <v>0</v>
      </c>
      <c r="D66" s="90">
        <f>SUMIFS('reductions data'!H:H,'reductions data'!$C:$C,'team overview'!$B$6,'reductions data'!G:G,'team overview'!B66)</f>
        <v>0</v>
      </c>
      <c r="E66" s="91"/>
      <c r="F66" s="91"/>
      <c r="G66" s="64"/>
    </row>
    <row r="67" spans="2:19" x14ac:dyDescent="0.15">
      <c r="B67" s="113" t="s">
        <v>924</v>
      </c>
      <c r="C67" s="89">
        <f>COUNTIFS('reductions data'!C:C,'team overview'!$B$6,'reductions data'!G:G,'team overview'!B67)</f>
        <v>0</v>
      </c>
      <c r="D67" s="90">
        <f>SUMIFS('reductions data'!H:H,'reductions data'!$C:$C,'team overview'!$B$6,'reductions data'!G:G,'team overview'!B67)</f>
        <v>0</v>
      </c>
      <c r="E67" s="91"/>
      <c r="F67" s="91"/>
      <c r="G67" s="64"/>
    </row>
    <row r="68" spans="2:19" x14ac:dyDescent="0.15">
      <c r="B68" s="113" t="s">
        <v>925</v>
      </c>
      <c r="C68" s="89">
        <f>COUNTIFS('reductions data'!C:C,'team overview'!$B$6,'reductions data'!G:G,'team overview'!B68)</f>
        <v>0</v>
      </c>
      <c r="D68" s="90">
        <f>SUMIFS('reductions data'!H:H,'reductions data'!$C:$C,'team overview'!$B$6,'reductions data'!G:G,'team overview'!B68)</f>
        <v>0</v>
      </c>
      <c r="E68" s="91"/>
      <c r="F68" s="91"/>
      <c r="G68" s="64"/>
    </row>
    <row r="69" spans="2:19" x14ac:dyDescent="0.15">
      <c r="B69" s="113" t="s">
        <v>926</v>
      </c>
      <c r="C69" s="89">
        <f>COUNTIFS('reductions data'!C:C,'team overview'!$B$6,'reductions data'!G:G,'team overview'!B69)</f>
        <v>0</v>
      </c>
      <c r="D69" s="90">
        <f>SUMIFS('reductions data'!H:H,'reductions data'!$C:$C,'team overview'!$B$6,'reductions data'!G:G,'team overview'!B69)</f>
        <v>0</v>
      </c>
      <c r="E69" s="91"/>
      <c r="F69" s="91"/>
      <c r="G69" s="64"/>
    </row>
    <row r="70" spans="2:19" x14ac:dyDescent="0.15">
      <c r="B70" s="113" t="s">
        <v>927</v>
      </c>
      <c r="C70" s="89">
        <f>COUNTIFS('reductions data'!C:C,'team overview'!$B$6,'reductions data'!G:G,'team overview'!B70)</f>
        <v>0</v>
      </c>
      <c r="D70" s="90">
        <f>SUMIFS('reductions data'!H:H,'reductions data'!$C:$C,'team overview'!$B$6,'reductions data'!G:G,'team overview'!B70)</f>
        <v>0</v>
      </c>
      <c r="E70" s="91"/>
      <c r="F70" s="91"/>
      <c r="G70" s="64"/>
    </row>
    <row r="71" spans="2:19" x14ac:dyDescent="0.15">
      <c r="B71" s="113" t="s">
        <v>921</v>
      </c>
      <c r="C71" s="89">
        <f>COUNTIFS('reductions data'!C:C,'team overview'!$B$6,'reductions data'!G:G,'team overview'!B71)</f>
        <v>0</v>
      </c>
      <c r="D71" s="90">
        <f>SUMIFS('reductions data'!H:H,'reductions data'!$C:$C,'team overview'!$B$6,'reductions data'!G:G,'team overview'!B71)</f>
        <v>0</v>
      </c>
      <c r="E71" s="91"/>
      <c r="F71" s="91"/>
      <c r="G71" s="64"/>
    </row>
    <row r="72" spans="2:19" x14ac:dyDescent="0.15">
      <c r="B72" s="113" t="s">
        <v>928</v>
      </c>
      <c r="C72" s="89">
        <f>COUNTIFS('reductions data'!C:C,'team overview'!$B$6,'reductions data'!G:G,'team overview'!B72)</f>
        <v>0</v>
      </c>
      <c r="D72" s="90">
        <f>SUMIFS('reductions data'!H:H,'reductions data'!$C:$C,'team overview'!$B$6,'reductions data'!G:G,'team overview'!B72)</f>
        <v>0</v>
      </c>
      <c r="E72" s="91"/>
      <c r="F72" s="91"/>
      <c r="G72" s="64"/>
    </row>
    <row r="73" spans="2:19" x14ac:dyDescent="0.15">
      <c r="B73" s="322" t="s">
        <v>1259</v>
      </c>
      <c r="C73" s="327">
        <f>COUNTIFS('reductions data'!C:C,'team overview'!$B$6,'reductions data'!G:G,'team overview'!B73)</f>
        <v>0</v>
      </c>
      <c r="D73" s="90">
        <f>SUMIFS('reductions data'!H:H,'reductions data'!$C:$C,'team overview'!$B$6,'reductions data'!G:G,'team overview'!B73)</f>
        <v>0</v>
      </c>
      <c r="E73" s="91"/>
      <c r="F73" s="91"/>
      <c r="G73" s="64"/>
    </row>
    <row r="74" spans="2:19" x14ac:dyDescent="0.15">
      <c r="B74" s="322" t="s">
        <v>1260</v>
      </c>
      <c r="C74" s="327">
        <f>COUNTIFS('reductions data'!C:C,'team overview'!$B$6,'reductions data'!G:G,'team overview'!B74)</f>
        <v>0</v>
      </c>
      <c r="D74" s="90">
        <f>SUMIFS('reductions data'!H:H,'reductions data'!$C:$C,'team overview'!$B$6,'reductions data'!G:G,'team overview'!B74)</f>
        <v>0</v>
      </c>
      <c r="E74" s="91"/>
      <c r="F74" s="91"/>
      <c r="G74" s="64"/>
    </row>
    <row r="75" spans="2:19" x14ac:dyDescent="0.15">
      <c r="B75" s="322" t="s">
        <v>1264</v>
      </c>
      <c r="C75" s="327">
        <f>COUNTIFS('reductions data'!C:C,'team overview'!$B$6,'reductions data'!G:G,'team overview'!B75)</f>
        <v>0</v>
      </c>
      <c r="D75" s="90">
        <f>SUMIFS('reductions data'!H:H,'reductions data'!$C:$C,'team overview'!$B$6,'reductions data'!G:G,'team overview'!B75)</f>
        <v>0</v>
      </c>
      <c r="E75" s="91"/>
      <c r="F75" s="91"/>
      <c r="G75" s="64"/>
    </row>
    <row r="76" spans="2:19" x14ac:dyDescent="0.15">
      <c r="B76" s="112" t="s">
        <v>929</v>
      </c>
      <c r="C76" s="89">
        <f>COUNTIFS('reductions data'!C:C,'team overview'!$B$6,'reductions data'!G:G,'team overview'!B76)</f>
        <v>0</v>
      </c>
      <c r="D76" s="90">
        <f>SUMIFS('reductions data'!H:H,'reductions data'!$C:$C,'team overview'!$B$6,'reductions data'!G:G,'team overview'!B76)</f>
        <v>0</v>
      </c>
      <c r="E76" s="91"/>
      <c r="F76" s="91"/>
      <c r="G76" s="64"/>
    </row>
    <row r="77" spans="2:19" x14ac:dyDescent="0.15">
      <c r="B77" s="113" t="s">
        <v>930</v>
      </c>
      <c r="C77" s="89">
        <f>COUNTIFS('reductions data'!C:C,'team overview'!$B$6,'reductions data'!G:G,'team overview'!B77)</f>
        <v>0</v>
      </c>
      <c r="D77" s="90">
        <f>SUMIFS('reductions data'!H:H,'reductions data'!$C:$C,'team overview'!$B$6,'reductions data'!G:G,'team overview'!B77)</f>
        <v>0</v>
      </c>
      <c r="E77" s="91"/>
      <c r="F77" s="91"/>
      <c r="G77" s="64"/>
    </row>
    <row r="78" spans="2:19" x14ac:dyDescent="0.15">
      <c r="B78" s="113" t="s">
        <v>931</v>
      </c>
      <c r="C78" s="89">
        <f>COUNTIFS('reductions data'!C:C,'team overview'!$B$6,'reductions data'!G:G,'team overview'!B78)</f>
        <v>0</v>
      </c>
      <c r="D78" s="90">
        <f>SUMIFS('reductions data'!H:H,'reductions data'!$C:$C,'team overview'!$B$6,'reductions data'!G:G,'team overview'!B78)</f>
        <v>0</v>
      </c>
      <c r="E78" s="91"/>
      <c r="F78" s="91"/>
      <c r="G78" s="64"/>
      <c r="S78" s="41"/>
    </row>
    <row r="79" spans="2:19" x14ac:dyDescent="0.15">
      <c r="B79" s="113" t="s">
        <v>932</v>
      </c>
      <c r="C79" s="89">
        <f>COUNTIFS('reductions data'!C:C,'team overview'!$B$6,'reductions data'!G:G,'team overview'!B79)</f>
        <v>0</v>
      </c>
      <c r="D79" s="90">
        <f>SUMIFS('reductions data'!H:H,'reductions data'!$C:$C,'team overview'!$B$6,'reductions data'!G:G,'team overview'!B79)</f>
        <v>0</v>
      </c>
      <c r="E79" s="91"/>
      <c r="F79" s="91"/>
      <c r="G79" s="64"/>
    </row>
    <row r="80" spans="2:19" ht="16" x14ac:dyDescent="0.2">
      <c r="B80" s="113" t="s">
        <v>933</v>
      </c>
      <c r="C80" s="89">
        <f>COUNTIFS('reductions data'!C:C,'team overview'!$B$6,'reductions data'!G:G,'team overview'!B80)</f>
        <v>0</v>
      </c>
      <c r="D80" s="90">
        <f>SUMIFS('reductions data'!H:H,'reductions data'!$C:$C,'team overview'!$B$6,'reductions data'!G:G,'team overview'!B80)</f>
        <v>0</v>
      </c>
      <c r="E80" s="1"/>
      <c r="F80" s="1"/>
    </row>
    <row r="81" spans="2:4" x14ac:dyDescent="0.15">
      <c r="B81" s="113" t="s">
        <v>934</v>
      </c>
      <c r="C81" s="89">
        <f>COUNTIFS('reductions data'!C:C,'team overview'!$B$6,'reductions data'!G:G,'team overview'!B81)</f>
        <v>0</v>
      </c>
      <c r="D81" s="90">
        <f>SUMIFS('reductions data'!H:H,'reductions data'!$C:$C,'team overview'!$B$6,'reductions data'!G:G,'team overview'!B81)</f>
        <v>0</v>
      </c>
    </row>
    <row r="82" spans="2:4" x14ac:dyDescent="0.15">
      <c r="B82" s="113" t="s">
        <v>935</v>
      </c>
      <c r="C82" s="89">
        <f>COUNTIFS('reductions data'!C:C,'team overview'!$B$6,'reductions data'!G:G,'team overview'!B82)</f>
        <v>0</v>
      </c>
      <c r="D82" s="90">
        <f>SUMIFS('reductions data'!H:H,'reductions data'!$C:$C,'team overview'!$B$6,'reductions data'!G:G,'team overview'!B82)</f>
        <v>0</v>
      </c>
    </row>
  </sheetData>
  <sortState xmlns:xlrd2="http://schemas.microsoft.com/office/spreadsheetml/2017/richdata2" ref="B34:D79">
    <sortCondition ref="B34:B79"/>
  </sortState>
  <mergeCells count="16">
    <mergeCell ref="B32:D32"/>
    <mergeCell ref="F32:G32"/>
    <mergeCell ref="B8:F8"/>
    <mergeCell ref="A1:M1"/>
    <mergeCell ref="N1:S1"/>
    <mergeCell ref="A2:M2"/>
    <mergeCell ref="B26:K26"/>
    <mergeCell ref="B19:H19"/>
    <mergeCell ref="F47:F51"/>
    <mergeCell ref="G47:G51"/>
    <mergeCell ref="F34:F36"/>
    <mergeCell ref="G34:G36"/>
    <mergeCell ref="F37:F39"/>
    <mergeCell ref="G37:G39"/>
    <mergeCell ref="F41:F46"/>
    <mergeCell ref="G41:G46"/>
  </mergeCells>
  <conditionalFormatting sqref="C11:E11 C10:F10">
    <cfRule type="cellIs" dxfId="5902" priority="3" operator="lessThan">
      <formula>0.9</formula>
    </cfRule>
    <cfRule type="cellIs" dxfId="5901" priority="4" operator="greaterThanOrEqual">
      <formula>1.1</formula>
    </cfRule>
  </conditionalFormatting>
  <conditionalFormatting sqref="F11">
    <cfRule type="cellIs" dxfId="5900" priority="1" operator="lessThan">
      <formula>0.9</formula>
    </cfRule>
    <cfRule type="cellIs" dxfId="5899"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9.9978637043366805E-2"/>
  </sheetPr>
  <dimension ref="A1:AO212"/>
  <sheetViews>
    <sheetView showGridLines="0" zoomScale="80" zoomScaleNormal="80" workbookViewId="0">
      <selection activeCell="AA57" sqref="AA57"/>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480" t="s">
        <v>1077</v>
      </c>
      <c r="B1" s="481"/>
      <c r="C1" s="481"/>
      <c r="D1" s="481"/>
      <c r="E1" s="481"/>
      <c r="F1" s="481"/>
      <c r="G1" s="481"/>
      <c r="H1" s="481"/>
      <c r="I1" s="481"/>
      <c r="J1" s="481"/>
      <c r="K1" s="481"/>
      <c r="L1" s="481"/>
      <c r="M1" s="481"/>
      <c r="N1" s="469"/>
      <c r="O1" s="469"/>
      <c r="P1" s="469"/>
      <c r="Q1" s="469"/>
      <c r="R1" s="469"/>
      <c r="S1" s="469"/>
      <c r="T1" s="469"/>
      <c r="U1" s="469"/>
      <c r="V1" s="469"/>
      <c r="W1" s="469"/>
      <c r="X1" s="469"/>
      <c r="Y1" s="469"/>
      <c r="Z1" s="469"/>
      <c r="AA1" s="469"/>
      <c r="AB1" s="469"/>
      <c r="AC1" s="469"/>
      <c r="AD1" s="469"/>
      <c r="AE1" s="469"/>
      <c r="AF1" s="469"/>
      <c r="AG1" s="469"/>
      <c r="AH1" s="469"/>
      <c r="AI1" s="469"/>
      <c r="AJ1" s="469"/>
      <c r="AK1" s="469"/>
      <c r="AL1" s="469"/>
      <c r="AM1" s="469"/>
      <c r="AN1" s="255"/>
    </row>
    <row r="2" spans="1:41" ht="51" customHeight="1" x14ac:dyDescent="0.15">
      <c r="A2" s="485"/>
      <c r="B2" s="485"/>
      <c r="C2" s="485"/>
      <c r="D2" s="485"/>
      <c r="E2" s="485"/>
      <c r="F2" s="485"/>
      <c r="G2" s="485"/>
      <c r="H2" s="485"/>
      <c r="I2" s="485"/>
      <c r="J2" s="485"/>
      <c r="K2" s="485"/>
      <c r="L2" s="485"/>
      <c r="M2" s="485"/>
      <c r="N2" s="485"/>
      <c r="O2" s="485"/>
      <c r="P2" s="485"/>
      <c r="Q2" s="485"/>
      <c r="R2" s="485"/>
      <c r="S2" s="485"/>
      <c r="T2" s="485"/>
      <c r="U2" s="485"/>
      <c r="V2" s="485"/>
      <c r="W2" s="485"/>
      <c r="X2" s="485"/>
      <c r="Y2" s="485"/>
      <c r="Z2" s="485"/>
      <c r="AA2" s="485"/>
      <c r="AB2" s="485"/>
      <c r="AC2" s="485"/>
      <c r="AD2" s="485"/>
      <c r="AE2" s="485"/>
      <c r="AF2" s="485"/>
      <c r="AG2" s="485"/>
      <c r="AH2" s="485"/>
      <c r="AI2" s="485"/>
      <c r="AJ2" s="485"/>
      <c r="AK2" s="485"/>
      <c r="AL2" s="485"/>
      <c r="AM2" s="485"/>
      <c r="AN2" s="485"/>
    </row>
    <row r="4" spans="1:41" ht="15" thickBot="1" x14ac:dyDescent="0.2"/>
    <row r="5" spans="1:41" ht="27.75" customHeight="1" thickBot="1" x14ac:dyDescent="0.25">
      <c r="B5" s="1"/>
      <c r="C5" s="2"/>
      <c r="D5" s="482" t="s">
        <v>1078</v>
      </c>
      <c r="E5" s="483"/>
      <c r="F5" s="483"/>
      <c r="G5" s="483"/>
      <c r="H5" s="483"/>
      <c r="I5" s="483"/>
      <c r="J5" s="483"/>
      <c r="K5" s="483"/>
      <c r="L5" s="483"/>
      <c r="M5" s="483"/>
      <c r="N5" s="483"/>
      <c r="O5" s="483"/>
      <c r="P5" s="483"/>
      <c r="Q5" s="483"/>
      <c r="R5" s="483"/>
      <c r="S5" s="483"/>
      <c r="T5" s="484"/>
      <c r="W5" s="1"/>
      <c r="X5" s="2"/>
      <c r="Y5" s="486" t="s">
        <v>1079</v>
      </c>
      <c r="Z5" s="487"/>
      <c r="AA5" s="487"/>
      <c r="AB5" s="487"/>
      <c r="AC5" s="487"/>
      <c r="AD5" s="487"/>
      <c r="AE5" s="487"/>
      <c r="AF5" s="487"/>
      <c r="AG5" s="487"/>
      <c r="AH5" s="487"/>
      <c r="AI5" s="487"/>
      <c r="AJ5" s="487"/>
      <c r="AK5" s="487"/>
      <c r="AL5" s="487"/>
      <c r="AM5" s="487"/>
      <c r="AN5" s="487"/>
    </row>
    <row r="6" spans="1:41" x14ac:dyDescent="0.15">
      <c r="B6" s="371" t="s">
        <v>843</v>
      </c>
      <c r="C6" s="125" t="s">
        <v>1080</v>
      </c>
      <c r="D6" s="38" t="s">
        <v>869</v>
      </c>
      <c r="E6" s="38" t="s">
        <v>870</v>
      </c>
      <c r="F6" s="38" t="s">
        <v>871</v>
      </c>
      <c r="G6" s="38" t="s">
        <v>872</v>
      </c>
      <c r="H6" s="38" t="s">
        <v>873</v>
      </c>
      <c r="I6" s="38" t="s">
        <v>874</v>
      </c>
      <c r="J6" s="38" t="s">
        <v>875</v>
      </c>
      <c r="K6" s="38" t="s">
        <v>876</v>
      </c>
      <c r="L6" s="38" t="s">
        <v>877</v>
      </c>
      <c r="M6" s="38" t="s">
        <v>878</v>
      </c>
      <c r="N6" s="38" t="s">
        <v>879</v>
      </c>
      <c r="O6" s="38" t="s">
        <v>880</v>
      </c>
      <c r="P6" s="38" t="s">
        <v>881</v>
      </c>
      <c r="Q6" s="38" t="s">
        <v>882</v>
      </c>
      <c r="R6" s="38" t="s">
        <v>883</v>
      </c>
      <c r="S6" s="38" t="s">
        <v>884</v>
      </c>
      <c r="T6" s="125" t="s">
        <v>886</v>
      </c>
      <c r="U6" s="64"/>
      <c r="V6" s="64"/>
      <c r="W6" s="124" t="s">
        <v>843</v>
      </c>
      <c r="X6" s="126" t="s">
        <v>1080</v>
      </c>
      <c r="Y6" s="38" t="s">
        <v>869</v>
      </c>
      <c r="Z6" s="38" t="s">
        <v>870</v>
      </c>
      <c r="AA6" s="38" t="s">
        <v>871</v>
      </c>
      <c r="AB6" s="38" t="s">
        <v>872</v>
      </c>
      <c r="AC6" s="38" t="s">
        <v>873</v>
      </c>
      <c r="AD6" s="38" t="s">
        <v>874</v>
      </c>
      <c r="AE6" s="38" t="s">
        <v>875</v>
      </c>
      <c r="AF6" s="38" t="s">
        <v>876</v>
      </c>
      <c r="AG6" s="38" t="s">
        <v>877</v>
      </c>
      <c r="AH6" s="38" t="s">
        <v>878</v>
      </c>
      <c r="AI6" s="38" t="s">
        <v>879</v>
      </c>
      <c r="AJ6" s="38" t="s">
        <v>880</v>
      </c>
      <c r="AK6" s="38" t="s">
        <v>881</v>
      </c>
      <c r="AL6" s="38" t="s">
        <v>882</v>
      </c>
      <c r="AM6" s="38" t="s">
        <v>883</v>
      </c>
      <c r="AN6" s="38" t="s">
        <v>884</v>
      </c>
      <c r="AO6" s="38" t="s">
        <v>999</v>
      </c>
    </row>
    <row r="7" spans="1:41" x14ac:dyDescent="0.15">
      <c r="B7" s="488" t="s">
        <v>17</v>
      </c>
      <c r="C7" s="128" t="s">
        <v>1002</v>
      </c>
      <c r="D7" s="370">
        <f>SUMIFS('caseload data'!E:E,'caseload data'!$D:$D,"PO",'caseload data'!$A:$A,EMR)</f>
        <v>0</v>
      </c>
      <c r="E7" s="94">
        <f>SUMIFS('caseload data'!F:F,'caseload data'!$D:$D,"PO",'caseload data'!$A:$A,EMR)</f>
        <v>0</v>
      </c>
      <c r="F7" s="94">
        <f>SUMIFS('caseload data'!G:G,'caseload data'!$D:$D,"PO",'caseload data'!$A:$A,EMR)</f>
        <v>0</v>
      </c>
      <c r="G7" s="94">
        <f>SUMIFS('caseload data'!H:H,'caseload data'!$D:$D,"PO",'caseload data'!$A:$A,EMR)</f>
        <v>0</v>
      </c>
      <c r="H7" s="94">
        <f>SUMIFS('caseload data'!I:I,'caseload data'!$D:$D,"PO",'caseload data'!$A:$A,EMR)</f>
        <v>0</v>
      </c>
      <c r="I7" s="94">
        <f>SUMIFS('caseload data'!J:J,'caseload data'!$D:$D,"PO",'caseload data'!$A:$A,EMR)</f>
        <v>0</v>
      </c>
      <c r="J7" s="94">
        <f>SUMIFS('caseload data'!K:K,'caseload data'!$D:$D,"PO",'caseload data'!$A:$A,EMR)</f>
        <v>0</v>
      </c>
      <c r="K7" s="94">
        <f>SUMIFS('caseload data'!L:L,'caseload data'!$D:$D,"PO",'caseload data'!$A:$A,EMR)</f>
        <v>0</v>
      </c>
      <c r="L7" s="94">
        <f>SUMIFS('caseload data'!M:M,'caseload data'!$D:$D,"PO",'caseload data'!$A:$A,EMR)</f>
        <v>0</v>
      </c>
      <c r="M7" s="94">
        <f>SUMIFS('caseload data'!N:N,'caseload data'!$D:$D,"PO",'caseload data'!$A:$A,EMR)</f>
        <v>0</v>
      </c>
      <c r="N7" s="94">
        <f>SUMIFS('caseload data'!O:O,'caseload data'!$D:$D,"PO",'caseload data'!$A:$A,EMR)</f>
        <v>0</v>
      </c>
      <c r="O7" s="94">
        <f>SUMIFS('caseload data'!P:P,'caseload data'!$D:$D,"PO",'caseload data'!$A:$A,EMR)</f>
        <v>0</v>
      </c>
      <c r="P7" s="94">
        <f>SUMIFS('caseload data'!Q:Q,'caseload data'!$D:$D,"PO",'caseload data'!$A:$A,EMR)</f>
        <v>0</v>
      </c>
      <c r="Q7" s="94">
        <f>SUMIFS('caseload data'!R:R,'caseload data'!$D:$D,"PO",'caseload data'!$A:$A,EMR)</f>
        <v>0</v>
      </c>
      <c r="R7" s="94">
        <f>SUMIFS('caseload data'!S:S,'caseload data'!$D:$D,"PO",'caseload data'!$A:$A,EMR)</f>
        <v>0</v>
      </c>
      <c r="S7" s="94">
        <f>SUMIFS('caseload data'!T:T,'caseload data'!$D:$D,"PO",'caseload data'!$A:$A,EMR)</f>
        <v>0</v>
      </c>
      <c r="T7" s="94">
        <f>SUMIFS('caseload data'!V:V,'caseload data'!$D:$D,"PO",'caseload data'!$A:$A,'national caseload'!B7:B9)</f>
        <v>0</v>
      </c>
      <c r="U7" s="64"/>
      <c r="V7" s="64"/>
      <c r="W7" s="477" t="s">
        <v>17</v>
      </c>
      <c r="X7" s="128" t="s">
        <v>1002</v>
      </c>
      <c r="Y7" s="167" t="e">
        <f>SUM(D7)/SUM(D$7:D$11)</f>
        <v>#DIV/0!</v>
      </c>
      <c r="Z7" s="167" t="e">
        <f>SUM(E7)/SUM(E$7:E$11)</f>
        <v>#DIV/0!</v>
      </c>
      <c r="AA7" s="167" t="e">
        <f>SUM(F7)/SUM(F$7:F$11)</f>
        <v>#DIV/0!</v>
      </c>
      <c r="AB7" s="167" t="e">
        <f t="shared" ref="AB7:AO11" si="0">SUM(G7)/SUM(G$7:G$11)</f>
        <v>#DIV/0!</v>
      </c>
      <c r="AC7" s="167" t="e">
        <f t="shared" si="0"/>
        <v>#DIV/0!</v>
      </c>
      <c r="AD7" s="167" t="e">
        <f t="shared" si="0"/>
        <v>#DIV/0!</v>
      </c>
      <c r="AE7" s="167" t="e">
        <f t="shared" si="0"/>
        <v>#DIV/0!</v>
      </c>
      <c r="AF7" s="167" t="e">
        <f t="shared" si="0"/>
        <v>#DIV/0!</v>
      </c>
      <c r="AG7" s="167" t="e">
        <f t="shared" si="0"/>
        <v>#DIV/0!</v>
      </c>
      <c r="AH7" s="167" t="e">
        <f t="shared" si="0"/>
        <v>#DIV/0!</v>
      </c>
      <c r="AI7" s="167" t="e">
        <f t="shared" si="0"/>
        <v>#DIV/0!</v>
      </c>
      <c r="AJ7" s="167" t="e">
        <f t="shared" si="0"/>
        <v>#DIV/0!</v>
      </c>
      <c r="AK7" s="167" t="e">
        <f t="shared" si="0"/>
        <v>#DIV/0!</v>
      </c>
      <c r="AL7" s="167" t="e">
        <f t="shared" si="0"/>
        <v>#DIV/0!</v>
      </c>
      <c r="AM7" s="167" t="e">
        <f t="shared" si="0"/>
        <v>#DIV/0!</v>
      </c>
      <c r="AN7" s="167" t="e">
        <f t="shared" si="0"/>
        <v>#DIV/0!</v>
      </c>
      <c r="AO7" s="167" t="e">
        <f t="shared" si="0"/>
        <v>#DIV/0!</v>
      </c>
    </row>
    <row r="8" spans="1:41" x14ac:dyDescent="0.15">
      <c r="B8" s="489"/>
      <c r="C8" s="129" t="s">
        <v>1007</v>
      </c>
      <c r="D8" s="370">
        <f>SUMIFS('caseload data'!E:E,'caseload data'!$D:$D,"PSO",'caseload data'!$A:$A,"East Midlands Region")</f>
        <v>0</v>
      </c>
      <c r="E8" s="94">
        <f>SUMIFS('caseload data'!F:F,'caseload data'!$D:$D,"PSO",'caseload data'!$A:$A,"East Midlands Region")</f>
        <v>0</v>
      </c>
      <c r="F8" s="94">
        <f>SUMIFS('caseload data'!G:G,'caseload data'!$D:$D,"PSO",'caseload data'!$A:$A,"East Midlands Region")</f>
        <v>0</v>
      </c>
      <c r="G8" s="94">
        <f>SUMIFS('caseload data'!H:H,'caseload data'!$D:$D,"PSO",'caseload data'!$A:$A,"East Midlands Region")</f>
        <v>0</v>
      </c>
      <c r="H8" s="94">
        <f>SUMIFS('caseload data'!I:I,'caseload data'!$D:$D,"PSO",'caseload data'!$A:$A,"East Midlands Region")</f>
        <v>0</v>
      </c>
      <c r="I8" s="94">
        <f>SUMIFS('caseload data'!J:J,'caseload data'!$D:$D,"PSO",'caseload data'!$A:$A,"East Midlands Region")</f>
        <v>0</v>
      </c>
      <c r="J8" s="94">
        <f>SUMIFS('caseload data'!K:K,'caseload data'!$D:$D,"PSO",'caseload data'!$A:$A,"East Midlands Region")</f>
        <v>0</v>
      </c>
      <c r="K8" s="94">
        <f>SUMIFS('caseload data'!L:L,'caseload data'!$D:$D,"PSO",'caseload data'!$A:$A,"East Midlands Region")</f>
        <v>0</v>
      </c>
      <c r="L8" s="94">
        <f>SUMIFS('caseload data'!M:M,'caseload data'!$D:$D,"PSO",'caseload data'!$A:$A,"East Midlands Region")</f>
        <v>0</v>
      </c>
      <c r="M8" s="94">
        <f>SUMIFS('caseload data'!N:N,'caseload data'!$D:$D,"PSO",'caseload data'!$A:$A,"East Midlands Region")</f>
        <v>0</v>
      </c>
      <c r="N8" s="94">
        <f>SUMIFS('caseload data'!O:O,'caseload data'!$D:$D,"PSO",'caseload data'!$A:$A,"East Midlands Region")</f>
        <v>0</v>
      </c>
      <c r="O8" s="94">
        <f>SUMIFS('caseload data'!P:P,'caseload data'!$D:$D,"PSO",'caseload data'!$A:$A,"East Midlands Region")</f>
        <v>0</v>
      </c>
      <c r="P8" s="94">
        <f>SUMIFS('caseload data'!Q:Q,'caseload data'!$D:$D,"PSO",'caseload data'!$A:$A,"East Midlands Region")</f>
        <v>0</v>
      </c>
      <c r="Q8" s="94">
        <f>SUMIFS('caseload data'!R:R,'caseload data'!$D:$D,"PSO",'caseload data'!$A:$A,"East Midlands Region")</f>
        <v>0</v>
      </c>
      <c r="R8" s="94">
        <f>SUMIFS('caseload data'!S:S,'caseload data'!$D:$D,"PSO",'caseload data'!$A:$A,"East Midlands Region")</f>
        <v>0</v>
      </c>
      <c r="S8" s="94">
        <f>SUMIFS('caseload data'!T:T,'caseload data'!$D:$D,"PSO",'caseload data'!$A:$A,"East Midlands Region")</f>
        <v>0</v>
      </c>
      <c r="T8" s="94">
        <f>SUMIFS('caseload data'!V:V,'caseload data'!$D:$D,"PSO",'caseload data'!$A:$A,"East Midlands Region")</f>
        <v>0</v>
      </c>
      <c r="U8" s="64"/>
      <c r="V8" s="64"/>
      <c r="W8" s="478"/>
      <c r="X8" s="129" t="s">
        <v>1007</v>
      </c>
      <c r="Y8" s="167" t="e">
        <f t="shared" ref="Y8:Y11" si="1">SUM(D8)/SUM(D$7:D$11)</f>
        <v>#DIV/0!</v>
      </c>
      <c r="Z8" s="167" t="e">
        <f t="shared" ref="Z8:AA11" si="2">SUM(E8)/SUM(E$7:E$11)</f>
        <v>#DIV/0!</v>
      </c>
      <c r="AA8" s="167" t="e">
        <f t="shared" si="2"/>
        <v>#DIV/0!</v>
      </c>
      <c r="AB8" s="167" t="e">
        <f t="shared" si="0"/>
        <v>#DIV/0!</v>
      </c>
      <c r="AC8" s="167" t="e">
        <f t="shared" si="0"/>
        <v>#DIV/0!</v>
      </c>
      <c r="AD8" s="167" t="e">
        <f t="shared" si="0"/>
        <v>#DIV/0!</v>
      </c>
      <c r="AE8" s="167" t="e">
        <f t="shared" si="0"/>
        <v>#DIV/0!</v>
      </c>
      <c r="AF8" s="167" t="e">
        <f t="shared" si="0"/>
        <v>#DIV/0!</v>
      </c>
      <c r="AG8" s="167" t="e">
        <f t="shared" si="0"/>
        <v>#DIV/0!</v>
      </c>
      <c r="AH8" s="167" t="e">
        <f t="shared" si="0"/>
        <v>#DIV/0!</v>
      </c>
      <c r="AI8" s="167" t="e">
        <f t="shared" si="0"/>
        <v>#DIV/0!</v>
      </c>
      <c r="AJ8" s="167" t="e">
        <f t="shared" si="0"/>
        <v>#DIV/0!</v>
      </c>
      <c r="AK8" s="167" t="e">
        <f t="shared" si="0"/>
        <v>#DIV/0!</v>
      </c>
      <c r="AL8" s="167" t="e">
        <f t="shared" si="0"/>
        <v>#DIV/0!</v>
      </c>
      <c r="AM8" s="167" t="e">
        <f t="shared" si="0"/>
        <v>#DIV/0!</v>
      </c>
      <c r="AN8" s="167" t="e">
        <f t="shared" si="0"/>
        <v>#DIV/0!</v>
      </c>
      <c r="AO8" s="167" t="e">
        <f t="shared" si="0"/>
        <v>#DIV/0!</v>
      </c>
    </row>
    <row r="9" spans="1:41" x14ac:dyDescent="0.15">
      <c r="B9" s="489"/>
      <c r="C9" s="129" t="s">
        <v>1008</v>
      </c>
      <c r="D9" s="370">
        <f>SUMIFS('caseload data'!E:E,'caseload data'!$D:$D,"TPO",'caseload data'!$A:$A,"East Midlands Region")</f>
        <v>0</v>
      </c>
      <c r="E9" s="94">
        <f>SUMIFS('caseload data'!F:F,'caseload data'!$D:$D,"TPO",'caseload data'!$A:$A,"East Midlands Region")</f>
        <v>0</v>
      </c>
      <c r="F9" s="94">
        <f>SUMIFS('caseload data'!G:G,'caseload data'!$D:$D,"TPO",'caseload data'!$A:$A,"East Midlands Region")</f>
        <v>0</v>
      </c>
      <c r="G9" s="94">
        <f>SUMIFS('caseload data'!H:H,'caseload data'!$D:$D,"TPO",'caseload data'!$A:$A,"East Midlands Region")</f>
        <v>0</v>
      </c>
      <c r="H9" s="94">
        <f>SUMIFS('caseload data'!I:I,'caseload data'!$D:$D,"TPO",'caseload data'!$A:$A,"East Midlands Region")</f>
        <v>0</v>
      </c>
      <c r="I9" s="94">
        <f>SUMIFS('caseload data'!J:J,'caseload data'!$D:$D,"TPO",'caseload data'!$A:$A,"East Midlands Region")</f>
        <v>0</v>
      </c>
      <c r="J9" s="94">
        <f>SUMIFS('caseload data'!K:K,'caseload data'!$D:$D,"TPO",'caseload data'!$A:$A,"East Midlands Region")</f>
        <v>0</v>
      </c>
      <c r="K9" s="94">
        <f>SUMIFS('caseload data'!L:L,'caseload data'!$D:$D,"TPO",'caseload data'!$A:$A,"East Midlands Region")</f>
        <v>0</v>
      </c>
      <c r="L9" s="94">
        <f>SUMIFS('caseload data'!M:M,'caseload data'!$D:$D,"TPO",'caseload data'!$A:$A,"East Midlands Region")</f>
        <v>0</v>
      </c>
      <c r="M9" s="94">
        <f>SUMIFS('caseload data'!N:N,'caseload data'!$D:$D,"TPO",'caseload data'!$A:$A,"East Midlands Region")</f>
        <v>0</v>
      </c>
      <c r="N9" s="94">
        <f>SUMIFS('caseload data'!O:O,'caseload data'!$D:$D,"TPO",'caseload data'!$A:$A,"East Midlands Region")</f>
        <v>0</v>
      </c>
      <c r="O9" s="94">
        <f>SUMIFS('caseload data'!P:P,'caseload data'!$D:$D,"TPO",'caseload data'!$A:$A,"East Midlands Region")</f>
        <v>0</v>
      </c>
      <c r="P9" s="94">
        <f>SUMIFS('caseload data'!Q:Q,'caseload data'!$D:$D,"TPO",'caseload data'!$A:$A,"East Midlands Region")</f>
        <v>0</v>
      </c>
      <c r="Q9" s="94">
        <f>SUMIFS('caseload data'!R:R,'caseload data'!$D:$D,"TPO",'caseload data'!$A:$A,"East Midlands Region")</f>
        <v>0</v>
      </c>
      <c r="R9" s="94">
        <f>SUMIFS('caseload data'!S:S,'caseload data'!$D:$D,"TPO",'caseload data'!$A:$A,"East Midlands Region")</f>
        <v>0</v>
      </c>
      <c r="S9" s="94">
        <f>SUMIFS('caseload data'!T:T,'caseload data'!$D:$D,"TPO",'caseload data'!$A:$A,"East Midlands Region")</f>
        <v>0</v>
      </c>
      <c r="T9" s="94">
        <f>SUMIFS('caseload data'!V:V,'caseload data'!$D:$D,"TPO",'caseload data'!$A:$A,"East Midlands Region")</f>
        <v>0</v>
      </c>
      <c r="U9" s="64"/>
      <c r="V9" s="64"/>
      <c r="W9" s="478"/>
      <c r="X9" s="129" t="s">
        <v>1008</v>
      </c>
      <c r="Y9" s="167" t="e">
        <f t="shared" si="1"/>
        <v>#DIV/0!</v>
      </c>
      <c r="Z9" s="167" t="e">
        <f t="shared" si="2"/>
        <v>#DIV/0!</v>
      </c>
      <c r="AA9" s="167" t="e">
        <f t="shared" si="2"/>
        <v>#DIV/0!</v>
      </c>
      <c r="AB9" s="167" t="e">
        <f t="shared" si="0"/>
        <v>#DIV/0!</v>
      </c>
      <c r="AC9" s="167" t="e">
        <f t="shared" si="0"/>
        <v>#DIV/0!</v>
      </c>
      <c r="AD9" s="167" t="e">
        <f t="shared" si="0"/>
        <v>#DIV/0!</v>
      </c>
      <c r="AE9" s="167" t="e">
        <f t="shared" si="0"/>
        <v>#DIV/0!</v>
      </c>
      <c r="AF9" s="167" t="e">
        <f t="shared" si="0"/>
        <v>#DIV/0!</v>
      </c>
      <c r="AG9" s="167" t="e">
        <f t="shared" si="0"/>
        <v>#DIV/0!</v>
      </c>
      <c r="AH9" s="167" t="e">
        <f t="shared" si="0"/>
        <v>#DIV/0!</v>
      </c>
      <c r="AI9" s="167" t="e">
        <f t="shared" si="0"/>
        <v>#DIV/0!</v>
      </c>
      <c r="AJ9" s="167" t="e">
        <f t="shared" si="0"/>
        <v>#DIV/0!</v>
      </c>
      <c r="AK9" s="167" t="e">
        <f t="shared" si="0"/>
        <v>#DIV/0!</v>
      </c>
      <c r="AL9" s="167" t="e">
        <f t="shared" si="0"/>
        <v>#DIV/0!</v>
      </c>
      <c r="AM9" s="167" t="e">
        <f t="shared" si="0"/>
        <v>#DIV/0!</v>
      </c>
      <c r="AN9" s="167" t="e">
        <f t="shared" si="0"/>
        <v>#DIV/0!</v>
      </c>
      <c r="AO9" s="167" t="e">
        <f t="shared" si="0"/>
        <v>#DIV/0!</v>
      </c>
    </row>
    <row r="10" spans="1:41" x14ac:dyDescent="0.15">
      <c r="B10" s="489"/>
      <c r="C10" s="129" t="s">
        <v>1009</v>
      </c>
      <c r="D10" s="370">
        <f>SUMIFS('caseload data'!E:E,'caseload data'!$D:$D,"SPO",'caseload data'!$A:$A,"East Midlands Region")</f>
        <v>0</v>
      </c>
      <c r="E10" s="94">
        <f>SUMIFS('caseload data'!F:F,'caseload data'!$D:$D,"SPO",'caseload data'!$A:$A,"East Midlands Region")</f>
        <v>0</v>
      </c>
      <c r="F10" s="94">
        <f>SUMIFS('caseload data'!G:G,'caseload data'!$D:$D,"SPO",'caseload data'!$A:$A,"East Midlands Region")</f>
        <v>0</v>
      </c>
      <c r="G10" s="94">
        <f>SUMIFS('caseload data'!H:H,'caseload data'!$D:$D,"SPO",'caseload data'!$A:$A,"East Midlands Region")</f>
        <v>0</v>
      </c>
      <c r="H10" s="94">
        <f>SUMIFS('caseload data'!I:I,'caseload data'!$D:$D,"SPO",'caseload data'!$A:$A,"East Midlands Region")</f>
        <v>0</v>
      </c>
      <c r="I10" s="94">
        <f>SUMIFS('caseload data'!J:J,'caseload data'!$D:$D,"SPO",'caseload data'!$A:$A,"East Midlands Region")</f>
        <v>0</v>
      </c>
      <c r="J10" s="94">
        <f>SUMIFS('caseload data'!K:K,'caseload data'!$D:$D,"SPO",'caseload data'!$A:$A,"East Midlands Region")</f>
        <v>0</v>
      </c>
      <c r="K10" s="94">
        <f>SUMIFS('caseload data'!L:L,'caseload data'!$D:$D,"SPO",'caseload data'!$A:$A,"East Midlands Region")</f>
        <v>0</v>
      </c>
      <c r="L10" s="94">
        <f>SUMIFS('caseload data'!M:M,'caseload data'!$D:$D,"SPO",'caseload data'!$A:$A,"East Midlands Region")</f>
        <v>0</v>
      </c>
      <c r="M10" s="94">
        <f>SUMIFS('caseload data'!N:N,'caseload data'!$D:$D,"SPO",'caseload data'!$A:$A,"East Midlands Region")</f>
        <v>0</v>
      </c>
      <c r="N10" s="94">
        <f>SUMIFS('caseload data'!O:O,'caseload data'!$D:$D,"SPO",'caseload data'!$A:$A,"East Midlands Region")</f>
        <v>0</v>
      </c>
      <c r="O10" s="94">
        <f>SUMIFS('caseload data'!P:P,'caseload data'!$D:$D,"SPO",'caseload data'!$A:$A,"East Midlands Region")</f>
        <v>0</v>
      </c>
      <c r="P10" s="94">
        <f>SUMIFS('caseload data'!Q:Q,'caseload data'!$D:$D,"SPO",'caseload data'!$A:$A,"East Midlands Region")</f>
        <v>0</v>
      </c>
      <c r="Q10" s="94">
        <f>SUMIFS('caseload data'!R:R,'caseload data'!$D:$D,"SPO",'caseload data'!$A:$A,"East Midlands Region")</f>
        <v>0</v>
      </c>
      <c r="R10" s="94">
        <f>SUMIFS('caseload data'!S:S,'caseload data'!$D:$D,"SPO",'caseload data'!$A:$A,"East Midlands Region")</f>
        <v>0</v>
      </c>
      <c r="S10" s="94">
        <f>SUMIFS('caseload data'!T:T,'caseload data'!$D:$D,"SPO",'caseload data'!$A:$A,"East Midlands Region")</f>
        <v>0</v>
      </c>
      <c r="T10" s="94">
        <f>SUMIFS('caseload data'!V:V,'caseload data'!$D:$D,"SPO",'caseload data'!$A:$A,"East Midlands Region")</f>
        <v>0</v>
      </c>
      <c r="U10" s="64"/>
      <c r="V10" s="64"/>
      <c r="W10" s="478"/>
      <c r="X10" s="129" t="s">
        <v>1009</v>
      </c>
      <c r="Y10" s="167" t="e">
        <f t="shared" si="1"/>
        <v>#DIV/0!</v>
      </c>
      <c r="Z10" s="167" t="e">
        <f t="shared" si="2"/>
        <v>#DIV/0!</v>
      </c>
      <c r="AA10" s="167" t="e">
        <f t="shared" si="2"/>
        <v>#DIV/0!</v>
      </c>
      <c r="AB10" s="167" t="e">
        <f t="shared" si="0"/>
        <v>#DIV/0!</v>
      </c>
      <c r="AC10" s="167" t="e">
        <f t="shared" si="0"/>
        <v>#DIV/0!</v>
      </c>
      <c r="AD10" s="167" t="e">
        <f t="shared" si="0"/>
        <v>#DIV/0!</v>
      </c>
      <c r="AE10" s="167" t="e">
        <f t="shared" si="0"/>
        <v>#DIV/0!</v>
      </c>
      <c r="AF10" s="167" t="e">
        <f t="shared" si="0"/>
        <v>#DIV/0!</v>
      </c>
      <c r="AG10" s="167" t="e">
        <f t="shared" si="0"/>
        <v>#DIV/0!</v>
      </c>
      <c r="AH10" s="167" t="e">
        <f t="shared" si="0"/>
        <v>#DIV/0!</v>
      </c>
      <c r="AI10" s="167" t="e">
        <f t="shared" si="0"/>
        <v>#DIV/0!</v>
      </c>
      <c r="AJ10" s="167" t="e">
        <f t="shared" si="0"/>
        <v>#DIV/0!</v>
      </c>
      <c r="AK10" s="167" t="e">
        <f t="shared" si="0"/>
        <v>#DIV/0!</v>
      </c>
      <c r="AL10" s="167" t="e">
        <f t="shared" si="0"/>
        <v>#DIV/0!</v>
      </c>
      <c r="AM10" s="167" t="e">
        <f t="shared" si="0"/>
        <v>#DIV/0!</v>
      </c>
      <c r="AN10" s="167" t="e">
        <f t="shared" si="0"/>
        <v>#DIV/0!</v>
      </c>
      <c r="AO10" s="167" t="e">
        <f t="shared" si="0"/>
        <v>#DIV/0!</v>
      </c>
    </row>
    <row r="11" spans="1:41" x14ac:dyDescent="0.15">
      <c r="B11" s="363"/>
      <c r="C11" s="130" t="s">
        <v>1344</v>
      </c>
      <c r="D11" s="370">
        <f>SUMIFS('caseload data'!E:E,'caseload data'!$D:$D,"DMY",'caseload data'!$A:$A,"East Midlands Region")</f>
        <v>0</v>
      </c>
      <c r="E11" s="94">
        <f>SUMIFS('caseload data'!F:F,'caseload data'!$D:$D,"DMY",'caseload data'!$A:$A,"East Midlands Region")</f>
        <v>0</v>
      </c>
      <c r="F11" s="94">
        <f>SUMIFS('caseload data'!G:G,'caseload data'!$D:$D,"DMY",'caseload data'!$A:$A,"East Midlands Region")</f>
        <v>0</v>
      </c>
      <c r="G11" s="94">
        <f>SUMIFS('caseload data'!H:H,'caseload data'!$D:$D,"DMY",'caseload data'!$A:$A,"East Midlands Region")</f>
        <v>0</v>
      </c>
      <c r="H11" s="94">
        <f>SUMIFS('caseload data'!I:I,'caseload data'!$D:$D,"DMY",'caseload data'!$A:$A,"East Midlands Region")</f>
        <v>0</v>
      </c>
      <c r="I11" s="94">
        <f>SUMIFS('caseload data'!J:J,'caseload data'!$D:$D,"DMY",'caseload data'!$A:$A,"East Midlands Region")</f>
        <v>0</v>
      </c>
      <c r="J11" s="94">
        <f>SUMIFS('caseload data'!K:K,'caseload data'!$D:$D,"DMY",'caseload data'!$A:$A,"East Midlands Region")</f>
        <v>0</v>
      </c>
      <c r="K11" s="94">
        <f>SUMIFS('caseload data'!L:L,'caseload data'!$D:$D,"DMY",'caseload data'!$A:$A,"East Midlands Region")</f>
        <v>0</v>
      </c>
      <c r="L11" s="94">
        <f>SUMIFS('caseload data'!M:M,'caseload data'!$D:$D,"DMY",'caseload data'!$A:$A,"East Midlands Region")</f>
        <v>0</v>
      </c>
      <c r="M11" s="94">
        <f>SUMIFS('caseload data'!N:N,'caseload data'!$D:$D,"DMY",'caseload data'!$A:$A,"East Midlands Region")</f>
        <v>0</v>
      </c>
      <c r="N11" s="94">
        <f>SUMIFS('caseload data'!O:O,'caseload data'!$D:$D,"DMY",'caseload data'!$A:$A,"East Midlands Region")</f>
        <v>0</v>
      </c>
      <c r="O11" s="94">
        <f>SUMIFS('caseload data'!P:P,'caseload data'!$D:$D,"DMY",'caseload data'!$A:$A,"East Midlands Region")</f>
        <v>0</v>
      </c>
      <c r="P11" s="94">
        <f>SUMIFS('caseload data'!Q:Q,'caseload data'!$D:$D,"DMY",'caseload data'!$A:$A,"East Midlands Region")</f>
        <v>0</v>
      </c>
      <c r="Q11" s="94">
        <f>SUMIFS('caseload data'!R:R,'caseload data'!$D:$D,"DMY",'caseload data'!$A:$A,"East Midlands Region")</f>
        <v>0</v>
      </c>
      <c r="R11" s="94">
        <f>SUMIFS('caseload data'!S:S,'caseload data'!$D:$D,"DMY",'caseload data'!$A:$A,"East Midlands Region")</f>
        <v>0</v>
      </c>
      <c r="S11" s="94">
        <f>SUMIFS('caseload data'!T:T,'caseload data'!$D:$D,"DMY",'caseload data'!$A:$A,"East Midlands Region")</f>
        <v>0</v>
      </c>
      <c r="T11" s="94">
        <f>SUMIFS('caseload data'!V:V,'caseload data'!$D:$D,"DMY",'caseload data'!$A:$A,"East Midlands Region")</f>
        <v>0</v>
      </c>
      <c r="U11" s="64"/>
      <c r="V11" s="64"/>
      <c r="W11" s="479"/>
      <c r="X11" s="130" t="s">
        <v>1344</v>
      </c>
      <c r="Y11" s="167" t="e">
        <f t="shared" si="1"/>
        <v>#DIV/0!</v>
      </c>
      <c r="Z11" s="167" t="e">
        <f t="shared" si="2"/>
        <v>#DIV/0!</v>
      </c>
      <c r="AA11" s="167" t="e">
        <f t="shared" si="2"/>
        <v>#DIV/0!</v>
      </c>
      <c r="AB11" s="167" t="e">
        <f t="shared" si="0"/>
        <v>#DIV/0!</v>
      </c>
      <c r="AC11" s="167" t="e">
        <f t="shared" si="0"/>
        <v>#DIV/0!</v>
      </c>
      <c r="AD11" s="167" t="e">
        <f t="shared" si="0"/>
        <v>#DIV/0!</v>
      </c>
      <c r="AE11" s="167" t="e">
        <f t="shared" si="0"/>
        <v>#DIV/0!</v>
      </c>
      <c r="AF11" s="167" t="e">
        <f t="shared" si="0"/>
        <v>#DIV/0!</v>
      </c>
      <c r="AG11" s="167" t="e">
        <f t="shared" si="0"/>
        <v>#DIV/0!</v>
      </c>
      <c r="AH11" s="167" t="e">
        <f t="shared" si="0"/>
        <v>#DIV/0!</v>
      </c>
      <c r="AI11" s="167" t="e">
        <f t="shared" si="0"/>
        <v>#DIV/0!</v>
      </c>
      <c r="AJ11" s="167" t="e">
        <f t="shared" si="0"/>
        <v>#DIV/0!</v>
      </c>
      <c r="AK11" s="167" t="e">
        <f t="shared" si="0"/>
        <v>#DIV/0!</v>
      </c>
      <c r="AL11" s="167" t="e">
        <f t="shared" si="0"/>
        <v>#DIV/0!</v>
      </c>
      <c r="AM11" s="167" t="e">
        <f t="shared" si="0"/>
        <v>#DIV/0!</v>
      </c>
      <c r="AN11" s="167" t="e">
        <f t="shared" si="0"/>
        <v>#DIV/0!</v>
      </c>
      <c r="AO11" s="167" t="e">
        <f t="shared" si="0"/>
        <v>#DIV/0!</v>
      </c>
    </row>
    <row r="12" spans="1:41" x14ac:dyDescent="0.15">
      <c r="B12" s="477" t="s">
        <v>18</v>
      </c>
      <c r="C12" s="128" t="s">
        <v>1002</v>
      </c>
      <c r="D12" s="370">
        <f>SUMIFS('caseload data'!E:E,'caseload data'!$D:$D,"PO",'caseload data'!$A:$A,EoE)</f>
        <v>0</v>
      </c>
      <c r="E12" s="94">
        <f>SUMIFS('caseload data'!F:F,'caseload data'!$D:$D,"PO",'caseload data'!$A:$A,EoE)</f>
        <v>0</v>
      </c>
      <c r="F12" s="94">
        <f>SUMIFS('caseload data'!G:G,'caseload data'!$D:$D,"PO",'caseload data'!$A:$A,EoE)</f>
        <v>0</v>
      </c>
      <c r="G12" s="94">
        <f>SUMIFS('caseload data'!H:H,'caseload data'!$D:$D,"PO",'caseload data'!$A:$A,EoE)</f>
        <v>0</v>
      </c>
      <c r="H12" s="94">
        <f>SUMIFS('caseload data'!I:I,'caseload data'!$D:$D,"PO",'caseload data'!$A:$A,EoE)</f>
        <v>0</v>
      </c>
      <c r="I12" s="94">
        <f>SUMIFS('caseload data'!J:J,'caseload data'!$D:$D,"PO",'caseload data'!$A:$A,EoE)</f>
        <v>0</v>
      </c>
      <c r="J12" s="94">
        <f>SUMIFS('caseload data'!K:K,'caseload data'!$D:$D,"PO",'caseload data'!$A:$A,EoE)</f>
        <v>0</v>
      </c>
      <c r="K12" s="94">
        <f>SUMIFS('caseload data'!L:L,'caseload data'!$D:$D,"PO",'caseload data'!$A:$A,EoE)</f>
        <v>0</v>
      </c>
      <c r="L12" s="94">
        <f>SUMIFS('caseload data'!M:M,'caseload data'!$D:$D,"PO",'caseload data'!$A:$A,EoE)</f>
        <v>0</v>
      </c>
      <c r="M12" s="94">
        <f>SUMIFS('caseload data'!N:N,'caseload data'!$D:$D,"PO",'caseload data'!$A:$A,EoE)</f>
        <v>0</v>
      </c>
      <c r="N12" s="94">
        <f>SUMIFS('caseload data'!O:O,'caseload data'!$D:$D,"PO",'caseload data'!$A:$A,EoE)</f>
        <v>0</v>
      </c>
      <c r="O12" s="94">
        <f>SUMIFS('caseload data'!P:P,'caseload data'!$D:$D,"PO",'caseload data'!$A:$A,EoE)</f>
        <v>0</v>
      </c>
      <c r="P12" s="94">
        <f>SUMIFS('caseload data'!Q:Q,'caseload data'!$D:$D,"PO",'caseload data'!$A:$A,EoE)</f>
        <v>0</v>
      </c>
      <c r="Q12" s="94">
        <f>SUMIFS('caseload data'!R:R,'caseload data'!$D:$D,"PO",'caseload data'!$A:$A,EoE)</f>
        <v>0</v>
      </c>
      <c r="R12" s="94">
        <f>SUMIFS('caseload data'!S:S,'caseload data'!$D:$D,"PO",'caseload data'!$A:$A,EoE)</f>
        <v>0</v>
      </c>
      <c r="S12" s="94">
        <f>SUMIFS('caseload data'!T:T,'caseload data'!$D:$D,"PO",'caseload data'!$A:$A,EoE)</f>
        <v>0</v>
      </c>
      <c r="T12" s="94">
        <f>SUMIFS('caseload data'!V:V,'caseload data'!$D:$D,"PO",'caseload data'!$A:$A,EoE)</f>
        <v>0</v>
      </c>
      <c r="U12" s="64"/>
      <c r="V12" s="64"/>
      <c r="W12" s="471" t="s">
        <v>18</v>
      </c>
      <c r="X12" s="128" t="s">
        <v>1002</v>
      </c>
      <c r="Y12" s="167" t="e">
        <f>SUM(D12)/SUM(D$12:D$16)</f>
        <v>#DIV/0!</v>
      </c>
      <c r="Z12" s="167" t="e">
        <f t="shared" ref="Z12:AC16" si="3">SUM(E12)/SUM(E$12:E$16)</f>
        <v>#DIV/0!</v>
      </c>
      <c r="AA12" s="167" t="e">
        <f t="shared" si="3"/>
        <v>#DIV/0!</v>
      </c>
      <c r="AB12" s="167" t="e">
        <f t="shared" si="3"/>
        <v>#DIV/0!</v>
      </c>
      <c r="AC12" s="167" t="e">
        <f>SUM(H12)/SUM(H$12:H$16)</f>
        <v>#DIV/0!</v>
      </c>
      <c r="AD12" s="167" t="e">
        <f>SUM(I12)/SUM(I$12:I$16)</f>
        <v>#DIV/0!</v>
      </c>
      <c r="AE12" s="167" t="e">
        <f t="shared" ref="AE12:AE16" si="4">SUM(J12)/SUM(J$12:J$16)</f>
        <v>#DIV/0!</v>
      </c>
      <c r="AF12" s="167" t="e">
        <f t="shared" ref="AF12:AF16" si="5">SUM(K12)/SUM(K$12:K$16)</f>
        <v>#DIV/0!</v>
      </c>
      <c r="AG12" s="167" t="e">
        <f t="shared" ref="AG12:AG16" si="6">SUM(L12)/SUM(L$12:L$16)</f>
        <v>#DIV/0!</v>
      </c>
      <c r="AH12" s="167" t="e">
        <f>SUM(M12)/SUM(M$12:M$16)</f>
        <v>#DIV/0!</v>
      </c>
      <c r="AI12" s="167" t="e">
        <f>SUM(N12)/SUM(N$12:N$16)</f>
        <v>#DIV/0!</v>
      </c>
      <c r="AJ12" s="167" t="e">
        <f t="shared" ref="AJ12:AJ16" si="7">SUM(O12)/SUM(O$12:O$16)</f>
        <v>#DIV/0!</v>
      </c>
      <c r="AK12" s="167" t="e">
        <f t="shared" ref="AK12:AK16" si="8">SUM(P12)/SUM(P$12:P$16)</f>
        <v>#DIV/0!</v>
      </c>
      <c r="AL12" s="167" t="e">
        <f t="shared" ref="AL12:AL16" si="9">SUM(Q12)/SUM(Q$12:Q$16)</f>
        <v>#DIV/0!</v>
      </c>
      <c r="AM12" s="167" t="e">
        <f>SUM(R12)/SUM(R$12:R$16)</f>
        <v>#DIV/0!</v>
      </c>
      <c r="AN12" s="167" t="e">
        <f>SUM(S12)/SUM(S$12:S$16)</f>
        <v>#DIV/0!</v>
      </c>
      <c r="AO12" s="167" t="e">
        <f>SUM(T12)/SUM(T$12:T$16)</f>
        <v>#DIV/0!</v>
      </c>
    </row>
    <row r="13" spans="1:41" x14ac:dyDescent="0.15">
      <c r="B13" s="478"/>
      <c r="C13" s="129" t="s">
        <v>1007</v>
      </c>
      <c r="D13" s="370">
        <f>SUMIFS('caseload data'!E:E,'caseload data'!$D:$D,"PSO",'caseload data'!$A:$A,"East of England")</f>
        <v>0</v>
      </c>
      <c r="E13" s="94">
        <f>SUMIFS('caseload data'!F:F,'caseload data'!$D:$D,"PSO",'caseload data'!$A:$A,"East of England")</f>
        <v>0</v>
      </c>
      <c r="F13" s="94">
        <f>SUMIFS('caseload data'!G:G,'caseload data'!$D:$D,"PSO",'caseload data'!$A:$A,"East of England")</f>
        <v>0</v>
      </c>
      <c r="G13" s="94">
        <f>SUMIFS('caseload data'!H:H,'caseload data'!$D:$D,"PSO",'caseload data'!$A:$A,"East of England")</f>
        <v>0</v>
      </c>
      <c r="H13" s="94">
        <f>SUMIFS('caseload data'!I:I,'caseload data'!$D:$D,"PSO",'caseload data'!$A:$A,"East of England")</f>
        <v>0</v>
      </c>
      <c r="I13" s="94">
        <f>SUMIFS('caseload data'!J:J,'caseload data'!$D:$D,"PSO",'caseload data'!$A:$A,"East of England")</f>
        <v>0</v>
      </c>
      <c r="J13" s="94">
        <f>SUMIFS('caseload data'!K:K,'caseload data'!$D:$D,"PSO",'caseload data'!$A:$A,"East of England")</f>
        <v>0</v>
      </c>
      <c r="K13" s="94">
        <f>SUMIFS('caseload data'!L:L,'caseload data'!$D:$D,"PSO",'caseload data'!$A:$A,"East of England")</f>
        <v>0</v>
      </c>
      <c r="L13" s="94">
        <f>SUMIFS('caseload data'!M:M,'caseload data'!$D:$D,"PSO",'caseload data'!$A:$A,"East of England")</f>
        <v>0</v>
      </c>
      <c r="M13" s="94">
        <f>SUMIFS('caseload data'!N:N,'caseload data'!$D:$D,"PSO",'caseload data'!$A:$A,"East of England")</f>
        <v>0</v>
      </c>
      <c r="N13" s="94">
        <f>SUMIFS('caseload data'!O:O,'caseload data'!$D:$D,"PSO",'caseload data'!$A:$A,"East of England")</f>
        <v>0</v>
      </c>
      <c r="O13" s="94">
        <f>SUMIFS('caseload data'!P:P,'caseload data'!$D:$D,"PSO",'caseload data'!$A:$A,"East of England")</f>
        <v>0</v>
      </c>
      <c r="P13" s="94">
        <f>SUMIFS('caseload data'!Q:Q,'caseload data'!$D:$D,"PSO",'caseload data'!$A:$A,"East of England")</f>
        <v>0</v>
      </c>
      <c r="Q13" s="94">
        <f>SUMIFS('caseload data'!R:R,'caseload data'!$D:$D,"PSO",'caseload data'!$A:$A,"East of England")</f>
        <v>0</v>
      </c>
      <c r="R13" s="94">
        <f>SUMIFS('caseload data'!S:S,'caseload data'!$D:$D,"PSO",'caseload data'!$A:$A,"East of England")</f>
        <v>0</v>
      </c>
      <c r="S13" s="94">
        <f>SUMIFS('caseload data'!T:T,'caseload data'!$D:$D,"PSO",'caseload data'!$A:$A,"East of England")</f>
        <v>0</v>
      </c>
      <c r="T13" s="94">
        <f>SUMIFS('caseload data'!V:V,'caseload data'!$D:$D,"PSO",'caseload data'!$A:$A,"East of England")</f>
        <v>0</v>
      </c>
      <c r="U13" s="64"/>
      <c r="V13" s="64"/>
      <c r="W13" s="472"/>
      <c r="X13" s="129" t="s">
        <v>1007</v>
      </c>
      <c r="Y13" s="167" t="e">
        <f t="shared" ref="Y13:Y16" si="10">SUM(D13)/SUM(D$12:D$16)</f>
        <v>#DIV/0!</v>
      </c>
      <c r="Z13" s="167" t="e">
        <f t="shared" si="3"/>
        <v>#DIV/0!</v>
      </c>
      <c r="AA13" s="167" t="e">
        <f t="shared" si="3"/>
        <v>#DIV/0!</v>
      </c>
      <c r="AB13" s="167" t="e">
        <f t="shared" si="3"/>
        <v>#DIV/0!</v>
      </c>
      <c r="AC13" s="167" t="e">
        <f t="shared" si="3"/>
        <v>#DIV/0!</v>
      </c>
      <c r="AD13" s="167" t="e">
        <f t="shared" ref="AD13:AD16" si="11">SUM(I13)/SUM(I$12:I$16)</f>
        <v>#DIV/0!</v>
      </c>
      <c r="AE13" s="167" t="e">
        <f t="shared" si="4"/>
        <v>#DIV/0!</v>
      </c>
      <c r="AF13" s="167" t="e">
        <f t="shared" si="5"/>
        <v>#DIV/0!</v>
      </c>
      <c r="AG13" s="167" t="e">
        <f t="shared" si="6"/>
        <v>#DIV/0!</v>
      </c>
      <c r="AH13" s="167" t="e">
        <f t="shared" ref="AH13:AH16" si="12">SUM(M13)/SUM(M$12:M$16)</f>
        <v>#DIV/0!</v>
      </c>
      <c r="AI13" s="167" t="e">
        <f t="shared" ref="AI13:AI16" si="13">SUM(N13)/SUM(N$12:N$16)</f>
        <v>#DIV/0!</v>
      </c>
      <c r="AJ13" s="167" t="e">
        <f t="shared" si="7"/>
        <v>#DIV/0!</v>
      </c>
      <c r="AK13" s="167" t="e">
        <f t="shared" si="8"/>
        <v>#DIV/0!</v>
      </c>
      <c r="AL13" s="167" t="e">
        <f t="shared" si="9"/>
        <v>#DIV/0!</v>
      </c>
      <c r="AM13" s="167" t="e">
        <f t="shared" ref="AM13:AM16" si="14">SUM(R13)/SUM(R$12:R$16)</f>
        <v>#DIV/0!</v>
      </c>
      <c r="AN13" s="167" t="e">
        <f t="shared" ref="AN13:AO16" si="15">SUM(S13)/SUM(S$12:S$16)</f>
        <v>#DIV/0!</v>
      </c>
      <c r="AO13" s="167" t="e">
        <f t="shared" si="15"/>
        <v>#DIV/0!</v>
      </c>
    </row>
    <row r="14" spans="1:41" x14ac:dyDescent="0.15">
      <c r="B14" s="478"/>
      <c r="C14" s="129" t="s">
        <v>1008</v>
      </c>
      <c r="D14" s="370">
        <f>SUMIFS('caseload data'!E:E,'caseload data'!$D:$D,"TPO",'caseload data'!$A:$A,"East of England")</f>
        <v>0</v>
      </c>
      <c r="E14" s="94">
        <f>SUMIFS('caseload data'!F:F,'caseload data'!$D:$D,"TPO",'caseload data'!$A:$A,"East of England")</f>
        <v>0</v>
      </c>
      <c r="F14" s="94">
        <f>SUMIFS('caseload data'!G:G,'caseload data'!$D:$D,"TPO",'caseload data'!$A:$A,"East of England")</f>
        <v>0</v>
      </c>
      <c r="G14" s="94">
        <f>SUMIFS('caseload data'!H:H,'caseload data'!$D:$D,"TPO",'caseload data'!$A:$A,"East of England")</f>
        <v>0</v>
      </c>
      <c r="H14" s="94">
        <f>SUMIFS('caseload data'!I:I,'caseload data'!$D:$D,"TPO",'caseload data'!$A:$A,"East of England")</f>
        <v>0</v>
      </c>
      <c r="I14" s="94">
        <f>SUMIFS('caseload data'!J:J,'caseload data'!$D:$D,"TPO",'caseload data'!$A:$A,"East of England")</f>
        <v>0</v>
      </c>
      <c r="J14" s="94">
        <f>SUMIFS('caseload data'!K:K,'caseload data'!$D:$D,"TPO",'caseload data'!$A:$A,"East of England")</f>
        <v>0</v>
      </c>
      <c r="K14" s="94">
        <f>SUMIFS('caseload data'!L:L,'caseload data'!$D:$D,"TPO",'caseload data'!$A:$A,"East of England")</f>
        <v>0</v>
      </c>
      <c r="L14" s="94">
        <f>SUMIFS('caseload data'!M:M,'caseload data'!$D:$D,"TPO",'caseload data'!$A:$A,"East of England")</f>
        <v>0</v>
      </c>
      <c r="M14" s="94">
        <f>SUMIFS('caseload data'!N:N,'caseload data'!$D:$D,"TPO",'caseload data'!$A:$A,"East of England")</f>
        <v>0</v>
      </c>
      <c r="N14" s="94">
        <f>SUMIFS('caseload data'!O:O,'caseload data'!$D:$D,"TPO",'caseload data'!$A:$A,"East of England")</f>
        <v>0</v>
      </c>
      <c r="O14" s="94">
        <f>SUMIFS('caseload data'!P:P,'caseload data'!$D:$D,"TPO",'caseload data'!$A:$A,"East of England")</f>
        <v>0</v>
      </c>
      <c r="P14" s="94">
        <f>SUMIFS('caseload data'!Q:Q,'caseload data'!$D:$D,"TPO",'caseload data'!$A:$A,"East of England")</f>
        <v>0</v>
      </c>
      <c r="Q14" s="94">
        <f>SUMIFS('caseload data'!R:R,'caseload data'!$D:$D,"TPO",'caseload data'!$A:$A,"East of England")</f>
        <v>0</v>
      </c>
      <c r="R14" s="94">
        <f>SUMIFS('caseload data'!S:S,'caseload data'!$D:$D,"TPO",'caseload data'!$A:$A,"East of England")</f>
        <v>0</v>
      </c>
      <c r="S14" s="94">
        <f>SUMIFS('caseload data'!T:T,'caseload data'!$D:$D,"TPO",'caseload data'!$A:$A,"East of England")</f>
        <v>0</v>
      </c>
      <c r="T14" s="94">
        <f>SUMIFS('caseload data'!V:V,'caseload data'!$D:$D,"TPO",'caseload data'!$A:$A,"East of England")</f>
        <v>0</v>
      </c>
      <c r="U14" s="64"/>
      <c r="V14" s="64"/>
      <c r="W14" s="472"/>
      <c r="X14" s="129" t="s">
        <v>1008</v>
      </c>
      <c r="Y14" s="167" t="e">
        <f t="shared" si="10"/>
        <v>#DIV/0!</v>
      </c>
      <c r="Z14" s="167" t="e">
        <f t="shared" si="3"/>
        <v>#DIV/0!</v>
      </c>
      <c r="AA14" s="167" t="e">
        <f t="shared" si="3"/>
        <v>#DIV/0!</v>
      </c>
      <c r="AB14" s="167" t="e">
        <f t="shared" si="3"/>
        <v>#DIV/0!</v>
      </c>
      <c r="AC14" s="167" t="e">
        <f t="shared" si="3"/>
        <v>#DIV/0!</v>
      </c>
      <c r="AD14" s="167" t="e">
        <f t="shared" si="11"/>
        <v>#DIV/0!</v>
      </c>
      <c r="AE14" s="167" t="e">
        <f t="shared" si="4"/>
        <v>#DIV/0!</v>
      </c>
      <c r="AF14" s="167" t="e">
        <f t="shared" si="5"/>
        <v>#DIV/0!</v>
      </c>
      <c r="AG14" s="167" t="e">
        <f t="shared" si="6"/>
        <v>#DIV/0!</v>
      </c>
      <c r="AH14" s="167" t="e">
        <f t="shared" si="12"/>
        <v>#DIV/0!</v>
      </c>
      <c r="AI14" s="167" t="e">
        <f t="shared" si="13"/>
        <v>#DIV/0!</v>
      </c>
      <c r="AJ14" s="167" t="e">
        <f t="shared" si="7"/>
        <v>#DIV/0!</v>
      </c>
      <c r="AK14" s="167" t="e">
        <f t="shared" si="8"/>
        <v>#DIV/0!</v>
      </c>
      <c r="AL14" s="167" t="e">
        <f t="shared" si="9"/>
        <v>#DIV/0!</v>
      </c>
      <c r="AM14" s="167" t="e">
        <f t="shared" si="14"/>
        <v>#DIV/0!</v>
      </c>
      <c r="AN14" s="167" t="e">
        <f t="shared" si="15"/>
        <v>#DIV/0!</v>
      </c>
      <c r="AO14" s="167" t="e">
        <f t="shared" si="15"/>
        <v>#DIV/0!</v>
      </c>
    </row>
    <row r="15" spans="1:41" x14ac:dyDescent="0.15">
      <c r="B15" s="478"/>
      <c r="C15" s="129" t="s">
        <v>1009</v>
      </c>
      <c r="D15" s="370">
        <f>SUMIFS('caseload data'!E:E,'caseload data'!$D:$D,"SPO",'caseload data'!$A:$A,"East of England")</f>
        <v>0</v>
      </c>
      <c r="E15" s="94">
        <f>SUMIFS('caseload data'!F:F,'caseload data'!$D:$D,"SPO",'caseload data'!$A:$A,"East of England")</f>
        <v>0</v>
      </c>
      <c r="F15" s="94">
        <f>SUMIFS('caseload data'!$G:$G,'caseload data'!$D:$D,"SPO",'caseload data'!$A:$A,"East of England")</f>
        <v>0</v>
      </c>
      <c r="G15" s="94">
        <f>SUMIFS('caseload data'!H:H,'caseload data'!$D:$D,"SPO",'caseload data'!$A:$A,"East of England")</f>
        <v>0</v>
      </c>
      <c r="H15" s="94">
        <f>SUMIFS('caseload data'!I:I,'caseload data'!$D:$D,"SPO",'caseload data'!$A:$A,"East of England")</f>
        <v>0</v>
      </c>
      <c r="I15" s="94">
        <f>SUMIFS('caseload data'!J:J,'caseload data'!$D:$D,"SPO",'caseload data'!$A:$A,"East of England")</f>
        <v>0</v>
      </c>
      <c r="J15" s="94">
        <f>SUMIFS('caseload data'!K:K,'caseload data'!$D:$D,"SPO",'caseload data'!$A:$A,"East of England")</f>
        <v>0</v>
      </c>
      <c r="K15" s="94">
        <f>SUMIFS('caseload data'!L:L,'caseload data'!$D:$D,"SPO",'caseload data'!$A:$A,"East of England")</f>
        <v>0</v>
      </c>
      <c r="L15" s="94">
        <f>SUMIFS('caseload data'!M:M,'caseload data'!$D:$D,"SPO",'caseload data'!$A:$A,"East of England")</f>
        <v>0</v>
      </c>
      <c r="M15" s="94">
        <f>SUMIFS('caseload data'!N:N,'caseload data'!$D:$D,"SPO",'caseload data'!$A:$A,"East of England")</f>
        <v>0</v>
      </c>
      <c r="N15" s="94">
        <f>SUMIFS('caseload data'!O:O,'caseload data'!$D:$D,"SPO",'caseload data'!$A:$A,"East of England")</f>
        <v>0</v>
      </c>
      <c r="O15" s="94">
        <f>SUMIFS('caseload data'!P:P,'caseload data'!$D:$D,"SPO",'caseload data'!$A:$A,"East of England")</f>
        <v>0</v>
      </c>
      <c r="P15" s="94">
        <f>SUMIFS('caseload data'!Q:Q,'caseload data'!$D:$D,"SPO",'caseload data'!$A:$A,"East of England")</f>
        <v>0</v>
      </c>
      <c r="Q15" s="94">
        <f>SUMIFS('caseload data'!R:R,'caseload data'!$D:$D,"SPO",'caseload data'!$A:$A,"East of England")</f>
        <v>0</v>
      </c>
      <c r="R15" s="94">
        <f>SUMIFS('caseload data'!S:S,'caseload data'!$D:$D,"SPO",'caseload data'!$A:$A,"East of England")</f>
        <v>0</v>
      </c>
      <c r="S15" s="94">
        <f>SUMIFS('caseload data'!T:T,'caseload data'!$D:$D,"SPO",'caseload data'!$A:$A,"East of England")</f>
        <v>0</v>
      </c>
      <c r="T15" s="94">
        <f>SUMIFS('caseload data'!V:V,'caseload data'!$D:$D,"SPO",'caseload data'!$A:$A,"East of England")</f>
        <v>0</v>
      </c>
      <c r="U15" s="64"/>
      <c r="V15" s="64"/>
      <c r="W15" s="472"/>
      <c r="X15" s="129" t="s">
        <v>1009</v>
      </c>
      <c r="Y15" s="167" t="e">
        <f t="shared" si="10"/>
        <v>#DIV/0!</v>
      </c>
      <c r="Z15" s="167" t="e">
        <f t="shared" si="3"/>
        <v>#DIV/0!</v>
      </c>
      <c r="AA15" s="167" t="e">
        <f t="shared" si="3"/>
        <v>#DIV/0!</v>
      </c>
      <c r="AB15" s="167" t="e">
        <f t="shared" si="3"/>
        <v>#DIV/0!</v>
      </c>
      <c r="AC15" s="167" t="e">
        <f t="shared" si="3"/>
        <v>#DIV/0!</v>
      </c>
      <c r="AD15" s="167" t="e">
        <f t="shared" si="11"/>
        <v>#DIV/0!</v>
      </c>
      <c r="AE15" s="167" t="e">
        <f t="shared" si="4"/>
        <v>#DIV/0!</v>
      </c>
      <c r="AF15" s="167" t="e">
        <f t="shared" si="5"/>
        <v>#DIV/0!</v>
      </c>
      <c r="AG15" s="167" t="e">
        <f t="shared" si="6"/>
        <v>#DIV/0!</v>
      </c>
      <c r="AH15" s="167" t="e">
        <f t="shared" si="12"/>
        <v>#DIV/0!</v>
      </c>
      <c r="AI15" s="167" t="e">
        <f t="shared" si="13"/>
        <v>#DIV/0!</v>
      </c>
      <c r="AJ15" s="167" t="e">
        <f t="shared" si="7"/>
        <v>#DIV/0!</v>
      </c>
      <c r="AK15" s="167" t="e">
        <f t="shared" si="8"/>
        <v>#DIV/0!</v>
      </c>
      <c r="AL15" s="167" t="e">
        <f t="shared" si="9"/>
        <v>#DIV/0!</v>
      </c>
      <c r="AM15" s="167" t="e">
        <f t="shared" si="14"/>
        <v>#DIV/0!</v>
      </c>
      <c r="AN15" s="167" t="e">
        <f t="shared" si="15"/>
        <v>#DIV/0!</v>
      </c>
      <c r="AO15" s="167" t="e">
        <f t="shared" si="15"/>
        <v>#DIV/0!</v>
      </c>
    </row>
    <row r="16" spans="1:41" x14ac:dyDescent="0.15">
      <c r="B16" s="479"/>
      <c r="C16" s="130" t="s">
        <v>1344</v>
      </c>
      <c r="D16" s="370">
        <f>SUMIFS('caseload data'!E:E,'caseload data'!$D:$D,"DMY",'caseload data'!$A:$A,"East of England")</f>
        <v>0</v>
      </c>
      <c r="E16" s="94">
        <f>SUMIFS('caseload data'!F:F,'caseload data'!$D:$D,"DMY",'caseload data'!$A:$A,"East of England")</f>
        <v>0</v>
      </c>
      <c r="F16" s="94">
        <f>SUMIFS('caseload data'!G:G,'caseload data'!$D:$D,"DMY",'caseload data'!$A:$A,"East of England")</f>
        <v>0</v>
      </c>
      <c r="G16" s="94">
        <f>SUMIFS('caseload data'!H:H,'caseload data'!$D:$D,"DMY",'caseload data'!$A:$A,"East of England")</f>
        <v>0</v>
      </c>
      <c r="H16" s="94">
        <f>SUMIFS('caseload data'!I:I,'caseload data'!$D:$D,"DMY",'caseload data'!$A:$A,"East of England")</f>
        <v>0</v>
      </c>
      <c r="I16" s="94">
        <f>SUMIFS('caseload data'!J:J,'caseload data'!$D:$D,"DMY",'caseload data'!$A:$A,"East of England")</f>
        <v>0</v>
      </c>
      <c r="J16" s="94">
        <f>SUMIFS('caseload data'!K:K,'caseload data'!$D:$D,"DMY",'caseload data'!$A:$A,"East of England")</f>
        <v>0</v>
      </c>
      <c r="K16" s="94">
        <f>SUMIFS('caseload data'!L:L,'caseload data'!$D:$D,"DMY",'caseload data'!$A:$A,"East of England")</f>
        <v>0</v>
      </c>
      <c r="L16" s="94">
        <f>SUMIFS('caseload data'!M:M,'caseload data'!$D:$D,"DMY",'caseload data'!$A:$A,"East of England")</f>
        <v>0</v>
      </c>
      <c r="M16" s="94">
        <f>SUMIFS('caseload data'!N:N,'caseload data'!$D:$D,"DMY",'caseload data'!$A:$A,"East of England")</f>
        <v>0</v>
      </c>
      <c r="N16" s="94">
        <f>SUMIFS('caseload data'!O:O,'caseload data'!$D:$D,"DMY",'caseload data'!$A:$A,"East of England")</f>
        <v>0</v>
      </c>
      <c r="O16" s="94">
        <f>SUMIFS('caseload data'!P:P,'caseload data'!$D:$D,"DMY",'caseload data'!$A:$A,"East of England")</f>
        <v>0</v>
      </c>
      <c r="P16" s="94">
        <f>SUMIFS('caseload data'!Q:Q,'caseload data'!$D:$D,"DMY",'caseload data'!$A:$A,"East of England")</f>
        <v>0</v>
      </c>
      <c r="Q16" s="94">
        <f>SUMIFS('caseload data'!R:R,'caseload data'!$D:$D,"DMY",'caseload data'!$A:$A,"East of England")</f>
        <v>0</v>
      </c>
      <c r="R16" s="94">
        <f>SUMIFS('caseload data'!S:S,'caseload data'!$D:$D,"DMY",'caseload data'!$A:$A,"East of England")</f>
        <v>0</v>
      </c>
      <c r="S16" s="94">
        <f>SUMIFS('caseload data'!T:T,'caseload data'!$D:$D,"DMY",'caseload data'!$A:$A,"East of England")</f>
        <v>0</v>
      </c>
      <c r="T16" s="94">
        <f>SUMIFS('caseload data'!V:V,'caseload data'!$D:$D,"DMY",'caseload data'!$A:$A,"East of England")</f>
        <v>0</v>
      </c>
      <c r="U16" s="64"/>
      <c r="V16" s="64"/>
      <c r="W16" s="473"/>
      <c r="X16" s="130" t="s">
        <v>1344</v>
      </c>
      <c r="Y16" s="167" t="e">
        <f t="shared" si="10"/>
        <v>#DIV/0!</v>
      </c>
      <c r="Z16" s="167" t="e">
        <f t="shared" si="3"/>
        <v>#DIV/0!</v>
      </c>
      <c r="AA16" s="167" t="e">
        <f t="shared" si="3"/>
        <v>#DIV/0!</v>
      </c>
      <c r="AB16" s="167" t="e">
        <f t="shared" si="3"/>
        <v>#DIV/0!</v>
      </c>
      <c r="AC16" s="167" t="e">
        <f t="shared" si="3"/>
        <v>#DIV/0!</v>
      </c>
      <c r="AD16" s="167" t="e">
        <f t="shared" si="11"/>
        <v>#DIV/0!</v>
      </c>
      <c r="AE16" s="167" t="e">
        <f t="shared" si="4"/>
        <v>#DIV/0!</v>
      </c>
      <c r="AF16" s="167" t="e">
        <f t="shared" si="5"/>
        <v>#DIV/0!</v>
      </c>
      <c r="AG16" s="167" t="e">
        <f t="shared" si="6"/>
        <v>#DIV/0!</v>
      </c>
      <c r="AH16" s="167" t="e">
        <f t="shared" si="12"/>
        <v>#DIV/0!</v>
      </c>
      <c r="AI16" s="167" t="e">
        <f t="shared" si="13"/>
        <v>#DIV/0!</v>
      </c>
      <c r="AJ16" s="167" t="e">
        <f t="shared" si="7"/>
        <v>#DIV/0!</v>
      </c>
      <c r="AK16" s="167" t="e">
        <f t="shared" si="8"/>
        <v>#DIV/0!</v>
      </c>
      <c r="AL16" s="167" t="e">
        <f t="shared" si="9"/>
        <v>#DIV/0!</v>
      </c>
      <c r="AM16" s="167" t="e">
        <f t="shared" si="14"/>
        <v>#DIV/0!</v>
      </c>
      <c r="AN16" s="167" t="e">
        <f t="shared" si="15"/>
        <v>#DIV/0!</v>
      </c>
      <c r="AO16" s="167" t="e">
        <f t="shared" si="15"/>
        <v>#DIV/0!</v>
      </c>
    </row>
    <row r="17" spans="2:41" x14ac:dyDescent="0.15">
      <c r="B17" s="477" t="s">
        <v>19</v>
      </c>
      <c r="C17" s="128" t="s">
        <v>1002</v>
      </c>
      <c r="D17" s="370">
        <f>SUMIFS('caseload data'!E:E,'caseload data'!$D:$D,"PO",'caseload data'!$A:$A,'national caseload'!$B$17:$B$19)</f>
        <v>0</v>
      </c>
      <c r="E17" s="94">
        <f>SUMIFS('caseload data'!F:F,'caseload data'!$D:$D,"PO",'caseload data'!$A:$A,'national caseload'!$B$17:$B$19)</f>
        <v>0</v>
      </c>
      <c r="F17" s="94">
        <f>SUMIFS('caseload data'!G:G,'caseload data'!$D:$D,"PO",'caseload data'!$A:$A,'national caseload'!$B$17:$B$19)</f>
        <v>0</v>
      </c>
      <c r="G17" s="94">
        <f>SUMIFS('caseload data'!H:H,'caseload data'!$D:$D,"PO",'caseload data'!$A:$A,'national caseload'!$B$17:$B$19)</f>
        <v>0</v>
      </c>
      <c r="H17" s="94">
        <f>SUMIFS('caseload data'!I:I,'caseload data'!$D:$D,"PO",'caseload data'!$A:$A,'national caseload'!$B$17:$B$19)</f>
        <v>0</v>
      </c>
      <c r="I17" s="94">
        <f>SUMIFS('caseload data'!J:J,'caseload data'!$D:$D,"PO",'caseload data'!$A:$A,'national caseload'!$B$17:$B$19)</f>
        <v>0</v>
      </c>
      <c r="J17" s="94">
        <f>SUMIFS('caseload data'!K:K,'caseload data'!$D:$D,"PO",'caseload data'!$A:$A,'national caseload'!$B$17:$B$19)</f>
        <v>0</v>
      </c>
      <c r="K17" s="94">
        <f>SUMIFS('caseload data'!L:L,'caseload data'!$D:$D,"PO",'caseload data'!$A:$A,'national caseload'!$B$17:$B$19)</f>
        <v>0</v>
      </c>
      <c r="L17" s="94">
        <f>SUMIFS('caseload data'!M:M,'caseload data'!$D:$D,"PO",'caseload data'!$A:$A,'national caseload'!$B$17:$B$19)</f>
        <v>0</v>
      </c>
      <c r="M17" s="94">
        <f>SUMIFS('caseload data'!N:N,'caseload data'!$D:$D,"PO",'caseload data'!$A:$A,'national caseload'!$B$17:$B$19)</f>
        <v>0</v>
      </c>
      <c r="N17" s="94">
        <f>SUMIFS('caseload data'!O:O,'caseload data'!$D:$D,"PO",'caseload data'!$A:$A,'national caseload'!$B$17:$B$19)</f>
        <v>0</v>
      </c>
      <c r="O17" s="94">
        <f>SUMIFS('caseload data'!P:P,'caseload data'!$D:$D,"PO",'caseload data'!$A:$A,'national caseload'!$B$17:$B$19)</f>
        <v>0</v>
      </c>
      <c r="P17" s="94">
        <f>SUMIFS('caseload data'!Q:Q,'caseload data'!$D:$D,"PO",'caseload data'!$A:$A,'national caseload'!$B$17:$B$19)</f>
        <v>0</v>
      </c>
      <c r="Q17" s="94">
        <f>SUMIFS('caseload data'!R:R,'caseload data'!$D:$D,"PO",'caseload data'!$A:$A,'national caseload'!$B$17:$B$19)</f>
        <v>0</v>
      </c>
      <c r="R17" s="94">
        <f>SUMIFS('caseload data'!S:S,'caseload data'!$D:$D,"PO",'caseload data'!$A:$A,'national caseload'!$B$17:$B$19)</f>
        <v>0</v>
      </c>
      <c r="S17" s="94">
        <f>SUMIFS('caseload data'!T:T,'caseload data'!$D:$D,"PO",'caseload data'!$A:$A,'national caseload'!$B$17:$B$19)</f>
        <v>0</v>
      </c>
      <c r="T17" s="94">
        <f>SUMIFS('caseload data'!V:V,'caseload data'!$D:$D,"PO",'caseload data'!$A:$A,'national caseload'!B17:B19)</f>
        <v>0</v>
      </c>
      <c r="U17" s="64"/>
      <c r="V17" s="64"/>
      <c r="W17" s="471" t="s">
        <v>19</v>
      </c>
      <c r="X17" s="128" t="s">
        <v>1002</v>
      </c>
      <c r="Y17" s="167" t="e">
        <f>SUM(D17)/SUM(D$17:D$21)</f>
        <v>#DIV/0!</v>
      </c>
      <c r="Z17" s="167" t="e">
        <f>SUM(E17)/SUM(E$17:E$21)</f>
        <v>#DIV/0!</v>
      </c>
      <c r="AA17" s="167" t="e">
        <f t="shared" ref="AA17:AO21" si="16">SUM(F17)/SUM(F$17:F$21)</f>
        <v>#DIV/0!</v>
      </c>
      <c r="AB17" s="167" t="e">
        <f t="shared" si="16"/>
        <v>#DIV/0!</v>
      </c>
      <c r="AC17" s="167" t="e">
        <f t="shared" si="16"/>
        <v>#DIV/0!</v>
      </c>
      <c r="AD17" s="167" t="e">
        <f t="shared" si="16"/>
        <v>#DIV/0!</v>
      </c>
      <c r="AE17" s="167" t="e">
        <f t="shared" si="16"/>
        <v>#DIV/0!</v>
      </c>
      <c r="AF17" s="167" t="e">
        <f t="shared" si="16"/>
        <v>#DIV/0!</v>
      </c>
      <c r="AG17" s="167" t="e">
        <f t="shared" si="16"/>
        <v>#DIV/0!</v>
      </c>
      <c r="AH17" s="167" t="e">
        <f t="shared" si="16"/>
        <v>#DIV/0!</v>
      </c>
      <c r="AI17" s="167" t="e">
        <f t="shared" si="16"/>
        <v>#DIV/0!</v>
      </c>
      <c r="AJ17" s="167" t="e">
        <f t="shared" si="16"/>
        <v>#DIV/0!</v>
      </c>
      <c r="AK17" s="167" t="e">
        <f t="shared" si="16"/>
        <v>#DIV/0!</v>
      </c>
      <c r="AL17" s="167" t="e">
        <f t="shared" si="16"/>
        <v>#DIV/0!</v>
      </c>
      <c r="AM17" s="167" t="e">
        <f t="shared" si="16"/>
        <v>#DIV/0!</v>
      </c>
      <c r="AN17" s="167" t="e">
        <f t="shared" si="16"/>
        <v>#DIV/0!</v>
      </c>
      <c r="AO17" s="167" t="e">
        <f t="shared" si="16"/>
        <v>#DIV/0!</v>
      </c>
    </row>
    <row r="18" spans="2:41" x14ac:dyDescent="0.15">
      <c r="B18" s="478"/>
      <c r="C18" s="129" t="s">
        <v>1007</v>
      </c>
      <c r="D18" s="370">
        <f>SUMIFS('caseload data'!E:E,'caseload data'!$D:$D,"PSO",'caseload data'!$A:$A,"Greater Manchester")</f>
        <v>0</v>
      </c>
      <c r="E18" s="94">
        <f>SUMIFS('caseload data'!F:F,'caseload data'!$D:$D,"PSO",'caseload data'!$A:$A,"Greater Manchester")</f>
        <v>0</v>
      </c>
      <c r="F18" s="94">
        <f>SUMIFS('caseload data'!G:G,'caseload data'!$D:$D,"PSO",'caseload data'!$A:$A,"Greater Manchester")</f>
        <v>0</v>
      </c>
      <c r="G18" s="94">
        <f>SUMIFS('caseload data'!H:H,'caseload data'!$D:$D,"PSO",'caseload data'!$A:$A,"Greater Manchester")</f>
        <v>0</v>
      </c>
      <c r="H18" s="94">
        <f>SUMIFS('caseload data'!I:I,'caseload data'!$D:$D,"PSO",'caseload data'!$A:$A,"Greater Manchester")</f>
        <v>0</v>
      </c>
      <c r="I18" s="94">
        <f>SUMIFS('caseload data'!J:J,'caseload data'!$D:$D,"PSO",'caseload data'!$A:$A,"Greater Manchester")</f>
        <v>0</v>
      </c>
      <c r="J18" s="94">
        <f>SUMIFS('caseload data'!K:K,'caseload data'!$D:$D,"PSO",'caseload data'!$A:$A,"Greater Manchester")</f>
        <v>0</v>
      </c>
      <c r="K18" s="94">
        <f>SUMIFS('caseload data'!L:L,'caseload data'!$D:$D,"PSO",'caseload data'!$A:$A,"Greater Manchester")</f>
        <v>0</v>
      </c>
      <c r="L18" s="94">
        <f>SUMIFS('caseload data'!M:M,'caseload data'!$D:$D,"PSO",'caseload data'!$A:$A,"Greater Manchester")</f>
        <v>0</v>
      </c>
      <c r="M18" s="94">
        <f>SUMIFS('caseload data'!N:N,'caseload data'!$D:$D,"PSO",'caseload data'!$A:$A,"Greater Manchester")</f>
        <v>0</v>
      </c>
      <c r="N18" s="94">
        <f>SUMIFS('caseload data'!O:O,'caseload data'!$D:$D,"PSO",'caseload data'!$A:$A,"Greater Manchester")</f>
        <v>0</v>
      </c>
      <c r="O18" s="94">
        <f>SUMIFS('caseload data'!P:P,'caseload data'!$D:$D,"PSO",'caseload data'!$A:$A,"Greater Manchester")</f>
        <v>0</v>
      </c>
      <c r="P18" s="94">
        <f>SUMIFS('caseload data'!Q:Q,'caseload data'!$D:$D,"PSO",'caseload data'!$A:$A,"Greater Manchester")</f>
        <v>0</v>
      </c>
      <c r="Q18" s="94">
        <f>SUMIFS('caseload data'!R:R,'caseload data'!$D:$D,"PSO",'caseload data'!$A:$A,"Greater Manchester")</f>
        <v>0</v>
      </c>
      <c r="R18" s="94">
        <f>SUMIFS('caseload data'!S:S,'caseload data'!$D:$D,"PSO",'caseload data'!$A:$A,"Greater Manchester")</f>
        <v>0</v>
      </c>
      <c r="S18" s="94">
        <f>SUMIFS('caseload data'!T:T,'caseload data'!$D:$D,"PSO",'caseload data'!$A:$A,"Greater Manchester")</f>
        <v>0</v>
      </c>
      <c r="T18" s="94">
        <f>SUMIFS('caseload data'!V:V,'caseload data'!$D:$D,"PSO",'caseload data'!$A:$A,"Greater Manchester")</f>
        <v>0</v>
      </c>
      <c r="U18" s="64"/>
      <c r="V18" s="64"/>
      <c r="W18" s="472"/>
      <c r="X18" s="129" t="s">
        <v>1007</v>
      </c>
      <c r="Y18" s="167" t="e">
        <f t="shared" ref="Y18:Z21" si="17">SUM(D18)/SUM(D$17:D$21)</f>
        <v>#DIV/0!</v>
      </c>
      <c r="Z18" s="167" t="e">
        <f t="shared" si="17"/>
        <v>#DIV/0!</v>
      </c>
      <c r="AA18" s="167" t="e">
        <f t="shared" si="16"/>
        <v>#DIV/0!</v>
      </c>
      <c r="AB18" s="167" t="e">
        <f t="shared" si="16"/>
        <v>#DIV/0!</v>
      </c>
      <c r="AC18" s="167" t="e">
        <f t="shared" si="16"/>
        <v>#DIV/0!</v>
      </c>
      <c r="AD18" s="167" t="e">
        <f t="shared" si="16"/>
        <v>#DIV/0!</v>
      </c>
      <c r="AE18" s="167" t="e">
        <f t="shared" si="16"/>
        <v>#DIV/0!</v>
      </c>
      <c r="AF18" s="167" t="e">
        <f t="shared" si="16"/>
        <v>#DIV/0!</v>
      </c>
      <c r="AG18" s="167" t="e">
        <f t="shared" si="16"/>
        <v>#DIV/0!</v>
      </c>
      <c r="AH18" s="167" t="e">
        <f t="shared" si="16"/>
        <v>#DIV/0!</v>
      </c>
      <c r="AI18" s="167" t="e">
        <f t="shared" si="16"/>
        <v>#DIV/0!</v>
      </c>
      <c r="AJ18" s="167" t="e">
        <f t="shared" si="16"/>
        <v>#DIV/0!</v>
      </c>
      <c r="AK18" s="167" t="e">
        <f t="shared" si="16"/>
        <v>#DIV/0!</v>
      </c>
      <c r="AL18" s="167" t="e">
        <f t="shared" si="16"/>
        <v>#DIV/0!</v>
      </c>
      <c r="AM18" s="167" t="e">
        <f t="shared" si="16"/>
        <v>#DIV/0!</v>
      </c>
      <c r="AN18" s="167" t="e">
        <f t="shared" si="16"/>
        <v>#DIV/0!</v>
      </c>
      <c r="AO18" s="167" t="e">
        <f t="shared" si="16"/>
        <v>#DIV/0!</v>
      </c>
    </row>
    <row r="19" spans="2:41" x14ac:dyDescent="0.15">
      <c r="B19" s="478"/>
      <c r="C19" s="129" t="s">
        <v>1008</v>
      </c>
      <c r="D19" s="370">
        <f>SUMIFS('caseload data'!E:E,'caseload data'!$D:$D,"TPO",'caseload data'!$A:$A,"Greater Manchester")</f>
        <v>0</v>
      </c>
      <c r="E19" s="94">
        <f>SUMIFS('caseload data'!F:F,'caseload data'!$D:$D,"TPO",'caseload data'!$A:$A,"Greater Manchester")</f>
        <v>0</v>
      </c>
      <c r="F19" s="94">
        <f>SUMIFS('caseload data'!G:G,'caseload data'!$D:$D,"TPO",'caseload data'!$A:$A,"Greater Manchester")</f>
        <v>0</v>
      </c>
      <c r="G19" s="94">
        <f>SUMIFS('caseload data'!H:H,'caseload data'!$D:$D,"TPO",'caseload data'!$A:$A,"Greater Manchester")</f>
        <v>0</v>
      </c>
      <c r="H19" s="94">
        <f>SUMIFS('caseload data'!I:I,'caseload data'!$D:$D,"TPO",'caseload data'!$A:$A,"Greater Manchester")</f>
        <v>0</v>
      </c>
      <c r="I19" s="94">
        <f>SUMIFS('caseload data'!J:J,'caseload data'!$D:$D,"TPO",'caseload data'!$A:$A,"Greater Manchester")</f>
        <v>0</v>
      </c>
      <c r="J19" s="94">
        <f>SUMIFS('caseload data'!K:K,'caseload data'!$D:$D,"TPO",'caseload data'!$A:$A,"Greater Manchester")</f>
        <v>0</v>
      </c>
      <c r="K19" s="94">
        <f>SUMIFS('caseload data'!L:L,'caseload data'!$D:$D,"TPO",'caseload data'!$A:$A,"Greater Manchester")</f>
        <v>0</v>
      </c>
      <c r="L19" s="94">
        <f>SUMIFS('caseload data'!M:M,'caseload data'!$D:$D,"TPO",'caseload data'!$A:$A,"Greater Manchester")</f>
        <v>0</v>
      </c>
      <c r="M19" s="94">
        <f>SUMIFS('caseload data'!N:N,'caseload data'!$D:$D,"TPO",'caseload data'!$A:$A,"Greater Manchester")</f>
        <v>0</v>
      </c>
      <c r="N19" s="94">
        <f>SUMIFS('caseload data'!O:O,'caseload data'!$D:$D,"TPO",'caseload data'!$A:$A,"Greater Manchester")</f>
        <v>0</v>
      </c>
      <c r="O19" s="94">
        <f>SUMIFS('caseload data'!P:P,'caseload data'!$D:$D,"TPO",'caseload data'!$A:$A,"Greater Manchester")</f>
        <v>0</v>
      </c>
      <c r="P19" s="94">
        <f>SUMIFS('caseload data'!Q:Q,'caseload data'!$D:$D,"TPO",'caseload data'!$A:$A,"Greater Manchester")</f>
        <v>0</v>
      </c>
      <c r="Q19" s="94">
        <f>SUMIFS('caseload data'!R:R,'caseload data'!$D:$D,"TPO",'caseload data'!$A:$A,"Greater Manchester")</f>
        <v>0</v>
      </c>
      <c r="R19" s="94">
        <f>SUMIFS('caseload data'!S:S,'caseload data'!$D:$D,"TPO",'caseload data'!$A:$A,"Greater Manchester")</f>
        <v>0</v>
      </c>
      <c r="S19" s="94">
        <f>SUMIFS('caseload data'!T:T,'caseload data'!$D:$D,"TPO",'caseload data'!$A:$A,"Greater Manchester")</f>
        <v>0</v>
      </c>
      <c r="T19" s="94">
        <f>SUMIFS('caseload data'!V:V,'caseload data'!$D:$D,"TPO",'caseload data'!$A:$A,"Greater Manchester")</f>
        <v>0</v>
      </c>
      <c r="U19" s="64"/>
      <c r="V19" s="64"/>
      <c r="W19" s="472"/>
      <c r="X19" s="129" t="s">
        <v>1008</v>
      </c>
      <c r="Y19" s="167" t="e">
        <f t="shared" si="17"/>
        <v>#DIV/0!</v>
      </c>
      <c r="Z19" s="167" t="e">
        <f t="shared" si="17"/>
        <v>#DIV/0!</v>
      </c>
      <c r="AA19" s="167" t="e">
        <f t="shared" si="16"/>
        <v>#DIV/0!</v>
      </c>
      <c r="AB19" s="167" t="e">
        <f t="shared" si="16"/>
        <v>#DIV/0!</v>
      </c>
      <c r="AC19" s="167" t="e">
        <f t="shared" si="16"/>
        <v>#DIV/0!</v>
      </c>
      <c r="AD19" s="167" t="e">
        <f t="shared" si="16"/>
        <v>#DIV/0!</v>
      </c>
      <c r="AE19" s="167" t="e">
        <f t="shared" si="16"/>
        <v>#DIV/0!</v>
      </c>
      <c r="AF19" s="167" t="e">
        <f t="shared" si="16"/>
        <v>#DIV/0!</v>
      </c>
      <c r="AG19" s="167" t="e">
        <f t="shared" si="16"/>
        <v>#DIV/0!</v>
      </c>
      <c r="AH19" s="167" t="e">
        <f t="shared" si="16"/>
        <v>#DIV/0!</v>
      </c>
      <c r="AI19" s="167" t="e">
        <f t="shared" si="16"/>
        <v>#DIV/0!</v>
      </c>
      <c r="AJ19" s="167" t="e">
        <f t="shared" si="16"/>
        <v>#DIV/0!</v>
      </c>
      <c r="AK19" s="167" t="e">
        <f t="shared" si="16"/>
        <v>#DIV/0!</v>
      </c>
      <c r="AL19" s="167" t="e">
        <f t="shared" si="16"/>
        <v>#DIV/0!</v>
      </c>
      <c r="AM19" s="167" t="e">
        <f t="shared" si="16"/>
        <v>#DIV/0!</v>
      </c>
      <c r="AN19" s="167" t="e">
        <f t="shared" si="16"/>
        <v>#DIV/0!</v>
      </c>
      <c r="AO19" s="167" t="e">
        <f t="shared" si="16"/>
        <v>#DIV/0!</v>
      </c>
    </row>
    <row r="20" spans="2:41" x14ac:dyDescent="0.15">
      <c r="B20" s="478"/>
      <c r="C20" s="129" t="s">
        <v>1009</v>
      </c>
      <c r="D20" s="370">
        <f>SUMIFS('caseload data'!E:E,'caseload data'!$D:$D,"SPO",'caseload data'!$A:$A,"Greater Manchester")</f>
        <v>0</v>
      </c>
      <c r="E20" s="94">
        <f>SUMIFS('caseload data'!F:F,'caseload data'!$D:$D,"SPO",'caseload data'!$A:$A,"Greater Manchester")</f>
        <v>0</v>
      </c>
      <c r="F20" s="94">
        <f>SUMIFS('caseload data'!G:G,'caseload data'!$D:$D,"SPO",'caseload data'!$A:$A,"Greater Manchester")</f>
        <v>0</v>
      </c>
      <c r="G20" s="94">
        <f>SUMIFS('caseload data'!H:H,'caseload data'!$D:$D,"SPO",'caseload data'!$A:$A,"Greater Manchester")</f>
        <v>0</v>
      </c>
      <c r="H20" s="94">
        <f>SUMIFS('caseload data'!I:I,'caseload data'!$D:$D,"SPO",'caseload data'!$A:$A,"Greater Manchester")</f>
        <v>0</v>
      </c>
      <c r="I20" s="94">
        <f>SUMIFS('caseload data'!J:J,'caseload data'!$D:$D,"SPO",'caseload data'!$A:$A,"Greater Manchester")</f>
        <v>0</v>
      </c>
      <c r="J20" s="94">
        <f>SUMIFS('caseload data'!K:K,'caseload data'!$D:$D,"SPO",'caseload data'!$A:$A,"Greater Manchester")</f>
        <v>0</v>
      </c>
      <c r="K20" s="94">
        <f>SUMIFS('caseload data'!L:L,'caseload data'!$D:$D,"SPO",'caseload data'!$A:$A,"Greater Manchester")</f>
        <v>0</v>
      </c>
      <c r="L20" s="94">
        <f>SUMIFS('caseload data'!M:M,'caseload data'!$D:$D,"SPO",'caseload data'!$A:$A,"Greater Manchester")</f>
        <v>0</v>
      </c>
      <c r="M20" s="94">
        <f>SUMIFS('caseload data'!N:N,'caseload data'!$D:$D,"SPO",'caseload data'!$A:$A,"Greater Manchester")</f>
        <v>0</v>
      </c>
      <c r="N20" s="94">
        <f>SUMIFS('caseload data'!O:O,'caseload data'!$D:$D,"SPO",'caseload data'!$A:$A,"Greater Manchester")</f>
        <v>0</v>
      </c>
      <c r="O20" s="94">
        <f>SUMIFS('caseload data'!P:P,'caseload data'!$D:$D,"SPO",'caseload data'!$A:$A,"Greater Manchester")</f>
        <v>0</v>
      </c>
      <c r="P20" s="94">
        <f>SUMIFS('caseload data'!Q:Q,'caseload data'!$D:$D,"SPO",'caseload data'!$A:$A,"Greater Manchester")</f>
        <v>0</v>
      </c>
      <c r="Q20" s="94">
        <f>SUMIFS('caseload data'!R:R,'caseload data'!$D:$D,"SPO",'caseload data'!$A:$A,"Greater Manchester")</f>
        <v>0</v>
      </c>
      <c r="R20" s="94">
        <f>SUMIFS('caseload data'!S:S,'caseload data'!$D:$D,"SPO",'caseload data'!$A:$A,"Greater Manchester")</f>
        <v>0</v>
      </c>
      <c r="S20" s="94">
        <f>SUMIFS('caseload data'!T:T,'caseload data'!$D:$D,"SPO",'caseload data'!$A:$A,"Greater Manchester")</f>
        <v>0</v>
      </c>
      <c r="T20" s="94">
        <f>SUMIFS('caseload data'!V:V,'caseload data'!$D:$D,"SPO",'caseload data'!$A:$A,"Greater Manchester")</f>
        <v>0</v>
      </c>
      <c r="U20" s="64"/>
      <c r="V20" s="64"/>
      <c r="W20" s="472"/>
      <c r="X20" s="129" t="s">
        <v>1009</v>
      </c>
      <c r="Y20" s="167" t="e">
        <f t="shared" si="17"/>
        <v>#DIV/0!</v>
      </c>
      <c r="Z20" s="167" t="e">
        <f t="shared" si="17"/>
        <v>#DIV/0!</v>
      </c>
      <c r="AA20" s="167" t="e">
        <f t="shared" si="16"/>
        <v>#DIV/0!</v>
      </c>
      <c r="AB20" s="167" t="e">
        <f t="shared" si="16"/>
        <v>#DIV/0!</v>
      </c>
      <c r="AC20" s="167" t="e">
        <f t="shared" si="16"/>
        <v>#DIV/0!</v>
      </c>
      <c r="AD20" s="167" t="e">
        <f t="shared" si="16"/>
        <v>#DIV/0!</v>
      </c>
      <c r="AE20" s="167" t="e">
        <f t="shared" si="16"/>
        <v>#DIV/0!</v>
      </c>
      <c r="AF20" s="167" t="e">
        <f t="shared" si="16"/>
        <v>#DIV/0!</v>
      </c>
      <c r="AG20" s="167" t="e">
        <f t="shared" si="16"/>
        <v>#DIV/0!</v>
      </c>
      <c r="AH20" s="167" t="e">
        <f t="shared" si="16"/>
        <v>#DIV/0!</v>
      </c>
      <c r="AI20" s="167" t="e">
        <f t="shared" si="16"/>
        <v>#DIV/0!</v>
      </c>
      <c r="AJ20" s="167" t="e">
        <f t="shared" si="16"/>
        <v>#DIV/0!</v>
      </c>
      <c r="AK20" s="167" t="e">
        <f t="shared" si="16"/>
        <v>#DIV/0!</v>
      </c>
      <c r="AL20" s="167" t="e">
        <f t="shared" si="16"/>
        <v>#DIV/0!</v>
      </c>
      <c r="AM20" s="167" t="e">
        <f t="shared" si="16"/>
        <v>#DIV/0!</v>
      </c>
      <c r="AN20" s="167" t="e">
        <f t="shared" si="16"/>
        <v>#DIV/0!</v>
      </c>
      <c r="AO20" s="167" t="e">
        <f t="shared" si="16"/>
        <v>#DIV/0!</v>
      </c>
    </row>
    <row r="21" spans="2:41" x14ac:dyDescent="0.15">
      <c r="B21" s="479"/>
      <c r="C21" s="130" t="s">
        <v>1344</v>
      </c>
      <c r="D21" s="370">
        <f>SUMIFS('caseload data'!E:E,'caseload data'!$D:$D,"DMY",'caseload data'!$A:$A,"Greater Manchester")</f>
        <v>0</v>
      </c>
      <c r="E21" s="370">
        <f>SUMIFS('caseload data'!F:F,'caseload data'!$D:$D,"DMY",'caseload data'!$A:$A,"Greater Manchester")</f>
        <v>0</v>
      </c>
      <c r="F21" s="370">
        <f>SUMIFS('caseload data'!G:G,'caseload data'!$D:$D,"DMY",'caseload data'!$A:$A,"Greater Manchester")</f>
        <v>0</v>
      </c>
      <c r="G21" s="370">
        <f>SUMIFS('caseload data'!H:H,'caseload data'!$D:$D,"DMY",'caseload data'!$A:$A,"Greater Manchester")</f>
        <v>0</v>
      </c>
      <c r="H21" s="370">
        <f>SUMIFS('caseload data'!I:I,'caseload data'!$D:$D,"DMY",'caseload data'!$A:$A,"Greater Manchester")</f>
        <v>0</v>
      </c>
      <c r="I21" s="370">
        <f>SUMIFS('caseload data'!J:J,'caseload data'!$D:$D,"DMY",'caseload data'!$A:$A,"Greater Manchester")</f>
        <v>0</v>
      </c>
      <c r="J21" s="370">
        <f>SUMIFS('caseload data'!K:K,'caseload data'!$D:$D,"DMY",'caseload data'!$A:$A,"Greater Manchester")</f>
        <v>0</v>
      </c>
      <c r="K21" s="370">
        <f>SUMIFS('caseload data'!L:L,'caseload data'!$D:$D,"DMY",'caseload data'!$A:$A,"Greater Manchester")</f>
        <v>0</v>
      </c>
      <c r="L21" s="370">
        <f>SUMIFS('caseload data'!M:M,'caseload data'!$D:$D,"DMY",'caseload data'!$A:$A,"Greater Manchester")</f>
        <v>0</v>
      </c>
      <c r="M21" s="370">
        <f>SUMIFS('caseload data'!N:N,'caseload data'!$D:$D,"DMY",'caseload data'!$A:$A,"Greater Manchester")</f>
        <v>0</v>
      </c>
      <c r="N21" s="370">
        <f>SUMIFS('caseload data'!O:O,'caseload data'!$D:$D,"DMY",'caseload data'!$A:$A,"Greater Manchester")</f>
        <v>0</v>
      </c>
      <c r="O21" s="370">
        <f>SUMIFS('caseload data'!P:P,'caseload data'!$D:$D,"DMY",'caseload data'!$A:$A,"Greater Manchester")</f>
        <v>0</v>
      </c>
      <c r="P21" s="370">
        <f>SUMIFS('caseload data'!Q:Q,'caseload data'!$D:$D,"DMY",'caseload data'!$A:$A,"Greater Manchester")</f>
        <v>0</v>
      </c>
      <c r="Q21" s="370">
        <f>SUMIFS('caseload data'!R:R,'caseload data'!$D:$D,"DMY",'caseload data'!$A:$A,"Greater Manchester")</f>
        <v>0</v>
      </c>
      <c r="R21" s="370">
        <f>SUMIFS('caseload data'!S:S,'caseload data'!$D:$D,"DMY",'caseload data'!$A:$A,"Greater Manchester")</f>
        <v>0</v>
      </c>
      <c r="S21" s="370">
        <f>SUMIFS('caseload data'!T:T,'caseload data'!$D:$D,"DMY",'caseload data'!$A:$A,"Greater Manchester")</f>
        <v>0</v>
      </c>
      <c r="T21" s="94">
        <f>SUMIFS('caseload data'!V:V,'caseload data'!$D:$D,"DMY",'caseload data'!$A:$A,"Greater Manchester")</f>
        <v>0</v>
      </c>
      <c r="U21" s="64"/>
      <c r="V21" s="64"/>
      <c r="W21" s="473"/>
      <c r="X21" s="130" t="s">
        <v>1344</v>
      </c>
      <c r="Y21" s="167" t="e">
        <f t="shared" si="17"/>
        <v>#DIV/0!</v>
      </c>
      <c r="Z21" s="167" t="e">
        <f t="shared" si="17"/>
        <v>#DIV/0!</v>
      </c>
      <c r="AA21" s="167" t="e">
        <f t="shared" si="16"/>
        <v>#DIV/0!</v>
      </c>
      <c r="AB21" s="167" t="e">
        <f t="shared" si="16"/>
        <v>#DIV/0!</v>
      </c>
      <c r="AC21" s="167" t="e">
        <f t="shared" si="16"/>
        <v>#DIV/0!</v>
      </c>
      <c r="AD21" s="167" t="e">
        <f t="shared" si="16"/>
        <v>#DIV/0!</v>
      </c>
      <c r="AE21" s="167" t="e">
        <f t="shared" si="16"/>
        <v>#DIV/0!</v>
      </c>
      <c r="AF21" s="167" t="e">
        <f t="shared" si="16"/>
        <v>#DIV/0!</v>
      </c>
      <c r="AG21" s="167" t="e">
        <f t="shared" si="16"/>
        <v>#DIV/0!</v>
      </c>
      <c r="AH21" s="167" t="e">
        <f t="shared" si="16"/>
        <v>#DIV/0!</v>
      </c>
      <c r="AI21" s="167" t="e">
        <f t="shared" si="16"/>
        <v>#DIV/0!</v>
      </c>
      <c r="AJ21" s="167" t="e">
        <f t="shared" si="16"/>
        <v>#DIV/0!</v>
      </c>
      <c r="AK21" s="167" t="e">
        <f t="shared" si="16"/>
        <v>#DIV/0!</v>
      </c>
      <c r="AL21" s="167" t="e">
        <f t="shared" si="16"/>
        <v>#DIV/0!</v>
      </c>
      <c r="AM21" s="167" t="e">
        <f t="shared" si="16"/>
        <v>#DIV/0!</v>
      </c>
      <c r="AN21" s="167" t="e">
        <f t="shared" si="16"/>
        <v>#DIV/0!</v>
      </c>
      <c r="AO21" s="167" t="e">
        <f t="shared" si="16"/>
        <v>#DIV/0!</v>
      </c>
    </row>
    <row r="22" spans="2:41" x14ac:dyDescent="0.15">
      <c r="B22" s="477" t="s">
        <v>20</v>
      </c>
      <c r="C22" s="128" t="s">
        <v>1002</v>
      </c>
      <c r="D22" s="370">
        <f>SUMIFS('caseload data'!E:E,'caseload data'!$D:$D,"PO",'caseload data'!$A:$A,'national caseload'!$B$22:$B$24)</f>
        <v>0</v>
      </c>
      <c r="E22" s="94">
        <f>SUMIFS('caseload data'!F:F,'caseload data'!$D:$D,"PO",'caseload data'!$A:$A,'national caseload'!$B$22:$B$24)</f>
        <v>0</v>
      </c>
      <c r="F22" s="94">
        <f>SUMIFS('caseload data'!G:G,'caseload data'!$D:$D,"PO",'caseload data'!$A:$A,'national caseload'!$B$22:$B$24)</f>
        <v>0</v>
      </c>
      <c r="G22" s="94">
        <f>SUMIFS('caseload data'!H:H,'caseload data'!$D:$D,"PO",'caseload data'!$A:$A,'national caseload'!$B$22:$B$24)</f>
        <v>0</v>
      </c>
      <c r="H22" s="94">
        <f>SUMIFS('caseload data'!I:I,'caseload data'!$D:$D,"PO",'caseload data'!$A:$A,'national caseload'!$B$22:$B$24)</f>
        <v>0</v>
      </c>
      <c r="I22" s="94">
        <f>SUMIFS('caseload data'!J:J,'caseload data'!$D:$D,"PO",'caseload data'!$A:$A,'national caseload'!$B$22:$B$24)</f>
        <v>0</v>
      </c>
      <c r="J22" s="94">
        <f>SUMIFS('caseload data'!K:K,'caseload data'!$D:$D,"PO",'caseload data'!$A:$A,'national caseload'!$B$22:$B$24)</f>
        <v>0</v>
      </c>
      <c r="K22" s="94">
        <f>SUMIFS('caseload data'!L:L,'caseload data'!$D:$D,"PO",'caseload data'!$A:$A,'national caseload'!$B$22:$B$24)</f>
        <v>0</v>
      </c>
      <c r="L22" s="94">
        <f>SUMIFS('caseload data'!M:M,'caseload data'!$D:$D,"PO",'caseload data'!$A:$A,'national caseload'!$B$22:$B$24)</f>
        <v>0</v>
      </c>
      <c r="M22" s="94">
        <f>SUMIFS('caseload data'!N:N,'caseload data'!$D:$D,"PO",'caseload data'!$A:$A,'national caseload'!$B$22:$B$24)</f>
        <v>0</v>
      </c>
      <c r="N22" s="94">
        <f>SUMIFS('caseload data'!O:O,'caseload data'!$D:$D,"PO",'caseload data'!$A:$A,'national caseload'!$B$22:$B$24)</f>
        <v>0</v>
      </c>
      <c r="O22" s="94">
        <f>SUMIFS('caseload data'!P:P,'caseload data'!$D:$D,"PO",'caseload data'!$A:$A,'national caseload'!$B$22:$B$24)</f>
        <v>0</v>
      </c>
      <c r="P22" s="94">
        <f>SUMIFS('caseload data'!Q:Q,'caseload data'!$D:$D,"PO",'caseload data'!$A:$A,'national caseload'!$B$22:$B$24)</f>
        <v>0</v>
      </c>
      <c r="Q22" s="94">
        <f>SUMIFS('caseload data'!R:R,'caseload data'!$D:$D,"PO",'caseload data'!$A:$A,'national caseload'!$B$22:$B$24)</f>
        <v>0</v>
      </c>
      <c r="R22" s="94">
        <f>SUMIFS('caseload data'!S:S,'caseload data'!$D:$D,"PO",'caseload data'!$A:$A,'national caseload'!$B$22:$B$24)</f>
        <v>0</v>
      </c>
      <c r="S22" s="94">
        <f>SUMIFS('caseload data'!T:T,'caseload data'!$D:$D,"PO",'caseload data'!$A:$A,'national caseload'!$B$22:$B$24)</f>
        <v>0</v>
      </c>
      <c r="T22" s="94">
        <f>SUMIFS('caseload data'!V:V,'caseload data'!$D:$D,"PO",'caseload data'!$A:$A,'national caseload'!B22:B24)</f>
        <v>0</v>
      </c>
      <c r="U22" s="64"/>
      <c r="V22" s="64"/>
      <c r="W22" s="471" t="s">
        <v>20</v>
      </c>
      <c r="X22" s="128" t="s">
        <v>1002</v>
      </c>
      <c r="Y22" s="167" t="e">
        <f>SUM(D22)/SUM(D$22:D$26)</f>
        <v>#DIV/0!</v>
      </c>
      <c r="Z22" s="167" t="e">
        <f t="shared" ref="Z22:AG26" si="18">SUM(E22)/SUM(E$22:E$26)</f>
        <v>#DIV/0!</v>
      </c>
      <c r="AA22" s="167" t="e">
        <f t="shared" si="18"/>
        <v>#DIV/0!</v>
      </c>
      <c r="AB22" s="167" t="e">
        <f t="shared" si="18"/>
        <v>#DIV/0!</v>
      </c>
      <c r="AC22" s="167" t="e">
        <f t="shared" si="18"/>
        <v>#DIV/0!</v>
      </c>
      <c r="AD22" s="167" t="e">
        <f t="shared" si="18"/>
        <v>#DIV/0!</v>
      </c>
      <c r="AE22" s="167" t="e">
        <f t="shared" si="18"/>
        <v>#DIV/0!</v>
      </c>
      <c r="AF22" s="167" t="e">
        <f t="shared" si="18"/>
        <v>#DIV/0!</v>
      </c>
      <c r="AG22" s="167" t="e">
        <f t="shared" si="18"/>
        <v>#DIV/0!</v>
      </c>
      <c r="AH22" s="167" t="e">
        <f>SUM(M22)/SUM(M$22:M$26)</f>
        <v>#DIV/0!</v>
      </c>
      <c r="AI22" s="167" t="e">
        <f t="shared" ref="AI22:AI26" si="19">SUM(N22)/SUM(N$22:N$26)</f>
        <v>#DIV/0!</v>
      </c>
      <c r="AJ22" s="167" t="e">
        <f t="shared" ref="AJ22:AJ26" si="20">SUM(O22)/SUM(O$22:O$26)</f>
        <v>#DIV/0!</v>
      </c>
      <c r="AK22" s="167" t="e">
        <f t="shared" ref="AK22:AK26" si="21">SUM(P22)/SUM(P$22:P$26)</f>
        <v>#DIV/0!</v>
      </c>
      <c r="AL22" s="167" t="e">
        <f t="shared" ref="AL22:AL26" si="22">SUM(Q22)/SUM(Q$22:Q$26)</f>
        <v>#DIV/0!</v>
      </c>
      <c r="AM22" s="167" t="e">
        <f t="shared" ref="AM22:AM26" si="23">SUM(R22)/SUM(R$22:R$26)</f>
        <v>#DIV/0!</v>
      </c>
      <c r="AN22" s="167" t="e">
        <f t="shared" ref="AN22:AO26" si="24">SUM(S22)/SUM(S$22:S$26)</f>
        <v>#DIV/0!</v>
      </c>
      <c r="AO22" s="167" t="e">
        <f t="shared" si="24"/>
        <v>#DIV/0!</v>
      </c>
    </row>
    <row r="23" spans="2:41" x14ac:dyDescent="0.15">
      <c r="B23" s="478"/>
      <c r="C23" s="129" t="s">
        <v>1007</v>
      </c>
      <c r="D23" s="370">
        <f>SUMIFS('caseload data'!E:E,'caseload data'!$D:$D,"PSO",'caseload data'!$A:$A,"Kent Surrey Sussex Region")</f>
        <v>0</v>
      </c>
      <c r="E23" s="94">
        <f>SUMIFS('caseload data'!F:F,'caseload data'!$D:$D,"PSO",'caseload data'!$A:$A,"Kent Surrey Sussex Region")</f>
        <v>0</v>
      </c>
      <c r="F23" s="94">
        <f>SUMIFS('caseload data'!G:G,'caseload data'!$D:$D,"PSO",'caseload data'!$A:$A,"Kent Surrey Sussex Region")</f>
        <v>0</v>
      </c>
      <c r="G23" s="94">
        <f>SUMIFS('caseload data'!H:H,'caseload data'!$D:$D,"PSO",'caseload data'!$A:$A,"Kent Surrey Sussex Region")</f>
        <v>0</v>
      </c>
      <c r="H23" s="94">
        <f>SUMIFS('caseload data'!I:I,'caseload data'!$D:$D,"PSO",'caseload data'!$A:$A,"Kent Surrey Sussex Region")</f>
        <v>0</v>
      </c>
      <c r="I23" s="94">
        <f>SUMIFS('caseload data'!J:J,'caseload data'!$D:$D,"PSO",'caseload data'!$A:$A,"Kent Surrey Sussex Region")</f>
        <v>0</v>
      </c>
      <c r="J23" s="94">
        <f>SUMIFS('caseload data'!K:K,'caseload data'!$D:$D,"PSO",'caseload data'!$A:$A,"Kent Surrey Sussex Region")</f>
        <v>0</v>
      </c>
      <c r="K23" s="94">
        <f>SUMIFS('caseload data'!L:L,'caseload data'!$D:$D,"PSO",'caseload data'!$A:$A,"Kent Surrey Sussex Region")</f>
        <v>0</v>
      </c>
      <c r="L23" s="94">
        <f>SUMIFS('caseload data'!M:M,'caseload data'!$D:$D,"PSO",'caseload data'!$A:$A,"Kent Surrey Sussex Region")</f>
        <v>0</v>
      </c>
      <c r="M23" s="94">
        <f>SUMIFS('caseload data'!N:N,'caseload data'!$D:$D,"PSO",'caseload data'!$A:$A,"Kent Surrey Sussex Region")</f>
        <v>0</v>
      </c>
      <c r="N23" s="94">
        <f>SUMIFS('caseload data'!O:O,'caseload data'!$D:$D,"PSO",'caseload data'!$A:$A,"Kent Surrey Sussex Region")</f>
        <v>0</v>
      </c>
      <c r="O23" s="94">
        <f>SUMIFS('caseload data'!P:P,'caseload data'!$D:$D,"PSO",'caseload data'!$A:$A,"Kent Surrey Sussex Region")</f>
        <v>0</v>
      </c>
      <c r="P23" s="94">
        <f>SUMIFS('caseload data'!Q:Q,'caseload data'!$D:$D,"PSO",'caseload data'!$A:$A,"Kent Surrey Sussex Region")</f>
        <v>0</v>
      </c>
      <c r="Q23" s="94">
        <f>SUMIFS('caseload data'!R:R,'caseload data'!$D:$D,"PSO",'caseload data'!$A:$A,"Kent Surrey Sussex Region")</f>
        <v>0</v>
      </c>
      <c r="R23" s="94">
        <f>SUMIFS('caseload data'!S:S,'caseload data'!$D:$D,"PSO",'caseload data'!$A:$A,"Kent Surrey Sussex Region")</f>
        <v>0</v>
      </c>
      <c r="S23" s="94">
        <f>SUMIFS('caseload data'!T:T,'caseload data'!$D:$D,"PSO",'caseload data'!$A:$A,"Kent Surrey Sussex Region")</f>
        <v>0</v>
      </c>
      <c r="T23" s="94">
        <f>SUMIFS('caseload data'!V:V,'caseload data'!$D:$D,"PSO",'caseload data'!$A:$A,"Kent Surrey Sussex Region")</f>
        <v>0</v>
      </c>
      <c r="U23" s="64"/>
      <c r="V23" s="64"/>
      <c r="W23" s="472"/>
      <c r="X23" s="129" t="s">
        <v>1007</v>
      </c>
      <c r="Y23" s="167" t="e">
        <f t="shared" ref="Y23:Y26" si="25">SUM(D23)/SUM(D$22:D$26)</f>
        <v>#DIV/0!</v>
      </c>
      <c r="Z23" s="167" t="e">
        <f t="shared" si="18"/>
        <v>#DIV/0!</v>
      </c>
      <c r="AA23" s="167" t="e">
        <f t="shared" si="18"/>
        <v>#DIV/0!</v>
      </c>
      <c r="AB23" s="167" t="e">
        <f t="shared" si="18"/>
        <v>#DIV/0!</v>
      </c>
      <c r="AC23" s="167" t="e">
        <f t="shared" si="18"/>
        <v>#DIV/0!</v>
      </c>
      <c r="AD23" s="167" t="e">
        <f t="shared" si="18"/>
        <v>#DIV/0!</v>
      </c>
      <c r="AE23" s="167" t="e">
        <f t="shared" si="18"/>
        <v>#DIV/0!</v>
      </c>
      <c r="AF23" s="167" t="e">
        <f t="shared" si="18"/>
        <v>#DIV/0!</v>
      </c>
      <c r="AG23" s="167" t="e">
        <f t="shared" si="18"/>
        <v>#DIV/0!</v>
      </c>
      <c r="AH23" s="167" t="e">
        <f t="shared" ref="AH23:AH26" si="26">SUM(M23)/SUM(M$22:M$26)</f>
        <v>#DIV/0!</v>
      </c>
      <c r="AI23" s="167" t="e">
        <f t="shared" si="19"/>
        <v>#DIV/0!</v>
      </c>
      <c r="AJ23" s="167" t="e">
        <f t="shared" si="20"/>
        <v>#DIV/0!</v>
      </c>
      <c r="AK23" s="167" t="e">
        <f t="shared" si="21"/>
        <v>#DIV/0!</v>
      </c>
      <c r="AL23" s="167" t="e">
        <f t="shared" si="22"/>
        <v>#DIV/0!</v>
      </c>
      <c r="AM23" s="167" t="e">
        <f t="shared" si="23"/>
        <v>#DIV/0!</v>
      </c>
      <c r="AN23" s="167" t="e">
        <f t="shared" si="24"/>
        <v>#DIV/0!</v>
      </c>
      <c r="AO23" s="167" t="e">
        <f t="shared" si="24"/>
        <v>#DIV/0!</v>
      </c>
    </row>
    <row r="24" spans="2:41" x14ac:dyDescent="0.15">
      <c r="B24" s="478"/>
      <c r="C24" s="129" t="s">
        <v>1008</v>
      </c>
      <c r="D24" s="370">
        <f>SUMIFS('caseload data'!E:E,'caseload data'!$D:$D,"TPO",'caseload data'!$A:$A,"Kent Surrey Sussex Region")</f>
        <v>0</v>
      </c>
      <c r="E24" s="94">
        <f>SUMIFS('caseload data'!F:F,'caseload data'!$D:$D,"TPO",'caseload data'!$A:$A,"Kent Surrey Sussex Region")</f>
        <v>0</v>
      </c>
      <c r="F24" s="94">
        <f>SUMIFS('caseload data'!G:G,'caseload data'!$D:$D,"TPO",'caseload data'!$A:$A,"Kent Surrey Sussex Region")</f>
        <v>0</v>
      </c>
      <c r="G24" s="94">
        <f>SUMIFS('caseload data'!H:H,'caseload data'!$D:$D,"TPO",'caseload data'!$A:$A,"Kent Surrey Sussex Region")</f>
        <v>0</v>
      </c>
      <c r="H24" s="94">
        <f>SUMIFS('caseload data'!I:I,'caseload data'!$D:$D,"TPO",'caseload data'!$A:$A,"Kent Surrey Sussex Region")</f>
        <v>0</v>
      </c>
      <c r="I24" s="94">
        <f>SUMIFS('caseload data'!J:J,'caseload data'!$D:$D,"TPO",'caseload data'!$A:$A,"Kent Surrey Sussex Region")</f>
        <v>0</v>
      </c>
      <c r="J24" s="94">
        <f>SUMIFS('caseload data'!K:K,'caseload data'!$D:$D,"TPO",'caseload data'!$A:$A,"Kent Surrey Sussex Region")</f>
        <v>0</v>
      </c>
      <c r="K24" s="94">
        <f>SUMIFS('caseload data'!L:L,'caseload data'!$D:$D,"TPO",'caseload data'!$A:$A,"Kent Surrey Sussex Region")</f>
        <v>0</v>
      </c>
      <c r="L24" s="94">
        <f>SUMIFS('caseload data'!M:M,'caseload data'!$D:$D,"TPO",'caseload data'!$A:$A,"Kent Surrey Sussex Region")</f>
        <v>0</v>
      </c>
      <c r="M24" s="94">
        <f>SUMIFS('caseload data'!N:N,'caseload data'!$D:$D,"TPO",'caseload data'!$A:$A,"Kent Surrey Sussex Region")</f>
        <v>0</v>
      </c>
      <c r="N24" s="94">
        <f>SUMIFS('caseload data'!O:O,'caseload data'!$D:$D,"TPO",'caseload data'!$A:$A,"Kent Surrey Sussex Region")</f>
        <v>0</v>
      </c>
      <c r="O24" s="94">
        <f>SUMIFS('caseload data'!P:P,'caseload data'!$D:$D,"TPO",'caseload data'!$A:$A,"Kent Surrey Sussex Region")</f>
        <v>0</v>
      </c>
      <c r="P24" s="94">
        <f>SUMIFS('caseload data'!Q:Q,'caseload data'!$D:$D,"TPO",'caseload data'!$A:$A,"Kent Surrey Sussex Region")</f>
        <v>0</v>
      </c>
      <c r="Q24" s="94">
        <f>SUMIFS('caseload data'!R:R,'caseload data'!$D:$D,"TPO",'caseload data'!$A:$A,"Kent Surrey Sussex Region")</f>
        <v>0</v>
      </c>
      <c r="R24" s="94">
        <f>SUMIFS('caseload data'!S:S,'caseload data'!$D:$D,"TPO",'caseload data'!$A:$A,"Kent Surrey Sussex Region")</f>
        <v>0</v>
      </c>
      <c r="S24" s="94">
        <f>SUMIFS('caseload data'!T:T,'caseload data'!$D:$D,"TPO",'caseload data'!$A:$A,"Kent Surrey Sussex Region")</f>
        <v>0</v>
      </c>
      <c r="T24" s="94">
        <f>SUMIFS('caseload data'!V:V,'caseload data'!$D:$D,"TPO",'caseload data'!$A:$A,"Kent Surrey Sussex Region")</f>
        <v>0</v>
      </c>
      <c r="U24" s="64"/>
      <c r="V24" s="64"/>
      <c r="W24" s="472"/>
      <c r="X24" s="129" t="s">
        <v>1008</v>
      </c>
      <c r="Y24" s="167" t="e">
        <f t="shared" si="25"/>
        <v>#DIV/0!</v>
      </c>
      <c r="Z24" s="167" t="e">
        <f t="shared" si="18"/>
        <v>#DIV/0!</v>
      </c>
      <c r="AA24" s="167" t="e">
        <f t="shared" si="18"/>
        <v>#DIV/0!</v>
      </c>
      <c r="AB24" s="167" t="e">
        <f t="shared" si="18"/>
        <v>#DIV/0!</v>
      </c>
      <c r="AC24" s="167" t="e">
        <f t="shared" si="18"/>
        <v>#DIV/0!</v>
      </c>
      <c r="AD24" s="167" t="e">
        <f t="shared" si="18"/>
        <v>#DIV/0!</v>
      </c>
      <c r="AE24" s="167" t="e">
        <f t="shared" si="18"/>
        <v>#DIV/0!</v>
      </c>
      <c r="AF24" s="167" t="e">
        <f t="shared" si="18"/>
        <v>#DIV/0!</v>
      </c>
      <c r="AG24" s="167" t="e">
        <f t="shared" si="18"/>
        <v>#DIV/0!</v>
      </c>
      <c r="AH24" s="167" t="e">
        <f t="shared" si="26"/>
        <v>#DIV/0!</v>
      </c>
      <c r="AI24" s="167" t="e">
        <f t="shared" si="19"/>
        <v>#DIV/0!</v>
      </c>
      <c r="AJ24" s="167" t="e">
        <f t="shared" si="20"/>
        <v>#DIV/0!</v>
      </c>
      <c r="AK24" s="167" t="e">
        <f t="shared" si="21"/>
        <v>#DIV/0!</v>
      </c>
      <c r="AL24" s="167" t="e">
        <f t="shared" si="22"/>
        <v>#DIV/0!</v>
      </c>
      <c r="AM24" s="167" t="e">
        <f t="shared" si="23"/>
        <v>#DIV/0!</v>
      </c>
      <c r="AN24" s="167" t="e">
        <f t="shared" si="24"/>
        <v>#DIV/0!</v>
      </c>
      <c r="AO24" s="167" t="e">
        <f t="shared" si="24"/>
        <v>#DIV/0!</v>
      </c>
    </row>
    <row r="25" spans="2:41" x14ac:dyDescent="0.15">
      <c r="B25" s="478"/>
      <c r="C25" s="129" t="s">
        <v>1009</v>
      </c>
      <c r="D25" s="370">
        <f>SUMIFS('caseload data'!E:E,'caseload data'!$D:$D,"SPO",'caseload data'!$A:$A,"Kent Surrey Sussex Region")</f>
        <v>0</v>
      </c>
      <c r="E25" s="94">
        <f>SUMIFS('caseload data'!F:F,'caseload data'!$D:$D,"SPO",'caseload data'!$A:$A,"Kent Surrey Sussex Region")</f>
        <v>0</v>
      </c>
      <c r="F25" s="94">
        <f>SUMIFS('caseload data'!G:G,'caseload data'!$D:$D,"SPO",'caseload data'!$A:$A,"Kent Surrey Sussex Region")</f>
        <v>0</v>
      </c>
      <c r="G25" s="94">
        <f>SUMIFS('caseload data'!H:H,'caseload data'!$D:$D,"SPO",'caseload data'!$A:$A,"Kent Surrey Sussex Region")</f>
        <v>0</v>
      </c>
      <c r="H25" s="94">
        <f>SUMIFS('caseload data'!I:I,'caseload data'!$D:$D,"SPO",'caseload data'!$A:$A,"Kent Surrey Sussex Region")</f>
        <v>0</v>
      </c>
      <c r="I25" s="94">
        <f>SUMIFS('caseload data'!J:J,'caseload data'!$D:$D,"SPO",'caseload data'!$A:$A,"Kent Surrey Sussex Region")</f>
        <v>0</v>
      </c>
      <c r="J25" s="94">
        <f>SUMIFS('caseload data'!K:K,'caseload data'!$D:$D,"SPO",'caseload data'!$A:$A,"Kent Surrey Sussex Region")</f>
        <v>0</v>
      </c>
      <c r="K25" s="94">
        <f>SUMIFS('caseload data'!L:L,'caseload data'!$D:$D,"SPO",'caseload data'!$A:$A,"Kent Surrey Sussex Region")</f>
        <v>0</v>
      </c>
      <c r="L25" s="94">
        <f>SUMIFS('caseload data'!M:M,'caseload data'!$D:$D,"SPO",'caseload data'!$A:$A,"Kent Surrey Sussex Region")</f>
        <v>0</v>
      </c>
      <c r="M25" s="94">
        <f>SUMIFS('caseload data'!N:N,'caseload data'!$D:$D,"SPO",'caseload data'!$A:$A,"Kent Surrey Sussex Region")</f>
        <v>0</v>
      </c>
      <c r="N25" s="94">
        <f>SUMIFS('caseload data'!O:O,'caseload data'!$D:$D,"SPO",'caseload data'!$A:$A,"Kent Surrey Sussex Region")</f>
        <v>0</v>
      </c>
      <c r="O25" s="94">
        <f>SUMIFS('caseload data'!P:P,'caseload data'!$D:$D,"SPO",'caseload data'!$A:$A,"Kent Surrey Sussex Region")</f>
        <v>0</v>
      </c>
      <c r="P25" s="94">
        <f>SUMIFS('caseload data'!Q:Q,'caseload data'!$D:$D,"SPO",'caseload data'!$A:$A,"Kent Surrey Sussex Region")</f>
        <v>0</v>
      </c>
      <c r="Q25" s="94">
        <f>SUMIFS('caseload data'!R:R,'caseload data'!$D:$D,"SPO",'caseload data'!$A:$A,"Kent Surrey Sussex Region")</f>
        <v>0</v>
      </c>
      <c r="R25" s="94">
        <f>SUMIFS('caseload data'!S:S,'caseload data'!$D:$D,"SPO",'caseload data'!$A:$A,"Kent Surrey Sussex Region")</f>
        <v>0</v>
      </c>
      <c r="S25" s="94">
        <f>SUMIFS('caseload data'!T:T,'caseload data'!$D:$D,"SPO",'caseload data'!$A:$A,"Kent Surrey Sussex Region")</f>
        <v>0</v>
      </c>
      <c r="T25" s="94">
        <f>SUMIFS('caseload data'!V:V,'caseload data'!$D:$D,"SPO",'caseload data'!$A:$A,"Kent Surrey Sussex Region")</f>
        <v>0</v>
      </c>
      <c r="U25" s="64"/>
      <c r="V25" s="64"/>
      <c r="W25" s="472"/>
      <c r="X25" s="129" t="s">
        <v>1009</v>
      </c>
      <c r="Y25" s="167" t="e">
        <f t="shared" si="25"/>
        <v>#DIV/0!</v>
      </c>
      <c r="Z25" s="167" t="e">
        <f t="shared" si="18"/>
        <v>#DIV/0!</v>
      </c>
      <c r="AA25" s="167" t="e">
        <f t="shared" si="18"/>
        <v>#DIV/0!</v>
      </c>
      <c r="AB25" s="167" t="e">
        <f t="shared" si="18"/>
        <v>#DIV/0!</v>
      </c>
      <c r="AC25" s="167" t="e">
        <f t="shared" si="18"/>
        <v>#DIV/0!</v>
      </c>
      <c r="AD25" s="167" t="e">
        <f t="shared" si="18"/>
        <v>#DIV/0!</v>
      </c>
      <c r="AE25" s="167" t="e">
        <f t="shared" si="18"/>
        <v>#DIV/0!</v>
      </c>
      <c r="AF25" s="167" t="e">
        <f t="shared" si="18"/>
        <v>#DIV/0!</v>
      </c>
      <c r="AG25" s="167" t="e">
        <f t="shared" si="18"/>
        <v>#DIV/0!</v>
      </c>
      <c r="AH25" s="167" t="e">
        <f t="shared" si="26"/>
        <v>#DIV/0!</v>
      </c>
      <c r="AI25" s="167" t="e">
        <f t="shared" si="19"/>
        <v>#DIV/0!</v>
      </c>
      <c r="AJ25" s="167" t="e">
        <f t="shared" si="20"/>
        <v>#DIV/0!</v>
      </c>
      <c r="AK25" s="167" t="e">
        <f t="shared" si="21"/>
        <v>#DIV/0!</v>
      </c>
      <c r="AL25" s="167" t="e">
        <f t="shared" si="22"/>
        <v>#DIV/0!</v>
      </c>
      <c r="AM25" s="167" t="e">
        <f t="shared" si="23"/>
        <v>#DIV/0!</v>
      </c>
      <c r="AN25" s="167" t="e">
        <f t="shared" si="24"/>
        <v>#DIV/0!</v>
      </c>
      <c r="AO25" s="167" t="e">
        <f t="shared" si="24"/>
        <v>#DIV/0!</v>
      </c>
    </row>
    <row r="26" spans="2:41" x14ac:dyDescent="0.15">
      <c r="B26" s="479"/>
      <c r="C26" s="130" t="s">
        <v>1344</v>
      </c>
      <c r="D26" s="370">
        <f>SUMIFS('caseload data'!E:E,'caseload data'!$D:$D,"DMY",'caseload data'!$A:$A,"Kent Surrey Sussex Region")</f>
        <v>0</v>
      </c>
      <c r="E26" s="370">
        <f>SUMIFS('caseload data'!F:F,'caseload data'!$D:$D,"DMY",'caseload data'!$A:$A,"Kent Surrey Sussex Region")</f>
        <v>0</v>
      </c>
      <c r="F26" s="370">
        <f>SUMIFS('caseload data'!G:G,'caseload data'!$D:$D,"DMY",'caseload data'!$A:$A,"Kent Surrey Sussex Region")</f>
        <v>0</v>
      </c>
      <c r="G26" s="370">
        <f>SUMIFS('caseload data'!H:H,'caseload data'!$D:$D,"DMY",'caseload data'!$A:$A,"Kent Surrey Sussex Region")</f>
        <v>0</v>
      </c>
      <c r="H26" s="370">
        <f>SUMIFS('caseload data'!I:I,'caseload data'!$D:$D,"DMY",'caseload data'!$A:$A,"Kent Surrey Sussex Region")</f>
        <v>0</v>
      </c>
      <c r="I26" s="370">
        <f>SUMIFS('caseload data'!J:J,'caseload data'!$D:$D,"DMY",'caseload data'!$A:$A,"Kent Surrey Sussex Region")</f>
        <v>0</v>
      </c>
      <c r="J26" s="370">
        <f>SUMIFS('caseload data'!K:K,'caseload data'!$D:$D,"DMY",'caseload data'!$A:$A,"Kent Surrey Sussex Region")</f>
        <v>0</v>
      </c>
      <c r="K26" s="370">
        <f>SUMIFS('caseload data'!L:L,'caseload data'!$D:$D,"DMY",'caseload data'!$A:$A,"Kent Surrey Sussex Region")</f>
        <v>0</v>
      </c>
      <c r="L26" s="370">
        <f>SUMIFS('caseload data'!M:M,'caseload data'!$D:$D,"DMY",'caseload data'!$A:$A,"Kent Surrey Sussex Region")</f>
        <v>0</v>
      </c>
      <c r="M26" s="370">
        <f>SUMIFS('caseload data'!N:N,'caseload data'!$D:$D,"DMY",'caseload data'!$A:$A,"Kent Surrey Sussex Region")</f>
        <v>0</v>
      </c>
      <c r="N26" s="370">
        <f>SUMIFS('caseload data'!O:O,'caseload data'!$D:$D,"DMY",'caseload data'!$A:$A,"Kent Surrey Sussex Region")</f>
        <v>0</v>
      </c>
      <c r="O26" s="370">
        <f>SUMIFS('caseload data'!P:P,'caseload data'!$D:$D,"DMY",'caseload data'!$A:$A,"Kent Surrey Sussex Region")</f>
        <v>0</v>
      </c>
      <c r="P26" s="370">
        <f>SUMIFS('caseload data'!Q:Q,'caseload data'!$D:$D,"DMY",'caseload data'!$A:$A,"Kent Surrey Sussex Region")</f>
        <v>0</v>
      </c>
      <c r="Q26" s="370">
        <f>SUMIFS('caseload data'!R:R,'caseload data'!$D:$D,"DMY",'caseload data'!$A:$A,"Kent Surrey Sussex Region")</f>
        <v>0</v>
      </c>
      <c r="R26" s="370">
        <f>SUMIFS('caseload data'!S:S,'caseload data'!$D:$D,"DMY",'caseload data'!$A:$A,"Kent Surrey Sussex Region")</f>
        <v>0</v>
      </c>
      <c r="S26" s="370">
        <f>SUMIFS('caseload data'!T:T,'caseload data'!$D:$D,"DMY",'caseload data'!$A:$A,"Kent Surrey Sussex Region")</f>
        <v>0</v>
      </c>
      <c r="T26" s="94">
        <f>SUMIFS('caseload data'!V:V,'caseload data'!$D:$D,"DMY",'caseload data'!$A:$A,"Kent Surrey Sussex Region")</f>
        <v>0</v>
      </c>
      <c r="U26" s="64"/>
      <c r="V26" s="64"/>
      <c r="W26" s="473"/>
      <c r="X26" s="130" t="s">
        <v>1344</v>
      </c>
      <c r="Y26" s="167" t="e">
        <f t="shared" si="25"/>
        <v>#DIV/0!</v>
      </c>
      <c r="Z26" s="167" t="e">
        <f t="shared" si="18"/>
        <v>#DIV/0!</v>
      </c>
      <c r="AA26" s="167" t="e">
        <f t="shared" si="18"/>
        <v>#DIV/0!</v>
      </c>
      <c r="AB26" s="167" t="e">
        <f t="shared" si="18"/>
        <v>#DIV/0!</v>
      </c>
      <c r="AC26" s="167" t="e">
        <f t="shared" si="18"/>
        <v>#DIV/0!</v>
      </c>
      <c r="AD26" s="167" t="e">
        <f t="shared" si="18"/>
        <v>#DIV/0!</v>
      </c>
      <c r="AE26" s="167" t="e">
        <f t="shared" si="18"/>
        <v>#DIV/0!</v>
      </c>
      <c r="AF26" s="167" t="e">
        <f t="shared" si="18"/>
        <v>#DIV/0!</v>
      </c>
      <c r="AG26" s="167" t="e">
        <f t="shared" si="18"/>
        <v>#DIV/0!</v>
      </c>
      <c r="AH26" s="167" t="e">
        <f t="shared" si="26"/>
        <v>#DIV/0!</v>
      </c>
      <c r="AI26" s="167" t="e">
        <f t="shared" si="19"/>
        <v>#DIV/0!</v>
      </c>
      <c r="AJ26" s="167" t="e">
        <f t="shared" si="20"/>
        <v>#DIV/0!</v>
      </c>
      <c r="AK26" s="167" t="e">
        <f t="shared" si="21"/>
        <v>#DIV/0!</v>
      </c>
      <c r="AL26" s="167" t="e">
        <f t="shared" si="22"/>
        <v>#DIV/0!</v>
      </c>
      <c r="AM26" s="167" t="e">
        <f t="shared" si="23"/>
        <v>#DIV/0!</v>
      </c>
      <c r="AN26" s="167" t="e">
        <f t="shared" si="24"/>
        <v>#DIV/0!</v>
      </c>
      <c r="AO26" s="167" t="e">
        <f t="shared" si="24"/>
        <v>#DIV/0!</v>
      </c>
    </row>
    <row r="27" spans="2:41" x14ac:dyDescent="0.15">
      <c r="B27" s="477" t="s">
        <v>21</v>
      </c>
      <c r="C27" s="128" t="s">
        <v>1002</v>
      </c>
      <c r="D27" s="370">
        <f>SUMIFS('caseload data'!E:E,'caseload data'!$D:$D,"PO",'caseload data'!$A:$A,'national caseload'!$B$27:$B$29)</f>
        <v>0</v>
      </c>
      <c r="E27" s="94">
        <f>SUMIFS('caseload data'!F:F,'caseload data'!$D:$D,"PO",'caseload data'!$A:$A,'national caseload'!$B$27:$B$29)</f>
        <v>0</v>
      </c>
      <c r="F27" s="94">
        <f>SUMIFS('caseload data'!G:G,'caseload data'!$D:$D,"PO",'caseload data'!$A:$A,'national caseload'!$B$27:$B$29)</f>
        <v>0</v>
      </c>
      <c r="G27" s="94">
        <f>SUMIFS('caseload data'!H:H,'caseload data'!$D:$D,"PO",'caseload data'!$A:$A,'national caseload'!$B$27:$B$29)</f>
        <v>0</v>
      </c>
      <c r="H27" s="94">
        <f>SUMIFS('caseload data'!I:I,'caseload data'!$D:$D,"PO",'caseload data'!$A:$A,'national caseload'!$B$27:$B$29)</f>
        <v>0</v>
      </c>
      <c r="I27" s="94">
        <f>SUMIFS('caseload data'!J:J,'caseload data'!$D:$D,"PO",'caseload data'!$A:$A,'national caseload'!$B$27:$B$29)</f>
        <v>0</v>
      </c>
      <c r="J27" s="94">
        <f>SUMIFS('caseload data'!K:K,'caseload data'!$D:$D,"PO",'caseload data'!$A:$A,'national caseload'!$B$27:$B$29)</f>
        <v>0</v>
      </c>
      <c r="K27" s="94">
        <f>SUMIFS('caseload data'!L:L,'caseload data'!$D:$D,"PO",'caseload data'!$A:$A,'national caseload'!$B$27:$B$29)</f>
        <v>0</v>
      </c>
      <c r="L27" s="94">
        <f>SUMIFS('caseload data'!M:M,'caseload data'!$D:$D,"PO",'caseload data'!$A:$A,'national caseload'!$B$27:$B$29)</f>
        <v>0</v>
      </c>
      <c r="M27" s="94">
        <f>SUMIFS('caseload data'!N:N,'caseload data'!$D:$D,"PO",'caseload data'!$A:$A,'national caseload'!$B$27:$B$29)</f>
        <v>0</v>
      </c>
      <c r="N27" s="94">
        <f>SUMIFS('caseload data'!O:O,'caseload data'!$D:$D,"PO",'caseload data'!$A:$A,'national caseload'!$B$27:$B$29)</f>
        <v>0</v>
      </c>
      <c r="O27" s="94">
        <f>SUMIFS('caseload data'!P:P,'caseload data'!$D:$D,"PO",'caseload data'!$A:$A,'national caseload'!$B$27:$B$29)</f>
        <v>0</v>
      </c>
      <c r="P27" s="94">
        <f>SUMIFS('caseload data'!Q:Q,'caseload data'!$D:$D,"PO",'caseload data'!$A:$A,'national caseload'!$B$27:$B$29)</f>
        <v>0</v>
      </c>
      <c r="Q27" s="94">
        <f>SUMIFS('caseload data'!R:R,'caseload data'!$D:$D,"PO",'caseload data'!$A:$A,'national caseload'!$B$27:$B$29)</f>
        <v>0</v>
      </c>
      <c r="R27" s="94">
        <f>SUMIFS('caseload data'!S:S,'caseload data'!$D:$D,"PO",'caseload data'!$A:$A,'national caseload'!$B$27:$B$29)</f>
        <v>0</v>
      </c>
      <c r="S27" s="94">
        <f>SUMIFS('caseload data'!T:T,'caseload data'!$D:$D,"PO",'caseload data'!$A:$A,'national caseload'!$B$27:$B$29)</f>
        <v>0</v>
      </c>
      <c r="T27" s="94">
        <f>SUMIFS('caseload data'!V:V,'caseload data'!$D:$D,"PO",'caseload data'!$A:$A,'national caseload'!B27:B29)</f>
        <v>0</v>
      </c>
      <c r="U27" s="64"/>
      <c r="V27" s="64"/>
      <c r="W27" s="471" t="s">
        <v>21</v>
      </c>
      <c r="X27" s="128" t="s">
        <v>1002</v>
      </c>
      <c r="Y27" s="167" t="e">
        <f>SUM(D27)/SUM(D$27:D$31)</f>
        <v>#DIV/0!</v>
      </c>
      <c r="Z27" s="167" t="e">
        <f>SUM(E27)/SUM(E$27:E$31)</f>
        <v>#DIV/0!</v>
      </c>
      <c r="AA27" s="167" t="e">
        <f t="shared" ref="AA27:AO31" si="27">SUM(F27)/SUM(F$27:F$31)</f>
        <v>#DIV/0!</v>
      </c>
      <c r="AB27" s="167" t="e">
        <f t="shared" si="27"/>
        <v>#DIV/0!</v>
      </c>
      <c r="AC27" s="167" t="e">
        <f t="shared" si="27"/>
        <v>#DIV/0!</v>
      </c>
      <c r="AD27" s="167" t="e">
        <f t="shared" si="27"/>
        <v>#DIV/0!</v>
      </c>
      <c r="AE27" s="167" t="e">
        <f t="shared" si="27"/>
        <v>#DIV/0!</v>
      </c>
      <c r="AF27" s="167" t="e">
        <f t="shared" si="27"/>
        <v>#DIV/0!</v>
      </c>
      <c r="AG27" s="167" t="e">
        <f t="shared" si="27"/>
        <v>#DIV/0!</v>
      </c>
      <c r="AH27" s="167" t="e">
        <f t="shared" si="27"/>
        <v>#DIV/0!</v>
      </c>
      <c r="AI27" s="167" t="e">
        <f t="shared" si="27"/>
        <v>#DIV/0!</v>
      </c>
      <c r="AJ27" s="167" t="e">
        <f t="shared" si="27"/>
        <v>#DIV/0!</v>
      </c>
      <c r="AK27" s="167" t="e">
        <f t="shared" si="27"/>
        <v>#DIV/0!</v>
      </c>
      <c r="AL27" s="167" t="e">
        <f t="shared" si="27"/>
        <v>#DIV/0!</v>
      </c>
      <c r="AM27" s="167" t="e">
        <f t="shared" si="27"/>
        <v>#DIV/0!</v>
      </c>
      <c r="AN27" s="167" t="e">
        <f t="shared" si="27"/>
        <v>#DIV/0!</v>
      </c>
      <c r="AO27" s="167" t="e">
        <f t="shared" si="27"/>
        <v>#DIV/0!</v>
      </c>
    </row>
    <row r="28" spans="2:41" x14ac:dyDescent="0.15">
      <c r="B28" s="478"/>
      <c r="C28" s="129" t="s">
        <v>1007</v>
      </c>
      <c r="D28" s="370">
        <f>SUMIFS('caseload data'!E:E,'caseload data'!$D:$D,"PSO",'caseload data'!$A:$A,"London")</f>
        <v>0</v>
      </c>
      <c r="E28" s="94">
        <f>SUMIFS('caseload data'!F:F,'caseload data'!$D:$D,"PSO",'caseload data'!$A:$A,"London")</f>
        <v>0</v>
      </c>
      <c r="F28" s="94">
        <f>SUMIFS('caseload data'!G:G,'caseload data'!$D:$D,"PSO",'caseload data'!$A:$A,"London")</f>
        <v>0</v>
      </c>
      <c r="G28" s="94">
        <f>SUMIFS('caseload data'!H:H,'caseload data'!$D:$D,"PSO",'caseload data'!$A:$A,"London")</f>
        <v>0</v>
      </c>
      <c r="H28" s="94">
        <f>SUMIFS('caseload data'!I:I,'caseload data'!$D:$D,"PSO",'caseload data'!$A:$A,"London")</f>
        <v>0</v>
      </c>
      <c r="I28" s="94">
        <f>SUMIFS('caseload data'!J:J,'caseload data'!$D:$D,"PSO",'caseload data'!$A:$A,"London")</f>
        <v>0</v>
      </c>
      <c r="J28" s="94">
        <f>SUMIFS('caseload data'!K:K,'caseload data'!$D:$D,"PSO",'caseload data'!$A:$A,"London")</f>
        <v>0</v>
      </c>
      <c r="K28" s="94">
        <f>SUMIFS('caseload data'!L:L,'caseload data'!$D:$D,"PSO",'caseload data'!$A:$A,"London")</f>
        <v>0</v>
      </c>
      <c r="L28" s="94">
        <f>SUMIFS('caseload data'!M:M,'caseload data'!$D:$D,"PSO",'caseload data'!$A:$A,"London")</f>
        <v>0</v>
      </c>
      <c r="M28" s="94">
        <f>SUMIFS('caseload data'!N:N,'caseload data'!$D:$D,"PSO",'caseload data'!$A:$A,"London")</f>
        <v>0</v>
      </c>
      <c r="N28" s="94">
        <f>SUMIFS('caseload data'!O:O,'caseload data'!$D:$D,"PSO",'caseload data'!$A:$A,"London")</f>
        <v>0</v>
      </c>
      <c r="O28" s="94">
        <f>SUMIFS('caseload data'!P:P,'caseload data'!$D:$D,"PSO",'caseload data'!$A:$A,"London")</f>
        <v>0</v>
      </c>
      <c r="P28" s="94">
        <f>SUMIFS('caseload data'!Q:Q,'caseload data'!$D:$D,"PSO",'caseload data'!$A:$A,"London")</f>
        <v>0</v>
      </c>
      <c r="Q28" s="94">
        <f>SUMIFS('caseload data'!R:R,'caseload data'!$D:$D,"PSO",'caseload data'!$A:$A,"London")</f>
        <v>0</v>
      </c>
      <c r="R28" s="94">
        <f>SUMIFS('caseload data'!S:S,'caseload data'!$D:$D,"PSO",'caseload data'!$A:$A,"London")</f>
        <v>0</v>
      </c>
      <c r="S28" s="94">
        <f>SUMIFS('caseload data'!T:T,'caseload data'!$D:$D,"PSO",'caseload data'!$A:$A,"London")</f>
        <v>0</v>
      </c>
      <c r="T28" s="94">
        <f>SUMIFS('caseload data'!V:V,'caseload data'!$D:$D,"PSO",'caseload data'!$A:$A,"London")</f>
        <v>0</v>
      </c>
      <c r="U28" s="64"/>
      <c r="V28" s="64"/>
      <c r="W28" s="472"/>
      <c r="X28" s="129" t="s">
        <v>1007</v>
      </c>
      <c r="Y28" s="167" t="e">
        <f t="shared" ref="Y28:Z31" si="28">SUM(D28)/SUM(D$27:D$31)</f>
        <v>#DIV/0!</v>
      </c>
      <c r="Z28" s="167" t="e">
        <f t="shared" si="28"/>
        <v>#DIV/0!</v>
      </c>
      <c r="AA28" s="167" t="e">
        <f t="shared" si="27"/>
        <v>#DIV/0!</v>
      </c>
      <c r="AB28" s="167" t="e">
        <f t="shared" si="27"/>
        <v>#DIV/0!</v>
      </c>
      <c r="AC28" s="167" t="e">
        <f t="shared" si="27"/>
        <v>#DIV/0!</v>
      </c>
      <c r="AD28" s="167" t="e">
        <f t="shared" si="27"/>
        <v>#DIV/0!</v>
      </c>
      <c r="AE28" s="167" t="e">
        <f t="shared" si="27"/>
        <v>#DIV/0!</v>
      </c>
      <c r="AF28" s="167" t="e">
        <f t="shared" si="27"/>
        <v>#DIV/0!</v>
      </c>
      <c r="AG28" s="167" t="e">
        <f t="shared" si="27"/>
        <v>#DIV/0!</v>
      </c>
      <c r="AH28" s="167" t="e">
        <f t="shared" si="27"/>
        <v>#DIV/0!</v>
      </c>
      <c r="AI28" s="167" t="e">
        <f t="shared" si="27"/>
        <v>#DIV/0!</v>
      </c>
      <c r="AJ28" s="167" t="e">
        <f t="shared" si="27"/>
        <v>#DIV/0!</v>
      </c>
      <c r="AK28" s="167" t="e">
        <f t="shared" si="27"/>
        <v>#DIV/0!</v>
      </c>
      <c r="AL28" s="167" t="e">
        <f t="shared" si="27"/>
        <v>#DIV/0!</v>
      </c>
      <c r="AM28" s="167" t="e">
        <f t="shared" si="27"/>
        <v>#DIV/0!</v>
      </c>
      <c r="AN28" s="167" t="e">
        <f t="shared" si="27"/>
        <v>#DIV/0!</v>
      </c>
      <c r="AO28" s="167" t="e">
        <f t="shared" si="27"/>
        <v>#DIV/0!</v>
      </c>
    </row>
    <row r="29" spans="2:41" x14ac:dyDescent="0.15">
      <c r="B29" s="478"/>
      <c r="C29" s="129" t="s">
        <v>1008</v>
      </c>
      <c r="D29" s="370">
        <f>SUMIFS('caseload data'!E:E,'caseload data'!$D:$D,"TPO",'caseload data'!$A:$A,"London")</f>
        <v>0</v>
      </c>
      <c r="E29" s="94">
        <f>SUMIFS('caseload data'!F:F,'caseload data'!$D:$D,"TPO",'caseload data'!$A:$A,"London")</f>
        <v>0</v>
      </c>
      <c r="F29" s="94">
        <f>SUMIFS('caseload data'!G:G,'caseload data'!$D:$D,"TPO",'caseload data'!$A:$A,"London")</f>
        <v>0</v>
      </c>
      <c r="G29" s="94">
        <f>SUMIFS('caseload data'!H:H,'caseload data'!$D:$D,"TPO",'caseload data'!$A:$A,"London")</f>
        <v>0</v>
      </c>
      <c r="H29" s="94">
        <f>SUMIFS('caseload data'!I:I,'caseload data'!$D:$D,"TPO",'caseload data'!$A:$A,"London")</f>
        <v>0</v>
      </c>
      <c r="I29" s="94">
        <f>SUMIFS('caseload data'!J:J,'caseload data'!$D:$D,"TPO",'caseload data'!$A:$A,"London")</f>
        <v>0</v>
      </c>
      <c r="J29" s="94">
        <f>SUMIFS('caseload data'!K:K,'caseload data'!$D:$D,"TPO",'caseload data'!$A:$A,"London")</f>
        <v>0</v>
      </c>
      <c r="K29" s="94">
        <f>SUMIFS('caseload data'!L:L,'caseload data'!$D:$D,"TPO",'caseload data'!$A:$A,"London")</f>
        <v>0</v>
      </c>
      <c r="L29" s="94">
        <f>SUMIFS('caseload data'!M:M,'caseload data'!$D:$D,"TPO",'caseload data'!$A:$A,"London")</f>
        <v>0</v>
      </c>
      <c r="M29" s="94">
        <f>SUMIFS('caseload data'!N:N,'caseload data'!$D:$D,"TPO",'caseload data'!$A:$A,"London")</f>
        <v>0</v>
      </c>
      <c r="N29" s="94">
        <f>SUMIFS('caseload data'!O:O,'caseload data'!$D:$D,"TPO",'caseload data'!$A:$A,"London")</f>
        <v>0</v>
      </c>
      <c r="O29" s="94">
        <f>SUMIFS('caseload data'!P:P,'caseload data'!$D:$D,"TPO",'caseload data'!$A:$A,"London")</f>
        <v>0</v>
      </c>
      <c r="P29" s="94">
        <f>SUMIFS('caseload data'!Q:Q,'caseload data'!$D:$D,"TPO",'caseload data'!$A:$A,"London")</f>
        <v>0</v>
      </c>
      <c r="Q29" s="94">
        <f>SUMIFS('caseload data'!R:R,'caseload data'!$D:$D,"TPO",'caseload data'!$A:$A,"London")</f>
        <v>0</v>
      </c>
      <c r="R29" s="94">
        <f>SUMIFS('caseload data'!S:S,'caseload data'!$D:$D,"TPO",'caseload data'!$A:$A,"London")</f>
        <v>0</v>
      </c>
      <c r="S29" s="94">
        <f>SUMIFS('caseload data'!T:T,'caseload data'!$D:$D,"TPO",'caseload data'!$A:$A,"London")</f>
        <v>0</v>
      </c>
      <c r="T29" s="94">
        <f>SUMIFS('caseload data'!V:V,'caseload data'!$D:$D,"TPO",'caseload data'!$A:$A,"London")</f>
        <v>0</v>
      </c>
      <c r="U29" s="64"/>
      <c r="V29" s="64"/>
      <c r="W29" s="472"/>
      <c r="X29" s="129" t="s">
        <v>1008</v>
      </c>
      <c r="Y29" s="167" t="e">
        <f t="shared" si="28"/>
        <v>#DIV/0!</v>
      </c>
      <c r="Z29" s="167" t="e">
        <f t="shared" si="28"/>
        <v>#DIV/0!</v>
      </c>
      <c r="AA29" s="167" t="e">
        <f t="shared" si="27"/>
        <v>#DIV/0!</v>
      </c>
      <c r="AB29" s="167" t="e">
        <f t="shared" si="27"/>
        <v>#DIV/0!</v>
      </c>
      <c r="AC29" s="167" t="e">
        <f t="shared" si="27"/>
        <v>#DIV/0!</v>
      </c>
      <c r="AD29" s="167" t="e">
        <f t="shared" si="27"/>
        <v>#DIV/0!</v>
      </c>
      <c r="AE29" s="167" t="e">
        <f t="shared" si="27"/>
        <v>#DIV/0!</v>
      </c>
      <c r="AF29" s="167" t="e">
        <f t="shared" si="27"/>
        <v>#DIV/0!</v>
      </c>
      <c r="AG29" s="167" t="e">
        <f t="shared" si="27"/>
        <v>#DIV/0!</v>
      </c>
      <c r="AH29" s="167" t="e">
        <f t="shared" si="27"/>
        <v>#DIV/0!</v>
      </c>
      <c r="AI29" s="167" t="e">
        <f t="shared" si="27"/>
        <v>#DIV/0!</v>
      </c>
      <c r="AJ29" s="167" t="e">
        <f t="shared" si="27"/>
        <v>#DIV/0!</v>
      </c>
      <c r="AK29" s="167" t="e">
        <f t="shared" si="27"/>
        <v>#DIV/0!</v>
      </c>
      <c r="AL29" s="167" t="e">
        <f t="shared" si="27"/>
        <v>#DIV/0!</v>
      </c>
      <c r="AM29" s="167" t="e">
        <f t="shared" si="27"/>
        <v>#DIV/0!</v>
      </c>
      <c r="AN29" s="167" t="e">
        <f t="shared" si="27"/>
        <v>#DIV/0!</v>
      </c>
      <c r="AO29" s="167" t="e">
        <f t="shared" si="27"/>
        <v>#DIV/0!</v>
      </c>
    </row>
    <row r="30" spans="2:41" x14ac:dyDescent="0.15">
      <c r="B30" s="478"/>
      <c r="C30" s="129" t="s">
        <v>1009</v>
      </c>
      <c r="D30" s="370">
        <f>SUMIFS('caseload data'!E:E,'caseload data'!$D:$D,"SPO",'caseload data'!$A:$A,"London")</f>
        <v>0</v>
      </c>
      <c r="E30" s="94">
        <f>SUMIFS('caseload data'!F:F,'caseload data'!$D:$D,"SPO",'caseload data'!$A:$A,"London")</f>
        <v>0</v>
      </c>
      <c r="F30" s="94">
        <f>SUMIFS('caseload data'!G:G,'caseload data'!$D:$D,"SPO",'caseload data'!$A:$A,"London")</f>
        <v>0</v>
      </c>
      <c r="G30" s="94">
        <f>SUMIFS('caseload data'!H:H,'caseload data'!$D:$D,"SPO",'caseload data'!$A:$A,"London")</f>
        <v>0</v>
      </c>
      <c r="H30" s="94">
        <f>SUMIFS('caseload data'!I:I,'caseload data'!$D:$D,"SPO",'caseload data'!$A:$A,"London")</f>
        <v>0</v>
      </c>
      <c r="I30" s="94">
        <f>SUMIFS('caseload data'!J:J,'caseload data'!$D:$D,"SPO",'caseload data'!$A:$A,"London")</f>
        <v>0</v>
      </c>
      <c r="J30" s="94">
        <f>SUMIFS('caseload data'!K:K,'caseload data'!$D:$D,"SPO",'caseload data'!$A:$A,"London")</f>
        <v>0</v>
      </c>
      <c r="K30" s="94">
        <f>SUMIFS('caseload data'!L:L,'caseload data'!$D:$D,"SPO",'caseload data'!$A:$A,"London")</f>
        <v>0</v>
      </c>
      <c r="L30" s="94">
        <f>SUMIFS('caseload data'!M:M,'caseload data'!$D:$D,"SPO",'caseload data'!$A:$A,"London")</f>
        <v>0</v>
      </c>
      <c r="M30" s="94">
        <f>SUMIFS('caseload data'!N:N,'caseload data'!$D:$D,"SPO",'caseload data'!$A:$A,"London")</f>
        <v>0</v>
      </c>
      <c r="N30" s="94">
        <f>SUMIFS('caseload data'!O:O,'caseload data'!$D:$D,"SPO",'caseload data'!$A:$A,"London")</f>
        <v>0</v>
      </c>
      <c r="O30" s="94">
        <f>SUMIFS('caseload data'!P:P,'caseload data'!$D:$D,"SPO",'caseload data'!$A:$A,"London")</f>
        <v>0</v>
      </c>
      <c r="P30" s="94">
        <f>SUMIFS('caseload data'!Q:Q,'caseload data'!$D:$D,"SPO",'caseload data'!$A:$A,"London")</f>
        <v>0</v>
      </c>
      <c r="Q30" s="94">
        <f>SUMIFS('caseload data'!R:R,'caseload data'!$D:$D,"SPO",'caseload data'!$A:$A,"London")</f>
        <v>0</v>
      </c>
      <c r="R30" s="94">
        <f>SUMIFS('caseload data'!S:S,'caseload data'!$D:$D,"SPO",'caseload data'!$A:$A,"London")</f>
        <v>0</v>
      </c>
      <c r="S30" s="94">
        <f>SUMIFS('caseload data'!T:T,'caseload data'!$D:$D,"SPO",'caseload data'!$A:$A,"London")</f>
        <v>0</v>
      </c>
      <c r="T30" s="94">
        <f>SUMIFS('caseload data'!V:V,'caseload data'!$D:$D,"SPO",'caseload data'!$A:$A,"London")</f>
        <v>0</v>
      </c>
      <c r="U30" s="64"/>
      <c r="V30" s="64"/>
      <c r="W30" s="472"/>
      <c r="X30" s="129" t="s">
        <v>1009</v>
      </c>
      <c r="Y30" s="167" t="e">
        <f t="shared" si="28"/>
        <v>#DIV/0!</v>
      </c>
      <c r="Z30" s="167" t="e">
        <f t="shared" si="28"/>
        <v>#DIV/0!</v>
      </c>
      <c r="AA30" s="167" t="e">
        <f t="shared" si="27"/>
        <v>#DIV/0!</v>
      </c>
      <c r="AB30" s="167" t="e">
        <f t="shared" si="27"/>
        <v>#DIV/0!</v>
      </c>
      <c r="AC30" s="167" t="e">
        <f t="shared" si="27"/>
        <v>#DIV/0!</v>
      </c>
      <c r="AD30" s="167" t="e">
        <f t="shared" si="27"/>
        <v>#DIV/0!</v>
      </c>
      <c r="AE30" s="167" t="e">
        <f t="shared" si="27"/>
        <v>#DIV/0!</v>
      </c>
      <c r="AF30" s="167" t="e">
        <f t="shared" si="27"/>
        <v>#DIV/0!</v>
      </c>
      <c r="AG30" s="167" t="e">
        <f t="shared" si="27"/>
        <v>#DIV/0!</v>
      </c>
      <c r="AH30" s="167" t="e">
        <f t="shared" si="27"/>
        <v>#DIV/0!</v>
      </c>
      <c r="AI30" s="167" t="e">
        <f t="shared" si="27"/>
        <v>#DIV/0!</v>
      </c>
      <c r="AJ30" s="167" t="e">
        <f t="shared" si="27"/>
        <v>#DIV/0!</v>
      </c>
      <c r="AK30" s="167" t="e">
        <f t="shared" si="27"/>
        <v>#DIV/0!</v>
      </c>
      <c r="AL30" s="167" t="e">
        <f t="shared" si="27"/>
        <v>#DIV/0!</v>
      </c>
      <c r="AM30" s="167" t="e">
        <f t="shared" si="27"/>
        <v>#DIV/0!</v>
      </c>
      <c r="AN30" s="167" t="e">
        <f t="shared" si="27"/>
        <v>#DIV/0!</v>
      </c>
      <c r="AO30" s="167" t="e">
        <f t="shared" si="27"/>
        <v>#DIV/0!</v>
      </c>
    </row>
    <row r="31" spans="2:41" x14ac:dyDescent="0.15">
      <c r="B31" s="479"/>
      <c r="C31" s="130" t="s">
        <v>1344</v>
      </c>
      <c r="D31" s="370">
        <f>SUMIFS('caseload data'!E:E,'caseload data'!$D:$D,"DMY",'caseload data'!$A:$A,"London")</f>
        <v>0</v>
      </c>
      <c r="E31" s="370">
        <f>SUMIFS('caseload data'!F:F,'caseload data'!$D:$D,"DMY",'caseload data'!$A:$A,"London")</f>
        <v>0</v>
      </c>
      <c r="F31" s="370">
        <f>SUMIFS('caseload data'!G:G,'caseload data'!$D:$D,"DMY",'caseload data'!$A:$A,"London")</f>
        <v>0</v>
      </c>
      <c r="G31" s="370">
        <f>SUMIFS('caseload data'!H:H,'caseload data'!$D:$D,"DMY",'caseload data'!$A:$A,"London")</f>
        <v>0</v>
      </c>
      <c r="H31" s="370">
        <f>SUMIFS('caseload data'!I:I,'caseload data'!$D:$D,"DMY",'caseload data'!$A:$A,"London")</f>
        <v>0</v>
      </c>
      <c r="I31" s="370">
        <f>SUMIFS('caseload data'!J:J,'caseload data'!$D:$D,"DMY",'caseload data'!$A:$A,"London")</f>
        <v>0</v>
      </c>
      <c r="J31" s="370">
        <f>SUMIFS('caseload data'!K:K,'caseload data'!$D:$D,"DMY",'caseload data'!$A:$A,"London")</f>
        <v>0</v>
      </c>
      <c r="K31" s="370">
        <f>SUMIFS('caseload data'!L:L,'caseload data'!$D:$D,"DMY",'caseload data'!$A:$A,"London")</f>
        <v>0</v>
      </c>
      <c r="L31" s="370">
        <f>SUMIFS('caseload data'!M:M,'caseload data'!$D:$D,"DMY",'caseload data'!$A:$A,"London")</f>
        <v>0</v>
      </c>
      <c r="M31" s="370">
        <f>SUMIFS('caseload data'!N:N,'caseload data'!$D:$D,"DMY",'caseload data'!$A:$A,"London")</f>
        <v>0</v>
      </c>
      <c r="N31" s="370">
        <f>SUMIFS('caseload data'!O:O,'caseload data'!$D:$D,"DMY",'caseload data'!$A:$A,"London")</f>
        <v>0</v>
      </c>
      <c r="O31" s="370">
        <f>SUMIFS('caseload data'!P:P,'caseload data'!$D:$D,"DMY",'caseload data'!$A:$A,"London")</f>
        <v>0</v>
      </c>
      <c r="P31" s="370">
        <f>SUMIFS('caseload data'!Q:Q,'caseload data'!$D:$D,"DMY",'caseload data'!$A:$A,"London")</f>
        <v>0</v>
      </c>
      <c r="Q31" s="370">
        <f>SUMIFS('caseload data'!R:R,'caseload data'!$D:$D,"DMY",'caseload data'!$A:$A,"London")</f>
        <v>0</v>
      </c>
      <c r="R31" s="370">
        <f>SUMIFS('caseload data'!S:S,'caseload data'!$D:$D,"DMY",'caseload data'!$A:$A,"London")</f>
        <v>0</v>
      </c>
      <c r="S31" s="370">
        <f>SUMIFS('caseload data'!T:T,'caseload data'!$D:$D,"DMY",'caseload data'!$A:$A,"London")</f>
        <v>0</v>
      </c>
      <c r="T31" s="94">
        <f>SUMIFS('caseload data'!V:V,'caseload data'!$D:$D,"DMY",'caseload data'!$A:$A,"London")</f>
        <v>0</v>
      </c>
      <c r="U31" s="64"/>
      <c r="V31" s="64"/>
      <c r="W31" s="473"/>
      <c r="X31" s="130" t="s">
        <v>1344</v>
      </c>
      <c r="Y31" s="167" t="e">
        <f t="shared" si="28"/>
        <v>#DIV/0!</v>
      </c>
      <c r="Z31" s="167" t="e">
        <f t="shared" si="28"/>
        <v>#DIV/0!</v>
      </c>
      <c r="AA31" s="167" t="e">
        <f t="shared" si="27"/>
        <v>#DIV/0!</v>
      </c>
      <c r="AB31" s="167" t="e">
        <f t="shared" si="27"/>
        <v>#DIV/0!</v>
      </c>
      <c r="AC31" s="167" t="e">
        <f t="shared" si="27"/>
        <v>#DIV/0!</v>
      </c>
      <c r="AD31" s="167" t="e">
        <f t="shared" si="27"/>
        <v>#DIV/0!</v>
      </c>
      <c r="AE31" s="167" t="e">
        <f t="shared" si="27"/>
        <v>#DIV/0!</v>
      </c>
      <c r="AF31" s="167" t="e">
        <f t="shared" si="27"/>
        <v>#DIV/0!</v>
      </c>
      <c r="AG31" s="167" t="e">
        <f t="shared" si="27"/>
        <v>#DIV/0!</v>
      </c>
      <c r="AH31" s="167" t="e">
        <f t="shared" si="27"/>
        <v>#DIV/0!</v>
      </c>
      <c r="AI31" s="167" t="e">
        <f t="shared" si="27"/>
        <v>#DIV/0!</v>
      </c>
      <c r="AJ31" s="167" t="e">
        <f t="shared" si="27"/>
        <v>#DIV/0!</v>
      </c>
      <c r="AK31" s="167" t="e">
        <f t="shared" si="27"/>
        <v>#DIV/0!</v>
      </c>
      <c r="AL31" s="167" t="e">
        <f t="shared" si="27"/>
        <v>#DIV/0!</v>
      </c>
      <c r="AM31" s="167" t="e">
        <f t="shared" si="27"/>
        <v>#DIV/0!</v>
      </c>
      <c r="AN31" s="167" t="e">
        <f t="shared" si="27"/>
        <v>#DIV/0!</v>
      </c>
      <c r="AO31" s="167" t="e">
        <f t="shared" si="27"/>
        <v>#DIV/0!</v>
      </c>
    </row>
    <row r="32" spans="2:41" x14ac:dyDescent="0.15">
      <c r="B32" s="477" t="s">
        <v>22</v>
      </c>
      <c r="C32" s="128" t="s">
        <v>1002</v>
      </c>
      <c r="D32" s="370">
        <f>SUMIFS('caseload data'!E:E,'caseload data'!$D:$D,"PO",'caseload data'!$A:$A,$B$32)</f>
        <v>0</v>
      </c>
      <c r="E32" s="94">
        <f>SUMIFS('caseload data'!F:F,'caseload data'!$D:$D,"PO",'caseload data'!$A:$A,$B$32)</f>
        <v>0</v>
      </c>
      <c r="F32" s="94">
        <f>SUMIFS('caseload data'!G:G,'caseload data'!$D:$D,"PO",'caseload data'!$A:$A,$B$32)</f>
        <v>0</v>
      </c>
      <c r="G32" s="94">
        <f>SUMIFS('caseload data'!H:H,'caseload data'!$D:$D,"PO",'caseload data'!$A:$A,$B$32)</f>
        <v>0</v>
      </c>
      <c r="H32" s="94">
        <f>SUMIFS('caseload data'!I:I,'caseload data'!$D:$D,"PO",'caseload data'!$A:$A,$B$32)</f>
        <v>0</v>
      </c>
      <c r="I32" s="94">
        <f>SUMIFS('caseload data'!J:J,'caseload data'!$D:$D,"PO",'caseload data'!$A:$A,$B$32)</f>
        <v>0</v>
      </c>
      <c r="J32" s="94">
        <f>SUMIFS('caseload data'!K:K,'caseload data'!$D:$D,"PO",'caseload data'!$A:$A,$B$32)</f>
        <v>0</v>
      </c>
      <c r="K32" s="94">
        <f>SUMIFS('caseload data'!L:L,'caseload data'!$D:$D,"PO",'caseload data'!$A:$A,$B$32)</f>
        <v>0</v>
      </c>
      <c r="L32" s="94">
        <f>SUMIFS('caseload data'!M:M,'caseload data'!$D:$D,"PO",'caseload data'!$A:$A,$B$32)</f>
        <v>0</v>
      </c>
      <c r="M32" s="94">
        <f>SUMIFS('caseload data'!N:N,'caseload data'!$D:$D,"PO",'caseload data'!$A:$A,$B$32)</f>
        <v>0</v>
      </c>
      <c r="N32" s="94">
        <f>SUMIFS('caseload data'!O:O,'caseload data'!$D:$D,"PO",'caseload data'!$A:$A,$B$32)</f>
        <v>0</v>
      </c>
      <c r="O32" s="94">
        <f>SUMIFS('caseload data'!P:P,'caseload data'!$D:$D,"PO",'caseload data'!$A:$A,$B$32)</f>
        <v>0</v>
      </c>
      <c r="P32" s="94">
        <f>SUMIFS('caseload data'!Q:Q,'caseload data'!$D:$D,"PO",'caseload data'!$A:$A,$B$32)</f>
        <v>0</v>
      </c>
      <c r="Q32" s="94">
        <f>SUMIFS('caseload data'!R:R,'caseload data'!$D:$D,"PO",'caseload data'!$A:$A,$B$32)</f>
        <v>0</v>
      </c>
      <c r="R32" s="94">
        <f>SUMIFS('caseload data'!S:S,'caseload data'!$D:$D,"PO",'caseload data'!$A:$A,$B$32)</f>
        <v>0</v>
      </c>
      <c r="S32" s="94">
        <f>SUMIFS('caseload data'!T:T,'caseload data'!$D:$D,"PO",'caseload data'!$A:$A,$B$32)</f>
        <v>0</v>
      </c>
      <c r="T32" s="94">
        <f>SUMIFS('caseload data'!V:V,'caseload data'!$D:$D,"PO",'caseload data'!$A:$A,B32)</f>
        <v>0</v>
      </c>
      <c r="U32" s="64"/>
      <c r="V32" s="64"/>
      <c r="W32" s="471" t="s">
        <v>22</v>
      </c>
      <c r="X32" s="128" t="s">
        <v>1002</v>
      </c>
      <c r="Y32" s="167" t="e">
        <f>SUM(D32)/SUM(D$32:D$36)</f>
        <v>#DIV/0!</v>
      </c>
      <c r="Z32" s="167" t="e">
        <f t="shared" ref="Z32:AO36" si="29">SUM(E32)/SUM(E$32:E$36)</f>
        <v>#DIV/0!</v>
      </c>
      <c r="AA32" s="167" t="e">
        <f t="shared" si="29"/>
        <v>#DIV/0!</v>
      </c>
      <c r="AB32" s="167" t="e">
        <f t="shared" si="29"/>
        <v>#DIV/0!</v>
      </c>
      <c r="AC32" s="167" t="e">
        <f t="shared" si="29"/>
        <v>#DIV/0!</v>
      </c>
      <c r="AD32" s="167" t="e">
        <f t="shared" si="29"/>
        <v>#DIV/0!</v>
      </c>
      <c r="AE32" s="167" t="e">
        <f t="shared" si="29"/>
        <v>#DIV/0!</v>
      </c>
      <c r="AF32" s="167" t="e">
        <f t="shared" si="29"/>
        <v>#DIV/0!</v>
      </c>
      <c r="AG32" s="167" t="e">
        <f t="shared" si="29"/>
        <v>#DIV/0!</v>
      </c>
      <c r="AH32" s="167" t="e">
        <f t="shared" si="29"/>
        <v>#DIV/0!</v>
      </c>
      <c r="AI32" s="167" t="e">
        <f t="shared" si="29"/>
        <v>#DIV/0!</v>
      </c>
      <c r="AJ32" s="167" t="e">
        <f t="shared" si="29"/>
        <v>#DIV/0!</v>
      </c>
      <c r="AK32" s="167" t="e">
        <f t="shared" si="29"/>
        <v>#DIV/0!</v>
      </c>
      <c r="AL32" s="167" t="e">
        <f t="shared" si="29"/>
        <v>#DIV/0!</v>
      </c>
      <c r="AM32" s="167" t="e">
        <f t="shared" si="29"/>
        <v>#DIV/0!</v>
      </c>
      <c r="AN32" s="167" t="e">
        <f t="shared" si="29"/>
        <v>#DIV/0!</v>
      </c>
      <c r="AO32" s="167" t="e">
        <f t="shared" si="29"/>
        <v>#DIV/0!</v>
      </c>
    </row>
    <row r="33" spans="2:41" x14ac:dyDescent="0.15">
      <c r="B33" s="478"/>
      <c r="C33" s="129" t="s">
        <v>1007</v>
      </c>
      <c r="D33" s="370">
        <f>SUMIFS('caseload data'!E:E,'caseload data'!$D:$D,"PSO",'caseload data'!$A:$A,"North East Region")</f>
        <v>0</v>
      </c>
      <c r="E33" s="94">
        <f>SUMIFS('caseload data'!F:F,'caseload data'!$D:$D,"PSO",'caseload data'!$A:$A,"North East Region")</f>
        <v>0</v>
      </c>
      <c r="F33" s="94">
        <f>SUMIFS('caseload data'!G:G,'caseload data'!$D:$D,"PSO",'caseload data'!$A:$A,"North East Region")</f>
        <v>0</v>
      </c>
      <c r="G33" s="94">
        <f>SUMIFS('caseload data'!H:H,'caseload data'!$D:$D,"PSO",'caseload data'!$A:$A,"North East Region")</f>
        <v>0</v>
      </c>
      <c r="H33" s="94">
        <f>SUMIFS('caseload data'!I:I,'caseload data'!$D:$D,"PSO",'caseload data'!$A:$A,"North East Region")</f>
        <v>0</v>
      </c>
      <c r="I33" s="94">
        <f>SUMIFS('caseload data'!J:J,'caseload data'!$D:$D,"PSO",'caseload data'!$A:$A,"North East Region")</f>
        <v>0</v>
      </c>
      <c r="J33" s="94">
        <f>SUMIFS('caseload data'!K:K,'caseload data'!$D:$D,"PSO",'caseload data'!$A:$A,"North East Region")</f>
        <v>0</v>
      </c>
      <c r="K33" s="94">
        <f>SUMIFS('caseload data'!L:L,'caseload data'!$D:$D,"PSO",'caseload data'!$A:$A,"North East Region")</f>
        <v>0</v>
      </c>
      <c r="L33" s="94">
        <f>SUMIFS('caseload data'!M:M,'caseload data'!$D:$D,"PSO",'caseload data'!$A:$A,"North East Region")</f>
        <v>0</v>
      </c>
      <c r="M33" s="94">
        <f>SUMIFS('caseload data'!N:N,'caseload data'!$D:$D,"PSO",'caseload data'!$A:$A,"North East Region")</f>
        <v>0</v>
      </c>
      <c r="N33" s="94">
        <f>SUMIFS('caseload data'!O:O,'caseload data'!$D:$D,"PSO",'caseload data'!$A:$A,"North East Region")</f>
        <v>0</v>
      </c>
      <c r="O33" s="94">
        <f>SUMIFS('caseload data'!P:P,'caseload data'!$D:$D,"PSO",'caseload data'!$A:$A,"North East Region")</f>
        <v>0</v>
      </c>
      <c r="P33" s="94">
        <f>SUMIFS('caseload data'!Q:Q,'caseload data'!$D:$D,"PSO",'caseload data'!$A:$A,"North East Region")</f>
        <v>0</v>
      </c>
      <c r="Q33" s="94">
        <f>SUMIFS('caseload data'!R:R,'caseload data'!$D:$D,"PSO",'caseload data'!$A:$A,"North East Region")</f>
        <v>0</v>
      </c>
      <c r="R33" s="94">
        <f>SUMIFS('caseload data'!S:S,'caseload data'!$D:$D,"PSO",'caseload data'!$A:$A,"North East Region")</f>
        <v>0</v>
      </c>
      <c r="S33" s="94">
        <f>SUMIFS('caseload data'!T:T,'caseload data'!$D:$D,"PSO",'caseload data'!$A:$A,"North East Region")</f>
        <v>0</v>
      </c>
      <c r="T33" s="94">
        <f>SUMIFS('caseload data'!V:V,'caseload data'!$D:$D,"PSO",'caseload data'!$A:$A,"North East Region")</f>
        <v>0</v>
      </c>
      <c r="U33" s="64"/>
      <c r="V33" s="64"/>
      <c r="W33" s="472"/>
      <c r="X33" s="129" t="s">
        <v>1007</v>
      </c>
      <c r="Y33" s="167" t="e">
        <f t="shared" ref="Y33:Y36" si="30">SUM(D33)/SUM(D$32:D$36)</f>
        <v>#DIV/0!</v>
      </c>
      <c r="Z33" s="167" t="e">
        <f t="shared" si="29"/>
        <v>#DIV/0!</v>
      </c>
      <c r="AA33" s="167" t="e">
        <f t="shared" si="29"/>
        <v>#DIV/0!</v>
      </c>
      <c r="AB33" s="167" t="e">
        <f t="shared" si="29"/>
        <v>#DIV/0!</v>
      </c>
      <c r="AC33" s="167" t="e">
        <f t="shared" si="29"/>
        <v>#DIV/0!</v>
      </c>
      <c r="AD33" s="167" t="e">
        <f t="shared" si="29"/>
        <v>#DIV/0!</v>
      </c>
      <c r="AE33" s="167" t="e">
        <f t="shared" si="29"/>
        <v>#DIV/0!</v>
      </c>
      <c r="AF33" s="167" t="e">
        <f t="shared" si="29"/>
        <v>#DIV/0!</v>
      </c>
      <c r="AG33" s="167" t="e">
        <f t="shared" si="29"/>
        <v>#DIV/0!</v>
      </c>
      <c r="AH33" s="167" t="e">
        <f t="shared" si="29"/>
        <v>#DIV/0!</v>
      </c>
      <c r="AI33" s="167" t="e">
        <f t="shared" si="29"/>
        <v>#DIV/0!</v>
      </c>
      <c r="AJ33" s="167" t="e">
        <f t="shared" si="29"/>
        <v>#DIV/0!</v>
      </c>
      <c r="AK33" s="167" t="e">
        <f t="shared" si="29"/>
        <v>#DIV/0!</v>
      </c>
      <c r="AL33" s="167" t="e">
        <f t="shared" si="29"/>
        <v>#DIV/0!</v>
      </c>
      <c r="AM33" s="167" t="e">
        <f t="shared" si="29"/>
        <v>#DIV/0!</v>
      </c>
      <c r="AN33" s="167" t="e">
        <f t="shared" si="29"/>
        <v>#DIV/0!</v>
      </c>
      <c r="AO33" s="167" t="e">
        <f t="shared" si="29"/>
        <v>#DIV/0!</v>
      </c>
    </row>
    <row r="34" spans="2:41" x14ac:dyDescent="0.15">
      <c r="B34" s="478"/>
      <c r="C34" s="129" t="s">
        <v>1008</v>
      </c>
      <c r="D34" s="370">
        <f>SUMIFS('caseload data'!E:E,'caseload data'!$D:$D,"TPO",'caseload data'!$A:$A,"North East Region")</f>
        <v>0</v>
      </c>
      <c r="E34" s="94">
        <f>SUMIFS('caseload data'!F:F,'caseload data'!$D:$D,"TPO",'caseload data'!$A:$A,"North East Region")</f>
        <v>0</v>
      </c>
      <c r="F34" s="94">
        <f>SUMIFS('caseload data'!G:G,'caseload data'!$D:$D,"TPO",'caseload data'!$A:$A,"North East Region")</f>
        <v>0</v>
      </c>
      <c r="G34" s="94">
        <f>SUMIFS('caseload data'!H:H,'caseload data'!$D:$D,"TPO",'caseload data'!$A:$A,"North East Region")</f>
        <v>0</v>
      </c>
      <c r="H34" s="94">
        <f>SUMIFS('caseload data'!I:I,'caseload data'!$D:$D,"TPO",'caseload data'!$A:$A,"North East Region")</f>
        <v>0</v>
      </c>
      <c r="I34" s="94">
        <f>SUMIFS('caseload data'!J:J,'caseload data'!$D:$D,"TPO",'caseload data'!$A:$A,"North East Region")</f>
        <v>0</v>
      </c>
      <c r="J34" s="94">
        <f>SUMIFS('caseload data'!K:K,'caseload data'!$D:$D,"TPO",'caseload data'!$A:$A,"North East Region")</f>
        <v>0</v>
      </c>
      <c r="K34" s="94">
        <f>SUMIFS('caseload data'!L:L,'caseload data'!$D:$D,"TPO",'caseload data'!$A:$A,"North East Region")</f>
        <v>0</v>
      </c>
      <c r="L34" s="94">
        <f>SUMIFS('caseload data'!M:M,'caseload data'!$D:$D,"TPO",'caseload data'!$A:$A,"North East Region")</f>
        <v>0</v>
      </c>
      <c r="M34" s="94">
        <f>SUMIFS('caseload data'!N:N,'caseload data'!$D:$D,"TPO",'caseload data'!$A:$A,"North East Region")</f>
        <v>0</v>
      </c>
      <c r="N34" s="94">
        <f>SUMIFS('caseload data'!O:O,'caseload data'!$D:$D,"TPO",'caseload data'!$A:$A,"North East Region")</f>
        <v>0</v>
      </c>
      <c r="O34" s="94">
        <f>SUMIFS('caseload data'!P:P,'caseload data'!$D:$D,"TPO",'caseload data'!$A:$A,"North East Region")</f>
        <v>0</v>
      </c>
      <c r="P34" s="94">
        <f>SUMIFS('caseload data'!Q:Q,'caseload data'!$D:$D,"TPO",'caseload data'!$A:$A,"North East Region")</f>
        <v>0</v>
      </c>
      <c r="Q34" s="94">
        <f>SUMIFS('caseload data'!R:R,'caseload data'!$D:$D,"TPO",'caseload data'!$A:$A,"North East Region")</f>
        <v>0</v>
      </c>
      <c r="R34" s="94">
        <f>SUMIFS('caseload data'!S:S,'caseload data'!$D:$D,"TPO",'caseload data'!$A:$A,"North East Region")</f>
        <v>0</v>
      </c>
      <c r="S34" s="94">
        <f>SUMIFS('caseload data'!T:T,'caseload data'!$D:$D,"TPO",'caseload data'!$A:$A,"North East Region")</f>
        <v>0</v>
      </c>
      <c r="T34" s="94">
        <f>SUMIFS('caseload data'!V:V,'caseload data'!$D:$D,"TPO",'caseload data'!$A:$A,"North East Region")</f>
        <v>0</v>
      </c>
      <c r="U34" s="64"/>
      <c r="V34" s="64"/>
      <c r="W34" s="472"/>
      <c r="X34" s="129" t="s">
        <v>1008</v>
      </c>
      <c r="Y34" s="167" t="e">
        <f t="shared" si="30"/>
        <v>#DIV/0!</v>
      </c>
      <c r="Z34" s="167" t="e">
        <f t="shared" si="29"/>
        <v>#DIV/0!</v>
      </c>
      <c r="AA34" s="167" t="e">
        <f t="shared" si="29"/>
        <v>#DIV/0!</v>
      </c>
      <c r="AB34" s="167" t="e">
        <f t="shared" si="29"/>
        <v>#DIV/0!</v>
      </c>
      <c r="AC34" s="167" t="e">
        <f t="shared" si="29"/>
        <v>#DIV/0!</v>
      </c>
      <c r="AD34" s="167" t="e">
        <f t="shared" si="29"/>
        <v>#DIV/0!</v>
      </c>
      <c r="AE34" s="167" t="e">
        <f t="shared" si="29"/>
        <v>#DIV/0!</v>
      </c>
      <c r="AF34" s="167" t="e">
        <f t="shared" si="29"/>
        <v>#DIV/0!</v>
      </c>
      <c r="AG34" s="167" t="e">
        <f t="shared" si="29"/>
        <v>#DIV/0!</v>
      </c>
      <c r="AH34" s="167" t="e">
        <f t="shared" si="29"/>
        <v>#DIV/0!</v>
      </c>
      <c r="AI34" s="167" t="e">
        <f t="shared" si="29"/>
        <v>#DIV/0!</v>
      </c>
      <c r="AJ34" s="167" t="e">
        <f t="shared" si="29"/>
        <v>#DIV/0!</v>
      </c>
      <c r="AK34" s="167" t="e">
        <f t="shared" si="29"/>
        <v>#DIV/0!</v>
      </c>
      <c r="AL34" s="167" t="e">
        <f t="shared" si="29"/>
        <v>#DIV/0!</v>
      </c>
      <c r="AM34" s="167" t="e">
        <f t="shared" si="29"/>
        <v>#DIV/0!</v>
      </c>
      <c r="AN34" s="167" t="e">
        <f t="shared" si="29"/>
        <v>#DIV/0!</v>
      </c>
      <c r="AO34" s="167" t="e">
        <f t="shared" si="29"/>
        <v>#DIV/0!</v>
      </c>
    </row>
    <row r="35" spans="2:41" x14ac:dyDescent="0.15">
      <c r="B35" s="478"/>
      <c r="C35" s="129" t="s">
        <v>1009</v>
      </c>
      <c r="D35" s="370">
        <f>SUMIFS('caseload data'!E:E,'caseload data'!$D:$D,"SPO",'caseload data'!$A:$A,"North East Region")</f>
        <v>0</v>
      </c>
      <c r="E35" s="94">
        <f>SUMIFS('caseload data'!F:F,'caseload data'!$D:$D,"SPO",'caseload data'!$A:$A,"North East Region")</f>
        <v>0</v>
      </c>
      <c r="F35" s="94">
        <f>SUMIFS('caseload data'!G:G,'caseload data'!$D:$D,"SPO",'caseload data'!$A:$A,"North East Region")</f>
        <v>0</v>
      </c>
      <c r="G35" s="94">
        <f>SUMIFS('caseload data'!H:H,'caseload data'!$D:$D,"SPO",'caseload data'!$A:$A,"North East Region")</f>
        <v>0</v>
      </c>
      <c r="H35" s="94">
        <f>SUMIFS('caseload data'!I:I,'caseload data'!$D:$D,"SPO",'caseload data'!$A:$A,"North East Region")</f>
        <v>0</v>
      </c>
      <c r="I35" s="94">
        <f>SUMIFS('caseload data'!J:J,'caseload data'!$D:$D,"SPO",'caseload data'!$A:$A,"North East Region")</f>
        <v>0</v>
      </c>
      <c r="J35" s="94">
        <f>SUMIFS('caseload data'!K:K,'caseload data'!$D:$D,"SPO",'caseload data'!$A:$A,"North East Region")</f>
        <v>0</v>
      </c>
      <c r="K35" s="94">
        <f>SUMIFS('caseload data'!L:L,'caseload data'!$D:$D,"SPO",'caseload data'!$A:$A,"North East Region")</f>
        <v>0</v>
      </c>
      <c r="L35" s="94">
        <f>SUMIFS('caseload data'!M:M,'caseload data'!$D:$D,"SPO",'caseload data'!$A:$A,"North East Region")</f>
        <v>0</v>
      </c>
      <c r="M35" s="94">
        <f>SUMIFS('caseload data'!N:N,'caseload data'!$D:$D,"SPO",'caseload data'!$A:$A,"North East Region")</f>
        <v>0</v>
      </c>
      <c r="N35" s="94">
        <f>SUMIFS('caseload data'!O:O,'caseload data'!$D:$D,"SPO",'caseload data'!$A:$A,"North East Region")</f>
        <v>0</v>
      </c>
      <c r="O35" s="94">
        <f>SUMIFS('caseload data'!P:P,'caseload data'!$D:$D,"SPO",'caseload data'!$A:$A,"North East Region")</f>
        <v>0</v>
      </c>
      <c r="P35" s="94">
        <f>SUMIFS('caseload data'!Q:Q,'caseload data'!$D:$D,"SPO",'caseload data'!$A:$A,"North East Region")</f>
        <v>0</v>
      </c>
      <c r="Q35" s="94">
        <f>SUMIFS('caseload data'!R:R,'caseload data'!$D:$D,"SPO",'caseload data'!$A:$A,"North East Region")</f>
        <v>0</v>
      </c>
      <c r="R35" s="94">
        <f>SUMIFS('caseload data'!S:S,'caseload data'!$D:$D,"SPO",'caseload data'!$A:$A,"North East Region")</f>
        <v>0</v>
      </c>
      <c r="S35" s="94">
        <f>SUMIFS('caseload data'!T:T,'caseload data'!$D:$D,"SPO",'caseload data'!$A:$A,"North East Region")</f>
        <v>0</v>
      </c>
      <c r="T35" s="94">
        <f>SUMIFS('caseload data'!V:V,'caseload data'!$D:$D,"SPO",'caseload data'!$A:$A,"North East Region")</f>
        <v>0</v>
      </c>
      <c r="U35" s="64"/>
      <c r="V35" s="64"/>
      <c r="W35" s="472"/>
      <c r="X35" s="129" t="s">
        <v>1009</v>
      </c>
      <c r="Y35" s="167" t="e">
        <f t="shared" si="30"/>
        <v>#DIV/0!</v>
      </c>
      <c r="Z35" s="167" t="e">
        <f t="shared" si="29"/>
        <v>#DIV/0!</v>
      </c>
      <c r="AA35" s="167" t="e">
        <f t="shared" si="29"/>
        <v>#DIV/0!</v>
      </c>
      <c r="AB35" s="167" t="e">
        <f t="shared" si="29"/>
        <v>#DIV/0!</v>
      </c>
      <c r="AC35" s="167" t="e">
        <f t="shared" si="29"/>
        <v>#DIV/0!</v>
      </c>
      <c r="AD35" s="167" t="e">
        <f t="shared" si="29"/>
        <v>#DIV/0!</v>
      </c>
      <c r="AE35" s="167" t="e">
        <f t="shared" si="29"/>
        <v>#DIV/0!</v>
      </c>
      <c r="AF35" s="167" t="e">
        <f t="shared" si="29"/>
        <v>#DIV/0!</v>
      </c>
      <c r="AG35" s="167" t="e">
        <f t="shared" si="29"/>
        <v>#DIV/0!</v>
      </c>
      <c r="AH35" s="167" t="e">
        <f t="shared" si="29"/>
        <v>#DIV/0!</v>
      </c>
      <c r="AI35" s="167" t="e">
        <f t="shared" si="29"/>
        <v>#DIV/0!</v>
      </c>
      <c r="AJ35" s="167" t="e">
        <f t="shared" si="29"/>
        <v>#DIV/0!</v>
      </c>
      <c r="AK35" s="167" t="e">
        <f t="shared" si="29"/>
        <v>#DIV/0!</v>
      </c>
      <c r="AL35" s="167" t="e">
        <f t="shared" si="29"/>
        <v>#DIV/0!</v>
      </c>
      <c r="AM35" s="167" t="e">
        <f t="shared" si="29"/>
        <v>#DIV/0!</v>
      </c>
      <c r="AN35" s="167" t="e">
        <f t="shared" si="29"/>
        <v>#DIV/0!</v>
      </c>
      <c r="AO35" s="167" t="e">
        <f t="shared" si="29"/>
        <v>#DIV/0!</v>
      </c>
    </row>
    <row r="36" spans="2:41" x14ac:dyDescent="0.15">
      <c r="B36" s="479"/>
      <c r="C36" s="130" t="s">
        <v>1344</v>
      </c>
      <c r="D36" s="370">
        <f>SUMIFS('caseload data'!E:E,'caseload data'!$D:$D,"DMY",'caseload data'!$A:$A,"North East Region")</f>
        <v>0</v>
      </c>
      <c r="E36" s="370">
        <f>SUMIFS('caseload data'!F:F,'caseload data'!$D:$D,"DMY",'caseload data'!$A:$A,"North East Region")</f>
        <v>0</v>
      </c>
      <c r="F36" s="370">
        <f>SUMIFS('caseload data'!G:G,'caseload data'!$D:$D,"DMY",'caseload data'!$A:$A,"North East Region")</f>
        <v>0</v>
      </c>
      <c r="G36" s="370">
        <f>SUMIFS('caseload data'!H:H,'caseload data'!$D:$D,"DMY",'caseload data'!$A:$A,"North East Region")</f>
        <v>0</v>
      </c>
      <c r="H36" s="370">
        <f>SUMIFS('caseload data'!I:I,'caseload data'!$D:$D,"DMY",'caseload data'!$A:$A,"North East Region")</f>
        <v>0</v>
      </c>
      <c r="I36" s="370">
        <f>SUMIFS('caseload data'!J:J,'caseload data'!$D:$D,"DMY",'caseload data'!$A:$A,"North East Region")</f>
        <v>0</v>
      </c>
      <c r="J36" s="370">
        <f>SUMIFS('caseload data'!K:K,'caseload data'!$D:$D,"DMY",'caseload data'!$A:$A,"North East Region")</f>
        <v>0</v>
      </c>
      <c r="K36" s="370">
        <f>SUMIFS('caseload data'!L:L,'caseload data'!$D:$D,"DMY",'caseload data'!$A:$A,"North East Region")</f>
        <v>0</v>
      </c>
      <c r="L36" s="370">
        <f>SUMIFS('caseload data'!M:M,'caseload data'!$D:$D,"DMY",'caseload data'!$A:$A,"North East Region")</f>
        <v>0</v>
      </c>
      <c r="M36" s="370">
        <f>SUMIFS('caseload data'!N:N,'caseload data'!$D:$D,"DMY",'caseload data'!$A:$A,"North East Region")</f>
        <v>0</v>
      </c>
      <c r="N36" s="370">
        <f>SUMIFS('caseload data'!O:O,'caseload data'!$D:$D,"DMY",'caseload data'!$A:$A,"North East Region")</f>
        <v>0</v>
      </c>
      <c r="O36" s="370">
        <f>SUMIFS('caseload data'!P:P,'caseload data'!$D:$D,"DMY",'caseload data'!$A:$A,"North East Region")</f>
        <v>0</v>
      </c>
      <c r="P36" s="370">
        <f>SUMIFS('caseload data'!Q:Q,'caseload data'!$D:$D,"DMY",'caseload data'!$A:$A,"North East Region")</f>
        <v>0</v>
      </c>
      <c r="Q36" s="370">
        <f>SUMIFS('caseload data'!R:R,'caseload data'!$D:$D,"DMY",'caseload data'!$A:$A,"North East Region")</f>
        <v>0</v>
      </c>
      <c r="R36" s="370">
        <f>SUMIFS('caseload data'!S:S,'caseload data'!$D:$D,"DMY",'caseload data'!$A:$A,"North East Region")</f>
        <v>0</v>
      </c>
      <c r="S36" s="370">
        <f>SUMIFS('caseload data'!T:T,'caseload data'!$D:$D,"DMY",'caseload data'!$A:$A,"North East Region")</f>
        <v>0</v>
      </c>
      <c r="T36" s="94">
        <f>SUMIFS('caseload data'!V:V,'caseload data'!$D:$D,"DMY",'caseload data'!$A:$A,"North East Region")</f>
        <v>0</v>
      </c>
      <c r="U36" s="64"/>
      <c r="V36" s="64"/>
      <c r="W36" s="473"/>
      <c r="X36" s="130" t="s">
        <v>1344</v>
      </c>
      <c r="Y36" s="167" t="e">
        <f t="shared" si="30"/>
        <v>#DIV/0!</v>
      </c>
      <c r="Z36" s="167" t="e">
        <f t="shared" si="29"/>
        <v>#DIV/0!</v>
      </c>
      <c r="AA36" s="167" t="e">
        <f t="shared" si="29"/>
        <v>#DIV/0!</v>
      </c>
      <c r="AB36" s="167" t="e">
        <f t="shared" si="29"/>
        <v>#DIV/0!</v>
      </c>
      <c r="AC36" s="167" t="e">
        <f t="shared" si="29"/>
        <v>#DIV/0!</v>
      </c>
      <c r="AD36" s="167" t="e">
        <f t="shared" si="29"/>
        <v>#DIV/0!</v>
      </c>
      <c r="AE36" s="167" t="e">
        <f t="shared" si="29"/>
        <v>#DIV/0!</v>
      </c>
      <c r="AF36" s="167" t="e">
        <f t="shared" si="29"/>
        <v>#DIV/0!</v>
      </c>
      <c r="AG36" s="167" t="e">
        <f t="shared" si="29"/>
        <v>#DIV/0!</v>
      </c>
      <c r="AH36" s="167" t="e">
        <f t="shared" si="29"/>
        <v>#DIV/0!</v>
      </c>
      <c r="AI36" s="167" t="e">
        <f t="shared" si="29"/>
        <v>#DIV/0!</v>
      </c>
      <c r="AJ36" s="167" t="e">
        <f t="shared" si="29"/>
        <v>#DIV/0!</v>
      </c>
      <c r="AK36" s="167" t="e">
        <f t="shared" si="29"/>
        <v>#DIV/0!</v>
      </c>
      <c r="AL36" s="167" t="e">
        <f t="shared" si="29"/>
        <v>#DIV/0!</v>
      </c>
      <c r="AM36" s="167" t="e">
        <f t="shared" si="29"/>
        <v>#DIV/0!</v>
      </c>
      <c r="AN36" s="167" t="e">
        <f t="shared" si="29"/>
        <v>#DIV/0!</v>
      </c>
      <c r="AO36" s="167" t="e">
        <f t="shared" si="29"/>
        <v>#DIV/0!</v>
      </c>
    </row>
    <row r="37" spans="2:41" x14ac:dyDescent="0.15">
      <c r="B37" s="471" t="s">
        <v>23</v>
      </c>
      <c r="C37" s="128" t="s">
        <v>1002</v>
      </c>
      <c r="D37" s="370">
        <f>SUMIFS('caseload data'!E:E,'caseload data'!$D:$D,"PO",'caseload data'!$A:$A,$B$37)</f>
        <v>0</v>
      </c>
      <c r="E37" s="94">
        <f>SUMIFS('caseload data'!F:F,'caseload data'!$D:$D,"PO",'caseload data'!$A:$A,$B$37)</f>
        <v>0</v>
      </c>
      <c r="F37" s="94">
        <f>SUMIFS('caseload data'!G:G,'caseload data'!$D:$D,"PO",'caseload data'!$A:$A,$B$37)</f>
        <v>0</v>
      </c>
      <c r="G37" s="94">
        <f>SUMIFS('caseload data'!H:H,'caseload data'!$D:$D,"PO",'caseload data'!$A:$A,$B$37)</f>
        <v>0</v>
      </c>
      <c r="H37" s="94">
        <f>SUMIFS('caseload data'!I:I,'caseload data'!$D:$D,"PO",'caseload data'!$A:$A,$B$37)</f>
        <v>0</v>
      </c>
      <c r="I37" s="94">
        <f>SUMIFS('caseload data'!J:J,'caseload data'!$D:$D,"PO",'caseload data'!$A:$A,$B$37)</f>
        <v>0</v>
      </c>
      <c r="J37" s="94">
        <f>SUMIFS('caseload data'!K:K,'caseload data'!$D:$D,"PO",'caseload data'!$A:$A,$B$37)</f>
        <v>0</v>
      </c>
      <c r="K37" s="94">
        <f>SUMIFS('caseload data'!L:L,'caseload data'!$D:$D,"PO",'caseload data'!$A:$A,$B$37)</f>
        <v>0</v>
      </c>
      <c r="L37" s="94">
        <f>SUMIFS('caseload data'!M:M,'caseload data'!$D:$D,"PO",'caseload data'!$A:$A,$B$37)</f>
        <v>0</v>
      </c>
      <c r="M37" s="94">
        <f>SUMIFS('caseload data'!N:N,'caseload data'!$D:$D,"PO",'caseload data'!$A:$A,$B$37)</f>
        <v>0</v>
      </c>
      <c r="N37" s="94">
        <f>SUMIFS('caseload data'!O:O,'caseload data'!$D:$D,"PO",'caseload data'!$A:$A,$B$37)</f>
        <v>0</v>
      </c>
      <c r="O37" s="94">
        <f>SUMIFS('caseload data'!P:P,'caseload data'!$D:$D,"PO",'caseload data'!$A:$A,$B$37)</f>
        <v>0</v>
      </c>
      <c r="P37" s="94">
        <f>SUMIFS('caseload data'!Q:Q,'caseload data'!$D:$D,"PO",'caseload data'!$A:$A,$B$37)</f>
        <v>0</v>
      </c>
      <c r="Q37" s="94">
        <f>SUMIFS('caseload data'!R:R,'caseload data'!$D:$D,"PO",'caseload data'!$A:$A,$B$37)</f>
        <v>0</v>
      </c>
      <c r="R37" s="94">
        <f>SUMIFS('caseload data'!S:S,'caseload data'!$D:$D,"PO",'caseload data'!$A:$A,$B$37)</f>
        <v>0</v>
      </c>
      <c r="S37" s="94">
        <f>SUMIFS('caseload data'!T:T,'caseload data'!$D:$D,"PO",'caseload data'!$A:$A,$B$37)</f>
        <v>0</v>
      </c>
      <c r="T37" s="94">
        <f>SUMIFS('caseload data'!V:V,'caseload data'!$D:$D,"PO",'caseload data'!$A:$A,B37)</f>
        <v>0</v>
      </c>
      <c r="U37" s="64"/>
      <c r="V37" s="64"/>
      <c r="W37" s="471" t="s">
        <v>23</v>
      </c>
      <c r="X37" s="128" t="s">
        <v>1002</v>
      </c>
      <c r="Y37" s="167" t="e">
        <f>SUM(D37)/SUM(D$37:D$41)</f>
        <v>#DIV/0!</v>
      </c>
      <c r="Z37" s="167" t="e">
        <f>SUM(E37)/SUM(E$37:E$41)</f>
        <v>#DIV/0!</v>
      </c>
      <c r="AA37" s="167" t="e">
        <f t="shared" ref="AA37:AO41" si="31">SUM(F37)/SUM(F$37:F$41)</f>
        <v>#DIV/0!</v>
      </c>
      <c r="AB37" s="167" t="e">
        <f t="shared" si="31"/>
        <v>#DIV/0!</v>
      </c>
      <c r="AC37" s="167" t="e">
        <f t="shared" si="31"/>
        <v>#DIV/0!</v>
      </c>
      <c r="AD37" s="167" t="e">
        <f t="shared" si="31"/>
        <v>#DIV/0!</v>
      </c>
      <c r="AE37" s="167" t="e">
        <f t="shared" si="31"/>
        <v>#DIV/0!</v>
      </c>
      <c r="AF37" s="167" t="e">
        <f t="shared" si="31"/>
        <v>#DIV/0!</v>
      </c>
      <c r="AG37" s="167" t="e">
        <f t="shared" si="31"/>
        <v>#DIV/0!</v>
      </c>
      <c r="AH37" s="167" t="e">
        <f t="shared" si="31"/>
        <v>#DIV/0!</v>
      </c>
      <c r="AI37" s="167" t="e">
        <f t="shared" si="31"/>
        <v>#DIV/0!</v>
      </c>
      <c r="AJ37" s="167" t="e">
        <f t="shared" si="31"/>
        <v>#DIV/0!</v>
      </c>
      <c r="AK37" s="167" t="e">
        <f t="shared" si="31"/>
        <v>#DIV/0!</v>
      </c>
      <c r="AL37" s="167" t="e">
        <f t="shared" si="31"/>
        <v>#DIV/0!</v>
      </c>
      <c r="AM37" s="167" t="e">
        <f t="shared" si="31"/>
        <v>#DIV/0!</v>
      </c>
      <c r="AN37" s="167" t="e">
        <f t="shared" si="31"/>
        <v>#DIV/0!</v>
      </c>
      <c r="AO37" s="167" t="e">
        <f t="shared" si="31"/>
        <v>#DIV/0!</v>
      </c>
    </row>
    <row r="38" spans="2:41" x14ac:dyDescent="0.15">
      <c r="B38" s="472"/>
      <c r="C38" s="129" t="s">
        <v>1007</v>
      </c>
      <c r="D38" s="370">
        <f>SUMIFS('caseload data'!E:E,'caseload data'!$D:$D,"PSO",'caseload data'!$A:$A,"North West Region")</f>
        <v>0</v>
      </c>
      <c r="E38" s="94">
        <f>SUMIFS('caseload data'!F:F,'caseload data'!$D:$D,"PSO",'caseload data'!$A:$A,"North West Region")</f>
        <v>0</v>
      </c>
      <c r="F38" s="94">
        <f>SUMIFS('caseload data'!G:G,'caseload data'!$D:$D,"PSO",'caseload data'!$A:$A,"North West Region")</f>
        <v>0</v>
      </c>
      <c r="G38" s="94">
        <f>SUMIFS('caseload data'!H:H,'caseload data'!$D:$D,"PSO",'caseload data'!$A:$A,"North West Region")</f>
        <v>0</v>
      </c>
      <c r="H38" s="94">
        <f>SUMIFS('caseload data'!I:I,'caseload data'!$D:$D,"PSO",'caseload data'!$A:$A,"North West Region")</f>
        <v>0</v>
      </c>
      <c r="I38" s="94">
        <f>SUMIFS('caseload data'!J:J,'caseload data'!$D:$D,"PSO",'caseload data'!$A:$A,"North West Region")</f>
        <v>0</v>
      </c>
      <c r="J38" s="94">
        <f>SUMIFS('caseload data'!K:K,'caseload data'!$D:$D,"PSO",'caseload data'!$A:$A,"North West Region")</f>
        <v>0</v>
      </c>
      <c r="K38" s="94">
        <f>SUMIFS('caseload data'!L:L,'caseload data'!$D:$D,"PSO",'caseload data'!$A:$A,"North West Region")</f>
        <v>0</v>
      </c>
      <c r="L38" s="94">
        <f>SUMIFS('caseload data'!M:M,'caseload data'!$D:$D,"PSO",'caseload data'!$A:$A,"North West Region")</f>
        <v>0</v>
      </c>
      <c r="M38" s="94">
        <f>SUMIFS('caseload data'!N:N,'caseload data'!$D:$D,"PSO",'caseload data'!$A:$A,"North West Region")</f>
        <v>0</v>
      </c>
      <c r="N38" s="94">
        <f>SUMIFS('caseload data'!O:O,'caseload data'!$D:$D,"PSO",'caseload data'!$A:$A,"North West Region")</f>
        <v>0</v>
      </c>
      <c r="O38" s="94">
        <f>SUMIFS('caseload data'!P:P,'caseload data'!$D:$D,"PSO",'caseload data'!$A:$A,"North West Region")</f>
        <v>0</v>
      </c>
      <c r="P38" s="94">
        <f>SUMIFS('caseload data'!Q:Q,'caseload data'!$D:$D,"PSO",'caseload data'!$A:$A,"North West Region")</f>
        <v>0</v>
      </c>
      <c r="Q38" s="94">
        <f>SUMIFS('caseload data'!R:R,'caseload data'!$D:$D,"PSO",'caseload data'!$A:$A,"North West Region")</f>
        <v>0</v>
      </c>
      <c r="R38" s="94">
        <f>SUMIFS('caseload data'!S:S,'caseload data'!$D:$D,"PSO",'caseload data'!$A:$A,"North West Region")</f>
        <v>0</v>
      </c>
      <c r="S38" s="94">
        <f>SUMIFS('caseload data'!T:T,'caseload data'!$D:$D,"PSO",'caseload data'!$A:$A,"North West Region")</f>
        <v>0</v>
      </c>
      <c r="T38" s="94">
        <f>SUMIFS('caseload data'!V:V,'caseload data'!$D:$D,"PSO",'caseload data'!$A:$A,"North West Region")</f>
        <v>0</v>
      </c>
      <c r="U38" s="64"/>
      <c r="V38" s="64"/>
      <c r="W38" s="472"/>
      <c r="X38" s="129" t="s">
        <v>1007</v>
      </c>
      <c r="Y38" s="167" t="e">
        <f t="shared" ref="Y38:Z41" si="32">SUM(D38)/SUM(D$37:D$41)</f>
        <v>#DIV/0!</v>
      </c>
      <c r="Z38" s="167" t="e">
        <f t="shared" si="32"/>
        <v>#DIV/0!</v>
      </c>
      <c r="AA38" s="167" t="e">
        <f t="shared" si="31"/>
        <v>#DIV/0!</v>
      </c>
      <c r="AB38" s="167" t="e">
        <f t="shared" si="31"/>
        <v>#DIV/0!</v>
      </c>
      <c r="AC38" s="167" t="e">
        <f t="shared" si="31"/>
        <v>#DIV/0!</v>
      </c>
      <c r="AD38" s="167" t="e">
        <f t="shared" si="31"/>
        <v>#DIV/0!</v>
      </c>
      <c r="AE38" s="167" t="e">
        <f t="shared" si="31"/>
        <v>#DIV/0!</v>
      </c>
      <c r="AF38" s="167" t="e">
        <f t="shared" si="31"/>
        <v>#DIV/0!</v>
      </c>
      <c r="AG38" s="167" t="e">
        <f t="shared" si="31"/>
        <v>#DIV/0!</v>
      </c>
      <c r="AH38" s="167" t="e">
        <f t="shared" si="31"/>
        <v>#DIV/0!</v>
      </c>
      <c r="AI38" s="167" t="e">
        <f t="shared" si="31"/>
        <v>#DIV/0!</v>
      </c>
      <c r="AJ38" s="167" t="e">
        <f t="shared" si="31"/>
        <v>#DIV/0!</v>
      </c>
      <c r="AK38" s="167" t="e">
        <f t="shared" si="31"/>
        <v>#DIV/0!</v>
      </c>
      <c r="AL38" s="167" t="e">
        <f t="shared" si="31"/>
        <v>#DIV/0!</v>
      </c>
      <c r="AM38" s="167" t="e">
        <f t="shared" si="31"/>
        <v>#DIV/0!</v>
      </c>
      <c r="AN38" s="167" t="e">
        <f t="shared" si="31"/>
        <v>#DIV/0!</v>
      </c>
      <c r="AO38" s="167" t="e">
        <f t="shared" si="31"/>
        <v>#DIV/0!</v>
      </c>
    </row>
    <row r="39" spans="2:41" x14ac:dyDescent="0.15">
      <c r="B39" s="472"/>
      <c r="C39" s="129" t="s">
        <v>1008</v>
      </c>
      <c r="D39" s="370">
        <f>SUMIFS('caseload data'!E:E,'caseload data'!$D:$D,"TPO",'caseload data'!$A:$A,"North West Region")</f>
        <v>0</v>
      </c>
      <c r="E39" s="94">
        <f>SUMIFS('caseload data'!F:F,'caseload data'!$D:$D,"TPO",'caseload data'!$A:$A,"North West Region")</f>
        <v>0</v>
      </c>
      <c r="F39" s="94">
        <f>SUMIFS('caseload data'!G:G,'caseload data'!$D:$D,"TPO",'caseload data'!$A:$A,"North West Region")</f>
        <v>0</v>
      </c>
      <c r="G39" s="94">
        <f>SUMIFS('caseload data'!H:H,'caseload data'!$D:$D,"TPO",'caseload data'!$A:$A,"North West Region")</f>
        <v>0</v>
      </c>
      <c r="H39" s="94">
        <f>SUMIFS('caseload data'!I:I,'caseload data'!$D:$D,"TPO",'caseload data'!$A:$A,"North West Region")</f>
        <v>0</v>
      </c>
      <c r="I39" s="94">
        <f>SUMIFS('caseload data'!J:J,'caseload data'!$D:$D,"TPO",'caseload data'!$A:$A,"North West Region")</f>
        <v>0</v>
      </c>
      <c r="J39" s="94">
        <f>SUMIFS('caseload data'!K:K,'caseload data'!$D:$D,"TPO",'caseload data'!$A:$A,"North West Region")</f>
        <v>0</v>
      </c>
      <c r="K39" s="94">
        <f>SUMIFS('caseload data'!L:L,'caseload data'!$D:$D,"TPO",'caseload data'!$A:$A,"North West Region")</f>
        <v>0</v>
      </c>
      <c r="L39" s="94">
        <f>SUMIFS('caseload data'!M:M,'caseload data'!$D:$D,"TPO",'caseload data'!$A:$A,"North West Region")</f>
        <v>0</v>
      </c>
      <c r="M39" s="94">
        <f>SUMIFS('caseload data'!N:N,'caseload data'!$D:$D,"TPO",'caseload data'!$A:$A,"North West Region")</f>
        <v>0</v>
      </c>
      <c r="N39" s="94">
        <f>SUMIFS('caseload data'!O:O,'caseload data'!$D:$D,"TPO",'caseload data'!$A:$A,"North West Region")</f>
        <v>0</v>
      </c>
      <c r="O39" s="94">
        <f>SUMIFS('caseload data'!P:P,'caseload data'!$D:$D,"TPO",'caseload data'!$A:$A,"North West Region")</f>
        <v>0</v>
      </c>
      <c r="P39" s="94">
        <f>SUMIFS('caseload data'!Q:Q,'caseload data'!$D:$D,"TPO",'caseload data'!$A:$A,"North West Region")</f>
        <v>0</v>
      </c>
      <c r="Q39" s="94">
        <f>SUMIFS('caseload data'!R:R,'caseload data'!$D:$D,"TPO",'caseload data'!$A:$A,"North West Region")</f>
        <v>0</v>
      </c>
      <c r="R39" s="94">
        <f>SUMIFS('caseload data'!S:S,'caseload data'!$D:$D,"TPO",'caseload data'!$A:$A,"North West Region")</f>
        <v>0</v>
      </c>
      <c r="S39" s="94">
        <f>SUMIFS('caseload data'!T:T,'caseload data'!$D:$D,"TPO",'caseload data'!$A:$A,"North West Region")</f>
        <v>0</v>
      </c>
      <c r="T39" s="94">
        <f>SUMIFS('caseload data'!V:V,'caseload data'!$D:$D,"TPO",'caseload data'!$A:$A,"North West Region")</f>
        <v>0</v>
      </c>
      <c r="U39" s="64"/>
      <c r="V39" s="64"/>
      <c r="W39" s="472"/>
      <c r="X39" s="129" t="s">
        <v>1008</v>
      </c>
      <c r="Y39" s="167" t="e">
        <f t="shared" si="32"/>
        <v>#DIV/0!</v>
      </c>
      <c r="Z39" s="167" t="e">
        <f t="shared" si="32"/>
        <v>#DIV/0!</v>
      </c>
      <c r="AA39" s="167" t="e">
        <f t="shared" si="31"/>
        <v>#DIV/0!</v>
      </c>
      <c r="AB39" s="167" t="e">
        <f t="shared" si="31"/>
        <v>#DIV/0!</v>
      </c>
      <c r="AC39" s="167" t="e">
        <f t="shared" si="31"/>
        <v>#DIV/0!</v>
      </c>
      <c r="AD39" s="167" t="e">
        <f t="shared" si="31"/>
        <v>#DIV/0!</v>
      </c>
      <c r="AE39" s="167" t="e">
        <f t="shared" si="31"/>
        <v>#DIV/0!</v>
      </c>
      <c r="AF39" s="167" t="e">
        <f t="shared" si="31"/>
        <v>#DIV/0!</v>
      </c>
      <c r="AG39" s="167" t="e">
        <f t="shared" si="31"/>
        <v>#DIV/0!</v>
      </c>
      <c r="AH39" s="167" t="e">
        <f t="shared" si="31"/>
        <v>#DIV/0!</v>
      </c>
      <c r="AI39" s="167" t="e">
        <f t="shared" si="31"/>
        <v>#DIV/0!</v>
      </c>
      <c r="AJ39" s="167" t="e">
        <f t="shared" si="31"/>
        <v>#DIV/0!</v>
      </c>
      <c r="AK39" s="167" t="e">
        <f t="shared" si="31"/>
        <v>#DIV/0!</v>
      </c>
      <c r="AL39" s="167" t="e">
        <f t="shared" si="31"/>
        <v>#DIV/0!</v>
      </c>
      <c r="AM39" s="167" t="e">
        <f t="shared" si="31"/>
        <v>#DIV/0!</v>
      </c>
      <c r="AN39" s="167" t="e">
        <f t="shared" si="31"/>
        <v>#DIV/0!</v>
      </c>
      <c r="AO39" s="167" t="e">
        <f t="shared" si="31"/>
        <v>#DIV/0!</v>
      </c>
    </row>
    <row r="40" spans="2:41" x14ac:dyDescent="0.15">
      <c r="B40" s="472"/>
      <c r="C40" s="129" t="s">
        <v>1009</v>
      </c>
      <c r="D40" s="370">
        <f>SUMIFS('caseload data'!E:E,'caseload data'!$D:$D,"SPO",'caseload data'!$A:$A,"North West Region")</f>
        <v>0</v>
      </c>
      <c r="E40" s="94">
        <f>SUMIFS('caseload data'!F:F,'caseload data'!$D:$D,"SPO",'caseload data'!$A:$A,"North West Region")</f>
        <v>0</v>
      </c>
      <c r="F40" s="94">
        <f>SUMIFS('caseload data'!G:G,'caseload data'!$D:$D,"SPO",'caseload data'!$A:$A,"North West Region")</f>
        <v>0</v>
      </c>
      <c r="G40" s="94">
        <f>SUMIFS('caseload data'!H:H,'caseload data'!$D:$D,"SPO",'caseload data'!$A:$A,"North West Region")</f>
        <v>0</v>
      </c>
      <c r="H40" s="94">
        <f>SUMIFS('caseload data'!I:I,'caseload data'!$D:$D,"SPO",'caseload data'!$A:$A,"North West Region")</f>
        <v>0</v>
      </c>
      <c r="I40" s="94">
        <f>SUMIFS('caseload data'!J:J,'caseload data'!$D:$D,"SPO",'caseload data'!$A:$A,"North West Region")</f>
        <v>0</v>
      </c>
      <c r="J40" s="94">
        <f>SUMIFS('caseload data'!K:K,'caseload data'!$D:$D,"SPO",'caseload data'!$A:$A,"North West Region")</f>
        <v>0</v>
      </c>
      <c r="K40" s="94">
        <f>SUMIFS('caseload data'!L:L,'caseload data'!$D:$D,"SPO",'caseload data'!$A:$A,"North West Region")</f>
        <v>0</v>
      </c>
      <c r="L40" s="94">
        <f>SUMIFS('caseload data'!M:M,'caseload data'!$D:$D,"SPO",'caseload data'!$A:$A,"North West Region")</f>
        <v>0</v>
      </c>
      <c r="M40" s="94">
        <f>SUMIFS('caseload data'!N:N,'caseload data'!$D:$D,"SPO",'caseload data'!$A:$A,"North West Region")</f>
        <v>0</v>
      </c>
      <c r="N40" s="94">
        <f>SUMIFS('caseload data'!O:O,'caseload data'!$D:$D,"SPO",'caseload data'!$A:$A,"North West Region")</f>
        <v>0</v>
      </c>
      <c r="O40" s="94">
        <f>SUMIFS('caseload data'!P:P,'caseload data'!$D:$D,"SPO",'caseload data'!$A:$A,"North West Region")</f>
        <v>0</v>
      </c>
      <c r="P40" s="94">
        <f>SUMIFS('caseload data'!Q:Q,'caseload data'!$D:$D,"SPO",'caseload data'!$A:$A,"North West Region")</f>
        <v>0</v>
      </c>
      <c r="Q40" s="94">
        <f>SUMIFS('caseload data'!R:R,'caseload data'!$D:$D,"SPO",'caseload data'!$A:$A,"North West Region")</f>
        <v>0</v>
      </c>
      <c r="R40" s="94">
        <f>SUMIFS('caseload data'!S:S,'caseload data'!$D:$D,"SPO",'caseload data'!$A:$A,"North West Region")</f>
        <v>0</v>
      </c>
      <c r="S40" s="94">
        <f>SUMIFS('caseload data'!T:T,'caseload data'!$D:$D,"SPO",'caseload data'!$A:$A,"North West Region")</f>
        <v>0</v>
      </c>
      <c r="T40" s="94">
        <f>SUMIFS('caseload data'!V:V,'caseload data'!$D:$D,"SPO",'caseload data'!$A:$A,"North West Region")</f>
        <v>0</v>
      </c>
      <c r="U40" s="64"/>
      <c r="V40" s="64"/>
      <c r="W40" s="472"/>
      <c r="X40" s="129" t="s">
        <v>1009</v>
      </c>
      <c r="Y40" s="167" t="e">
        <f t="shared" si="32"/>
        <v>#DIV/0!</v>
      </c>
      <c r="Z40" s="167" t="e">
        <f t="shared" si="32"/>
        <v>#DIV/0!</v>
      </c>
      <c r="AA40" s="167" t="e">
        <f t="shared" si="31"/>
        <v>#DIV/0!</v>
      </c>
      <c r="AB40" s="167" t="e">
        <f t="shared" si="31"/>
        <v>#DIV/0!</v>
      </c>
      <c r="AC40" s="167" t="e">
        <f t="shared" si="31"/>
        <v>#DIV/0!</v>
      </c>
      <c r="AD40" s="167" t="e">
        <f t="shared" si="31"/>
        <v>#DIV/0!</v>
      </c>
      <c r="AE40" s="167" t="e">
        <f t="shared" si="31"/>
        <v>#DIV/0!</v>
      </c>
      <c r="AF40" s="167" t="e">
        <f t="shared" si="31"/>
        <v>#DIV/0!</v>
      </c>
      <c r="AG40" s="167" t="e">
        <f t="shared" si="31"/>
        <v>#DIV/0!</v>
      </c>
      <c r="AH40" s="167" t="e">
        <f t="shared" si="31"/>
        <v>#DIV/0!</v>
      </c>
      <c r="AI40" s="167" t="e">
        <f t="shared" si="31"/>
        <v>#DIV/0!</v>
      </c>
      <c r="AJ40" s="167" t="e">
        <f t="shared" si="31"/>
        <v>#DIV/0!</v>
      </c>
      <c r="AK40" s="167" t="e">
        <f t="shared" si="31"/>
        <v>#DIV/0!</v>
      </c>
      <c r="AL40" s="167" t="e">
        <f t="shared" si="31"/>
        <v>#DIV/0!</v>
      </c>
      <c r="AM40" s="167" t="e">
        <f t="shared" si="31"/>
        <v>#DIV/0!</v>
      </c>
      <c r="AN40" s="167" t="e">
        <f t="shared" si="31"/>
        <v>#DIV/0!</v>
      </c>
      <c r="AO40" s="167" t="e">
        <f t="shared" si="31"/>
        <v>#DIV/0!</v>
      </c>
    </row>
    <row r="41" spans="2:41" x14ac:dyDescent="0.15">
      <c r="B41" s="473"/>
      <c r="C41" s="130" t="s">
        <v>1344</v>
      </c>
      <c r="D41" s="370">
        <f>SUMIFS('caseload data'!E:E,'caseload data'!$D:$D,"DMY",'caseload data'!$A:$A,"North West Region")</f>
        <v>0</v>
      </c>
      <c r="E41" s="370">
        <f>SUMIFS('caseload data'!F:F,'caseload data'!$D:$D,"DMY",'caseload data'!$A:$A,"North West Region")</f>
        <v>0</v>
      </c>
      <c r="F41" s="370">
        <f>SUMIFS('caseload data'!G:G,'caseload data'!$D:$D,"DMY",'caseload data'!$A:$A,"North West Region")</f>
        <v>0</v>
      </c>
      <c r="G41" s="370">
        <f>SUMIFS('caseload data'!H:H,'caseload data'!$D:$D,"DMY",'caseload data'!$A:$A,"North West Region")</f>
        <v>0</v>
      </c>
      <c r="H41" s="370">
        <f>SUMIFS('caseload data'!I:I,'caseload data'!$D:$D,"DMY",'caseload data'!$A:$A,"North West Region")</f>
        <v>0</v>
      </c>
      <c r="I41" s="370">
        <f>SUMIFS('caseload data'!J:J,'caseload data'!$D:$D,"DMY",'caseload data'!$A:$A,"North West Region")</f>
        <v>0</v>
      </c>
      <c r="J41" s="370">
        <f>SUMIFS('caseload data'!K:K,'caseload data'!$D:$D,"DMY",'caseload data'!$A:$A,"North West Region")</f>
        <v>0</v>
      </c>
      <c r="K41" s="370">
        <f>SUMIFS('caseload data'!L:L,'caseload data'!$D:$D,"DMY",'caseload data'!$A:$A,"North West Region")</f>
        <v>0</v>
      </c>
      <c r="L41" s="370">
        <f>SUMIFS('caseload data'!M:M,'caseload data'!$D:$D,"DMY",'caseload data'!$A:$A,"North West Region")</f>
        <v>0</v>
      </c>
      <c r="M41" s="370">
        <f>SUMIFS('caseload data'!N:N,'caseload data'!$D:$D,"DMY",'caseload data'!$A:$A,"North West Region")</f>
        <v>0</v>
      </c>
      <c r="N41" s="370">
        <f>SUMIFS('caseload data'!O:O,'caseload data'!$D:$D,"DMY",'caseload data'!$A:$A,"North West Region")</f>
        <v>0</v>
      </c>
      <c r="O41" s="370">
        <f>SUMIFS('caseload data'!P:P,'caseload data'!$D:$D,"DMY",'caseload data'!$A:$A,"North West Region")</f>
        <v>0</v>
      </c>
      <c r="P41" s="370">
        <f>SUMIFS('caseload data'!Q:Q,'caseload data'!$D:$D,"DMY",'caseload data'!$A:$A,"North West Region")</f>
        <v>0</v>
      </c>
      <c r="Q41" s="370">
        <f>SUMIFS('caseload data'!R:R,'caseload data'!$D:$D,"DMY",'caseload data'!$A:$A,"North West Region")</f>
        <v>0</v>
      </c>
      <c r="R41" s="370">
        <f>SUMIFS('caseload data'!S:S,'caseload data'!$D:$D,"DMY",'caseload data'!$A:$A,"North West Region")</f>
        <v>0</v>
      </c>
      <c r="S41" s="370">
        <f>SUMIFS('caseload data'!T:T,'caseload data'!$D:$D,"DMY",'caseload data'!$A:$A,"North West Region")</f>
        <v>0</v>
      </c>
      <c r="T41" s="94">
        <f>SUMIFS('caseload data'!V:V,'caseload data'!$D:$D,"DMY",'caseload data'!$A:$A,"North West Region")</f>
        <v>0</v>
      </c>
      <c r="U41" s="64"/>
      <c r="V41" s="64"/>
      <c r="W41" s="473"/>
      <c r="X41" s="130" t="s">
        <v>1344</v>
      </c>
      <c r="Y41" s="167" t="e">
        <f t="shared" si="32"/>
        <v>#DIV/0!</v>
      </c>
      <c r="Z41" s="167" t="e">
        <f t="shared" si="32"/>
        <v>#DIV/0!</v>
      </c>
      <c r="AA41" s="167" t="e">
        <f t="shared" si="31"/>
        <v>#DIV/0!</v>
      </c>
      <c r="AB41" s="167" t="e">
        <f t="shared" si="31"/>
        <v>#DIV/0!</v>
      </c>
      <c r="AC41" s="167" t="e">
        <f t="shared" si="31"/>
        <v>#DIV/0!</v>
      </c>
      <c r="AD41" s="167" t="e">
        <f t="shared" si="31"/>
        <v>#DIV/0!</v>
      </c>
      <c r="AE41" s="167" t="e">
        <f t="shared" si="31"/>
        <v>#DIV/0!</v>
      </c>
      <c r="AF41" s="167" t="e">
        <f t="shared" si="31"/>
        <v>#DIV/0!</v>
      </c>
      <c r="AG41" s="167" t="e">
        <f t="shared" si="31"/>
        <v>#DIV/0!</v>
      </c>
      <c r="AH41" s="167" t="e">
        <f t="shared" si="31"/>
        <v>#DIV/0!</v>
      </c>
      <c r="AI41" s="167" t="e">
        <f t="shared" si="31"/>
        <v>#DIV/0!</v>
      </c>
      <c r="AJ41" s="167" t="e">
        <f t="shared" si="31"/>
        <v>#DIV/0!</v>
      </c>
      <c r="AK41" s="167" t="e">
        <f t="shared" si="31"/>
        <v>#DIV/0!</v>
      </c>
      <c r="AL41" s="167" t="e">
        <f t="shared" si="31"/>
        <v>#DIV/0!</v>
      </c>
      <c r="AM41" s="167" t="e">
        <f t="shared" si="31"/>
        <v>#DIV/0!</v>
      </c>
      <c r="AN41" s="167" t="e">
        <f t="shared" si="31"/>
        <v>#DIV/0!</v>
      </c>
      <c r="AO41" s="167" t="e">
        <f t="shared" si="31"/>
        <v>#DIV/0!</v>
      </c>
    </row>
    <row r="42" spans="2:41" x14ac:dyDescent="0.15">
      <c r="B42" s="477" t="s">
        <v>24</v>
      </c>
      <c r="C42" s="128" t="s">
        <v>1002</v>
      </c>
      <c r="D42" s="370">
        <f>SUMIFS('caseload data'!E:E,'caseload data'!$D:$D,"PO",'caseload data'!$A:$A,$B$42)</f>
        <v>0</v>
      </c>
      <c r="E42" s="94">
        <f>SUMIFS('caseload data'!F:F,'caseload data'!$D:$D,"PO",'caseload data'!$A:$A,$B$42)</f>
        <v>0</v>
      </c>
      <c r="F42" s="94">
        <f>SUMIFS('caseload data'!G:G,'caseload data'!$D:$D,"PO",'caseload data'!$A:$A,$B$42)</f>
        <v>0</v>
      </c>
      <c r="G42" s="94">
        <f>SUMIFS('caseload data'!H:H,'caseload data'!$D:$D,"PO",'caseload data'!$A:$A,$B$42)</f>
        <v>0</v>
      </c>
      <c r="H42" s="94">
        <f>SUMIFS('caseload data'!I:I,'caseload data'!$D:$D,"PO",'caseload data'!$A:$A,$B$42)</f>
        <v>0</v>
      </c>
      <c r="I42" s="94">
        <f>SUMIFS('caseload data'!J:J,'caseload data'!$D:$D,"PO",'caseload data'!$A:$A,$B$42)</f>
        <v>0</v>
      </c>
      <c r="J42" s="94">
        <f>SUMIFS('caseload data'!K:K,'caseload data'!$D:$D,"PO",'caseload data'!$A:$A,$B$42)</f>
        <v>0</v>
      </c>
      <c r="K42" s="94">
        <f>SUMIFS('caseload data'!L:L,'caseload data'!$D:$D,"PO",'caseload data'!$A:$A,$B$42)</f>
        <v>0</v>
      </c>
      <c r="L42" s="94">
        <f>SUMIFS('caseload data'!M:M,'caseload data'!$D:$D,"PO",'caseload data'!$A:$A,$B$42)</f>
        <v>0</v>
      </c>
      <c r="M42" s="94">
        <f>SUMIFS('caseload data'!N:N,'caseload data'!$D:$D,"PO",'caseload data'!$A:$A,$B$42)</f>
        <v>0</v>
      </c>
      <c r="N42" s="94">
        <f>SUMIFS('caseload data'!O:O,'caseload data'!$D:$D,"PO",'caseload data'!$A:$A,$B$42)</f>
        <v>0</v>
      </c>
      <c r="O42" s="94">
        <f>SUMIFS('caseload data'!P:P,'caseload data'!$D:$D,"PO",'caseload data'!$A:$A,$B$42)</f>
        <v>0</v>
      </c>
      <c r="P42" s="94">
        <f>SUMIFS('caseload data'!Q:Q,'caseload data'!$D:$D,"PO",'caseload data'!$A:$A,$B$42)</f>
        <v>0</v>
      </c>
      <c r="Q42" s="94">
        <f>SUMIFS('caseload data'!R:R,'caseload data'!$D:$D,"PO",'caseload data'!$A:$A,$B$42)</f>
        <v>0</v>
      </c>
      <c r="R42" s="94">
        <f>SUMIFS('caseload data'!S:S,'caseload data'!$D:$D,"PO",'caseload data'!$A:$A,$B$42)</f>
        <v>0</v>
      </c>
      <c r="S42" s="94">
        <f>SUMIFS('caseload data'!T:T,'caseload data'!$D:$D,"PO",'caseload data'!$A:$A,$B$42)</f>
        <v>0</v>
      </c>
      <c r="T42" s="94">
        <f>SUMIFS('caseload data'!V:V,'caseload data'!$D:$D,"PO",'caseload data'!$A:$A,B42)</f>
        <v>0</v>
      </c>
      <c r="U42" s="64"/>
      <c r="V42" s="64"/>
      <c r="W42" s="471" t="s">
        <v>24</v>
      </c>
      <c r="X42" s="128" t="s">
        <v>1002</v>
      </c>
      <c r="Y42" s="167" t="e">
        <f>SUM(D42)/SUM(D$42:D$46)</f>
        <v>#DIV/0!</v>
      </c>
      <c r="Z42" s="167" t="e">
        <f t="shared" ref="Z42:AO46" si="33">SUM(E42)/SUM(E$42:E$46)</f>
        <v>#DIV/0!</v>
      </c>
      <c r="AA42" s="167" t="e">
        <f t="shared" si="33"/>
        <v>#DIV/0!</v>
      </c>
      <c r="AB42" s="167" t="e">
        <f t="shared" si="33"/>
        <v>#DIV/0!</v>
      </c>
      <c r="AC42" s="167" t="e">
        <f t="shared" si="33"/>
        <v>#DIV/0!</v>
      </c>
      <c r="AD42" s="167" t="e">
        <f t="shared" si="33"/>
        <v>#DIV/0!</v>
      </c>
      <c r="AE42" s="167" t="e">
        <f t="shared" si="33"/>
        <v>#DIV/0!</v>
      </c>
      <c r="AF42" s="167" t="e">
        <f t="shared" si="33"/>
        <v>#DIV/0!</v>
      </c>
      <c r="AG42" s="167" t="e">
        <f t="shared" si="33"/>
        <v>#DIV/0!</v>
      </c>
      <c r="AH42" s="167" t="e">
        <f t="shared" si="33"/>
        <v>#DIV/0!</v>
      </c>
      <c r="AI42" s="167" t="e">
        <f t="shared" si="33"/>
        <v>#DIV/0!</v>
      </c>
      <c r="AJ42" s="167" t="e">
        <f t="shared" si="33"/>
        <v>#DIV/0!</v>
      </c>
      <c r="AK42" s="167" t="e">
        <f t="shared" si="33"/>
        <v>#DIV/0!</v>
      </c>
      <c r="AL42" s="167" t="e">
        <f t="shared" si="33"/>
        <v>#DIV/0!</v>
      </c>
      <c r="AM42" s="167" t="e">
        <f t="shared" si="33"/>
        <v>#DIV/0!</v>
      </c>
      <c r="AN42" s="167" t="e">
        <f t="shared" si="33"/>
        <v>#DIV/0!</v>
      </c>
      <c r="AO42" s="167" t="e">
        <f t="shared" si="33"/>
        <v>#DIV/0!</v>
      </c>
    </row>
    <row r="43" spans="2:41" x14ac:dyDescent="0.15">
      <c r="B43" s="478"/>
      <c r="C43" s="129" t="s">
        <v>1007</v>
      </c>
      <c r="D43" s="370">
        <f>SUMIFS('caseload data'!E:E,'caseload data'!$D:$D,"PSO",'caseload data'!$A:$A,"South Central")</f>
        <v>0</v>
      </c>
      <c r="E43" s="94">
        <f>SUMIFS('caseload data'!F:F,'caseload data'!$D:$D,"PSO",'caseload data'!$A:$A,"South Central")</f>
        <v>0</v>
      </c>
      <c r="F43" s="94">
        <f>SUMIFS('caseload data'!G:G,'caseload data'!$D:$D,"PSO",'caseload data'!$A:$A,"South Central")</f>
        <v>0</v>
      </c>
      <c r="G43" s="94">
        <f>SUMIFS('caseload data'!H:H,'caseload data'!$D:$D,"PSO",'caseload data'!$A:$A,"South Central")</f>
        <v>0</v>
      </c>
      <c r="H43" s="94">
        <f>SUMIFS('caseload data'!I:I,'caseload data'!$D:$D,"PSO",'caseload data'!$A:$A,"South Central")</f>
        <v>0</v>
      </c>
      <c r="I43" s="94">
        <f>SUMIFS('caseload data'!J:J,'caseload data'!$D:$D,"PSO",'caseload data'!$A:$A,"South Central")</f>
        <v>0</v>
      </c>
      <c r="J43" s="94">
        <f>SUMIFS('caseload data'!K:K,'caseload data'!$D:$D,"PSO",'caseload data'!$A:$A,"South Central")</f>
        <v>0</v>
      </c>
      <c r="K43" s="94">
        <f>SUMIFS('caseload data'!L:L,'caseload data'!$D:$D,"PSO",'caseload data'!$A:$A,"South Central")</f>
        <v>0</v>
      </c>
      <c r="L43" s="94">
        <f>SUMIFS('caseload data'!M:M,'caseload data'!$D:$D,"PSO",'caseload data'!$A:$A,"South Central")</f>
        <v>0</v>
      </c>
      <c r="M43" s="94">
        <f>SUMIFS('caseload data'!N:N,'caseload data'!$D:$D,"PSO",'caseload data'!$A:$A,"South Central")</f>
        <v>0</v>
      </c>
      <c r="N43" s="94">
        <f>SUMIFS('caseload data'!O:O,'caseload data'!$D:$D,"PSO",'caseload data'!$A:$A,"South Central")</f>
        <v>0</v>
      </c>
      <c r="O43" s="94">
        <f>SUMIFS('caseload data'!P:P,'caseload data'!$D:$D,"PSO",'caseload data'!$A:$A,"South Central")</f>
        <v>0</v>
      </c>
      <c r="P43" s="94">
        <f>SUMIFS('caseload data'!Q:Q,'caseload data'!$D:$D,"PSO",'caseload data'!$A:$A,"South Central")</f>
        <v>0</v>
      </c>
      <c r="Q43" s="94">
        <f>SUMIFS('caseload data'!R:R,'caseload data'!$D:$D,"PSO",'caseload data'!$A:$A,"South Central")</f>
        <v>0</v>
      </c>
      <c r="R43" s="94">
        <f>SUMIFS('caseload data'!S:S,'caseload data'!$D:$D,"PSO",'caseload data'!$A:$A,"South Central")</f>
        <v>0</v>
      </c>
      <c r="S43" s="94">
        <f>SUMIFS('caseload data'!T:T,'caseload data'!$D:$D,"PSO",'caseload data'!$A:$A,"South Central")</f>
        <v>0</v>
      </c>
      <c r="T43" s="94">
        <f>SUMIFS('caseload data'!V:V,'caseload data'!$D:$D,"PSO",'caseload data'!$A:$A,"South Central")</f>
        <v>0</v>
      </c>
      <c r="U43" s="64"/>
      <c r="V43" s="64"/>
      <c r="W43" s="472"/>
      <c r="X43" s="129" t="s">
        <v>1007</v>
      </c>
      <c r="Y43" s="167" t="e">
        <f t="shared" ref="Y43:Y46" si="34">SUM(D43)/SUM(D$42:D$46)</f>
        <v>#DIV/0!</v>
      </c>
      <c r="Z43" s="167" t="e">
        <f t="shared" si="33"/>
        <v>#DIV/0!</v>
      </c>
      <c r="AA43" s="167" t="e">
        <f t="shared" si="33"/>
        <v>#DIV/0!</v>
      </c>
      <c r="AB43" s="167" t="e">
        <f t="shared" si="33"/>
        <v>#DIV/0!</v>
      </c>
      <c r="AC43" s="167" t="e">
        <f t="shared" si="33"/>
        <v>#DIV/0!</v>
      </c>
      <c r="AD43" s="167" t="e">
        <f t="shared" si="33"/>
        <v>#DIV/0!</v>
      </c>
      <c r="AE43" s="167" t="e">
        <f t="shared" si="33"/>
        <v>#DIV/0!</v>
      </c>
      <c r="AF43" s="167" t="e">
        <f t="shared" si="33"/>
        <v>#DIV/0!</v>
      </c>
      <c r="AG43" s="167" t="e">
        <f t="shared" si="33"/>
        <v>#DIV/0!</v>
      </c>
      <c r="AH43" s="167" t="e">
        <f t="shared" si="33"/>
        <v>#DIV/0!</v>
      </c>
      <c r="AI43" s="167" t="e">
        <f t="shared" si="33"/>
        <v>#DIV/0!</v>
      </c>
      <c r="AJ43" s="167" t="e">
        <f t="shared" si="33"/>
        <v>#DIV/0!</v>
      </c>
      <c r="AK43" s="167" t="e">
        <f t="shared" si="33"/>
        <v>#DIV/0!</v>
      </c>
      <c r="AL43" s="167" t="e">
        <f t="shared" si="33"/>
        <v>#DIV/0!</v>
      </c>
      <c r="AM43" s="167" t="e">
        <f t="shared" si="33"/>
        <v>#DIV/0!</v>
      </c>
      <c r="AN43" s="167" t="e">
        <f t="shared" si="33"/>
        <v>#DIV/0!</v>
      </c>
      <c r="AO43" s="167" t="e">
        <f t="shared" si="33"/>
        <v>#DIV/0!</v>
      </c>
    </row>
    <row r="44" spans="2:41" x14ac:dyDescent="0.15">
      <c r="B44" s="478"/>
      <c r="C44" s="129" t="s">
        <v>1008</v>
      </c>
      <c r="D44" s="370">
        <f>SUMIFS('caseload data'!E:E,'caseload data'!$D:$D,"TPO",'caseload data'!$A:$A,"South Central")</f>
        <v>0</v>
      </c>
      <c r="E44" s="94">
        <f>SUMIFS('caseload data'!F:F,'caseload data'!$D:$D,"TPO",'caseload data'!$A:$A,"South Central")</f>
        <v>0</v>
      </c>
      <c r="F44" s="94">
        <f>SUMIFS('caseload data'!G:G,'caseload data'!$D:$D,"TPO",'caseload data'!$A:$A,"South Central")</f>
        <v>0</v>
      </c>
      <c r="G44" s="94">
        <f>SUMIFS('caseload data'!H:H,'caseload data'!$D:$D,"TPO",'caseload data'!$A:$A,"South Central")</f>
        <v>0</v>
      </c>
      <c r="H44" s="94">
        <f>SUMIFS('caseload data'!I:I,'caseload data'!$D:$D,"TPO",'caseload data'!$A:$A,"South Central")</f>
        <v>0</v>
      </c>
      <c r="I44" s="94">
        <f>SUMIFS('caseload data'!J:J,'caseload data'!$D:$D,"TPO",'caseload data'!$A:$A,"South Central")</f>
        <v>0</v>
      </c>
      <c r="J44" s="94">
        <f>SUMIFS('caseload data'!K:K,'caseload data'!$D:$D,"TPO",'caseload data'!$A:$A,"South Central")</f>
        <v>0</v>
      </c>
      <c r="K44" s="94">
        <f>SUMIFS('caseload data'!L:L,'caseload data'!$D:$D,"TPO",'caseload data'!$A:$A,"South Central")</f>
        <v>0</v>
      </c>
      <c r="L44" s="94">
        <f>SUMIFS('caseload data'!M:M,'caseload data'!$D:$D,"TPO",'caseload data'!$A:$A,"South Central")</f>
        <v>0</v>
      </c>
      <c r="M44" s="94">
        <f>SUMIFS('caseload data'!N:N,'caseload data'!$D:$D,"TPO",'caseload data'!$A:$A,"South Central")</f>
        <v>0</v>
      </c>
      <c r="N44" s="94">
        <f>SUMIFS('caseload data'!O:O,'caseload data'!$D:$D,"TPO",'caseload data'!$A:$A,"South Central")</f>
        <v>0</v>
      </c>
      <c r="O44" s="94">
        <f>SUMIFS('caseload data'!P:P,'caseload data'!$D:$D,"TPO",'caseload data'!$A:$A,"South Central")</f>
        <v>0</v>
      </c>
      <c r="P44" s="94">
        <f>SUMIFS('caseload data'!Q:Q,'caseload data'!$D:$D,"TPO",'caseload data'!$A:$A,"South Central")</f>
        <v>0</v>
      </c>
      <c r="Q44" s="94">
        <f>SUMIFS('caseload data'!R:R,'caseload data'!$D:$D,"TPO",'caseload data'!$A:$A,"South Central")</f>
        <v>0</v>
      </c>
      <c r="R44" s="94">
        <f>SUMIFS('caseload data'!S:S,'caseload data'!$D:$D,"TPO",'caseload data'!$A:$A,"South Central")</f>
        <v>0</v>
      </c>
      <c r="S44" s="94">
        <f>SUMIFS('caseload data'!T:T,'caseload data'!$D:$D,"TPO",'caseload data'!$A:$A,"South Central")</f>
        <v>0</v>
      </c>
      <c r="T44" s="94">
        <f>SUMIFS('caseload data'!V:V,'caseload data'!$D:$D,"TPO",'caseload data'!$A:$A,"South Central")</f>
        <v>0</v>
      </c>
      <c r="U44" s="64"/>
      <c r="V44" s="64"/>
      <c r="W44" s="472"/>
      <c r="X44" s="129" t="s">
        <v>1008</v>
      </c>
      <c r="Y44" s="167" t="e">
        <f t="shared" si="34"/>
        <v>#DIV/0!</v>
      </c>
      <c r="Z44" s="167" t="e">
        <f t="shared" si="33"/>
        <v>#DIV/0!</v>
      </c>
      <c r="AA44" s="167" t="e">
        <f t="shared" si="33"/>
        <v>#DIV/0!</v>
      </c>
      <c r="AB44" s="167" t="e">
        <f t="shared" si="33"/>
        <v>#DIV/0!</v>
      </c>
      <c r="AC44" s="167" t="e">
        <f t="shared" si="33"/>
        <v>#DIV/0!</v>
      </c>
      <c r="AD44" s="167" t="e">
        <f t="shared" si="33"/>
        <v>#DIV/0!</v>
      </c>
      <c r="AE44" s="167" t="e">
        <f t="shared" si="33"/>
        <v>#DIV/0!</v>
      </c>
      <c r="AF44" s="167" t="e">
        <f t="shared" si="33"/>
        <v>#DIV/0!</v>
      </c>
      <c r="AG44" s="167" t="e">
        <f t="shared" si="33"/>
        <v>#DIV/0!</v>
      </c>
      <c r="AH44" s="167" t="e">
        <f t="shared" si="33"/>
        <v>#DIV/0!</v>
      </c>
      <c r="AI44" s="167" t="e">
        <f t="shared" si="33"/>
        <v>#DIV/0!</v>
      </c>
      <c r="AJ44" s="167" t="e">
        <f t="shared" si="33"/>
        <v>#DIV/0!</v>
      </c>
      <c r="AK44" s="167" t="e">
        <f t="shared" si="33"/>
        <v>#DIV/0!</v>
      </c>
      <c r="AL44" s="167" t="e">
        <f t="shared" si="33"/>
        <v>#DIV/0!</v>
      </c>
      <c r="AM44" s="167" t="e">
        <f t="shared" si="33"/>
        <v>#DIV/0!</v>
      </c>
      <c r="AN44" s="167" t="e">
        <f t="shared" si="33"/>
        <v>#DIV/0!</v>
      </c>
      <c r="AO44" s="167" t="e">
        <f t="shared" si="33"/>
        <v>#DIV/0!</v>
      </c>
    </row>
    <row r="45" spans="2:41" x14ac:dyDescent="0.15">
      <c r="B45" s="478"/>
      <c r="C45" s="129" t="s">
        <v>1009</v>
      </c>
      <c r="D45" s="370">
        <f>SUMIFS('caseload data'!E:E,'caseload data'!$D:$D,"SPO",'caseload data'!$A:$A,"South Central")</f>
        <v>0</v>
      </c>
      <c r="E45" s="94">
        <f>SUMIFS('caseload data'!F:F,'caseload data'!$D:$D,"SPO",'caseload data'!$A:$A,"South Central")</f>
        <v>0</v>
      </c>
      <c r="F45" s="94">
        <f>SUMIFS('caseload data'!G:G,'caseload data'!$D:$D,"SPO",'caseload data'!$A:$A,"South Central")</f>
        <v>0</v>
      </c>
      <c r="G45" s="94">
        <f>SUMIFS('caseload data'!H:H,'caseload data'!$D:$D,"SPO",'caseload data'!$A:$A,"South Central")</f>
        <v>0</v>
      </c>
      <c r="H45" s="94">
        <f>SUMIFS('caseload data'!I:I,'caseload data'!$D:$D,"SPO",'caseload data'!$A:$A,"South Central")</f>
        <v>0</v>
      </c>
      <c r="I45" s="94">
        <f>SUMIFS('caseload data'!J:J,'caseload data'!$D:$D,"SPO",'caseload data'!$A:$A,"South Central")</f>
        <v>0</v>
      </c>
      <c r="J45" s="94">
        <f>SUMIFS('caseload data'!K:K,'caseload data'!$D:$D,"SPO",'caseload data'!$A:$A,"South Central")</f>
        <v>0</v>
      </c>
      <c r="K45" s="94">
        <f>SUMIFS('caseload data'!L:L,'caseload data'!$D:$D,"SPO",'caseload data'!$A:$A,"South Central")</f>
        <v>0</v>
      </c>
      <c r="L45" s="94">
        <f>SUMIFS('caseload data'!M:M,'caseload data'!$D:$D,"SPO",'caseload data'!$A:$A,"South Central")</f>
        <v>0</v>
      </c>
      <c r="M45" s="94">
        <f>SUMIFS('caseload data'!N:N,'caseload data'!$D:$D,"SPO",'caseload data'!$A:$A,"South Central")</f>
        <v>0</v>
      </c>
      <c r="N45" s="94">
        <f>SUMIFS('caseload data'!O:O,'caseload data'!$D:$D,"SPO",'caseload data'!$A:$A,"South Central")</f>
        <v>0</v>
      </c>
      <c r="O45" s="94">
        <f>SUMIFS('caseload data'!P:P,'caseload data'!$D:$D,"SPO",'caseload data'!$A:$A,"South Central")</f>
        <v>0</v>
      </c>
      <c r="P45" s="94">
        <f>SUMIFS('caseload data'!Q:Q,'caseload data'!$D:$D,"SPO",'caseload data'!$A:$A,"South Central")</f>
        <v>0</v>
      </c>
      <c r="Q45" s="94">
        <f>SUMIFS('caseload data'!R:R,'caseload data'!$D:$D,"SPO",'caseload data'!$A:$A,"South Central")</f>
        <v>0</v>
      </c>
      <c r="R45" s="94">
        <f>SUMIFS('caseload data'!S:S,'caseload data'!$D:$D,"SPO",'caseload data'!$A:$A,"South Central")</f>
        <v>0</v>
      </c>
      <c r="S45" s="94">
        <f>SUMIFS('caseload data'!T:T,'caseload data'!$D:$D,"SPO",'caseload data'!$A:$A,"South Central")</f>
        <v>0</v>
      </c>
      <c r="T45" s="94">
        <f>SUMIFS('caseload data'!V:V,'caseload data'!$D:$D,"SPO",'caseload data'!$A:$A,"South Central")</f>
        <v>0</v>
      </c>
      <c r="U45" s="64"/>
      <c r="V45" s="64"/>
      <c r="W45" s="472"/>
      <c r="X45" s="129" t="s">
        <v>1009</v>
      </c>
      <c r="Y45" s="167" t="e">
        <f t="shared" si="34"/>
        <v>#DIV/0!</v>
      </c>
      <c r="Z45" s="167" t="e">
        <f t="shared" si="33"/>
        <v>#DIV/0!</v>
      </c>
      <c r="AA45" s="167" t="e">
        <f t="shared" si="33"/>
        <v>#DIV/0!</v>
      </c>
      <c r="AB45" s="167" t="e">
        <f t="shared" si="33"/>
        <v>#DIV/0!</v>
      </c>
      <c r="AC45" s="167" t="e">
        <f t="shared" si="33"/>
        <v>#DIV/0!</v>
      </c>
      <c r="AD45" s="167" t="e">
        <f t="shared" si="33"/>
        <v>#DIV/0!</v>
      </c>
      <c r="AE45" s="167" t="e">
        <f t="shared" si="33"/>
        <v>#DIV/0!</v>
      </c>
      <c r="AF45" s="167" t="e">
        <f t="shared" si="33"/>
        <v>#DIV/0!</v>
      </c>
      <c r="AG45" s="167" t="e">
        <f t="shared" si="33"/>
        <v>#DIV/0!</v>
      </c>
      <c r="AH45" s="167" t="e">
        <f t="shared" si="33"/>
        <v>#DIV/0!</v>
      </c>
      <c r="AI45" s="167" t="e">
        <f t="shared" si="33"/>
        <v>#DIV/0!</v>
      </c>
      <c r="AJ45" s="167" t="e">
        <f t="shared" si="33"/>
        <v>#DIV/0!</v>
      </c>
      <c r="AK45" s="167" t="e">
        <f t="shared" si="33"/>
        <v>#DIV/0!</v>
      </c>
      <c r="AL45" s="167" t="e">
        <f t="shared" si="33"/>
        <v>#DIV/0!</v>
      </c>
      <c r="AM45" s="167" t="e">
        <f t="shared" si="33"/>
        <v>#DIV/0!</v>
      </c>
      <c r="AN45" s="167" t="e">
        <f t="shared" si="33"/>
        <v>#DIV/0!</v>
      </c>
      <c r="AO45" s="167" t="e">
        <f t="shared" si="33"/>
        <v>#DIV/0!</v>
      </c>
    </row>
    <row r="46" spans="2:41" x14ac:dyDescent="0.15">
      <c r="B46" s="479"/>
      <c r="C46" s="130" t="s">
        <v>1344</v>
      </c>
      <c r="D46" s="370">
        <f>SUMIFS('caseload data'!E:E,'caseload data'!$D:$D,"DMY",'caseload data'!$A:$A,"South Central")</f>
        <v>0</v>
      </c>
      <c r="E46" s="370">
        <f>SUMIFS('caseload data'!F:F,'caseload data'!$D:$D,"DMY",'caseload data'!$A:$A,"South Central")</f>
        <v>0</v>
      </c>
      <c r="F46" s="370">
        <f>SUMIFS('caseload data'!G:G,'caseload data'!$D:$D,"DMY",'caseload data'!$A:$A,"South Central")</f>
        <v>0</v>
      </c>
      <c r="G46" s="370">
        <f>SUMIFS('caseload data'!H:H,'caseload data'!$D:$D,"DMY",'caseload data'!$A:$A,"South Central")</f>
        <v>0</v>
      </c>
      <c r="H46" s="370">
        <f>SUMIFS('caseload data'!I:I,'caseload data'!$D:$D,"DMY",'caseload data'!$A:$A,"South Central")</f>
        <v>0</v>
      </c>
      <c r="I46" s="370">
        <f>SUMIFS('caseload data'!J:J,'caseload data'!$D:$D,"DMY",'caseload data'!$A:$A,"South Central")</f>
        <v>0</v>
      </c>
      <c r="J46" s="370">
        <f>SUMIFS('caseload data'!K:K,'caseload data'!$D:$D,"DMY",'caseload data'!$A:$A,"South Central")</f>
        <v>0</v>
      </c>
      <c r="K46" s="370">
        <f>SUMIFS('caseload data'!L:L,'caseload data'!$D:$D,"DMY",'caseload data'!$A:$A,"South Central")</f>
        <v>0</v>
      </c>
      <c r="L46" s="370">
        <f>SUMIFS('caseload data'!M:M,'caseload data'!$D:$D,"DMY",'caseload data'!$A:$A,"South Central")</f>
        <v>0</v>
      </c>
      <c r="M46" s="370">
        <f>SUMIFS('caseload data'!N:N,'caseload data'!$D:$D,"DMY",'caseload data'!$A:$A,"South Central")</f>
        <v>0</v>
      </c>
      <c r="N46" s="370">
        <f>SUMIFS('caseload data'!O:O,'caseload data'!$D:$D,"DMY",'caseload data'!$A:$A,"South Central")</f>
        <v>0</v>
      </c>
      <c r="O46" s="370">
        <f>SUMIFS('caseload data'!P:P,'caseload data'!$D:$D,"DMY",'caseload data'!$A:$A,"South Central")</f>
        <v>0</v>
      </c>
      <c r="P46" s="370">
        <f>SUMIFS('caseload data'!Q:Q,'caseload data'!$D:$D,"DMY",'caseload data'!$A:$A,"South Central")</f>
        <v>0</v>
      </c>
      <c r="Q46" s="370">
        <f>SUMIFS('caseload data'!R:R,'caseload data'!$D:$D,"DMY",'caseload data'!$A:$A,"South Central")</f>
        <v>0</v>
      </c>
      <c r="R46" s="370">
        <f>SUMIFS('caseload data'!S:S,'caseload data'!$D:$D,"DMY",'caseload data'!$A:$A,"South Central")</f>
        <v>0</v>
      </c>
      <c r="S46" s="370">
        <f>SUMIFS('caseload data'!T:T,'caseload data'!$D:$D,"DMY",'caseload data'!$A:$A,"South Central")</f>
        <v>0</v>
      </c>
      <c r="T46" s="94">
        <f>SUMIFS('caseload data'!V:V,'caseload data'!$D:$D,"DMY",'caseload data'!$A:$A,"South Central")</f>
        <v>0</v>
      </c>
      <c r="U46" s="64"/>
      <c r="V46" s="64"/>
      <c r="W46" s="473"/>
      <c r="X46" s="130" t="s">
        <v>1344</v>
      </c>
      <c r="Y46" s="167" t="e">
        <f t="shared" si="34"/>
        <v>#DIV/0!</v>
      </c>
      <c r="Z46" s="167" t="e">
        <f t="shared" si="33"/>
        <v>#DIV/0!</v>
      </c>
      <c r="AA46" s="167" t="e">
        <f t="shared" si="33"/>
        <v>#DIV/0!</v>
      </c>
      <c r="AB46" s="167" t="e">
        <f t="shared" si="33"/>
        <v>#DIV/0!</v>
      </c>
      <c r="AC46" s="167" t="e">
        <f t="shared" si="33"/>
        <v>#DIV/0!</v>
      </c>
      <c r="AD46" s="167" t="e">
        <f t="shared" si="33"/>
        <v>#DIV/0!</v>
      </c>
      <c r="AE46" s="167" t="e">
        <f t="shared" si="33"/>
        <v>#DIV/0!</v>
      </c>
      <c r="AF46" s="167" t="e">
        <f t="shared" si="33"/>
        <v>#DIV/0!</v>
      </c>
      <c r="AG46" s="167" t="e">
        <f t="shared" si="33"/>
        <v>#DIV/0!</v>
      </c>
      <c r="AH46" s="167" t="e">
        <f t="shared" si="33"/>
        <v>#DIV/0!</v>
      </c>
      <c r="AI46" s="167" t="e">
        <f t="shared" si="33"/>
        <v>#DIV/0!</v>
      </c>
      <c r="AJ46" s="167" t="e">
        <f t="shared" si="33"/>
        <v>#DIV/0!</v>
      </c>
      <c r="AK46" s="167" t="e">
        <f t="shared" si="33"/>
        <v>#DIV/0!</v>
      </c>
      <c r="AL46" s="167" t="e">
        <f t="shared" si="33"/>
        <v>#DIV/0!</v>
      </c>
      <c r="AM46" s="167" t="e">
        <f t="shared" si="33"/>
        <v>#DIV/0!</v>
      </c>
      <c r="AN46" s="167" t="e">
        <f t="shared" si="33"/>
        <v>#DIV/0!</v>
      </c>
      <c r="AO46" s="167" t="e">
        <f t="shared" si="33"/>
        <v>#DIV/0!</v>
      </c>
    </row>
    <row r="47" spans="2:41" x14ac:dyDescent="0.15">
      <c r="B47" s="477" t="s">
        <v>25</v>
      </c>
      <c r="C47" s="128" t="s">
        <v>1002</v>
      </c>
      <c r="D47" s="370">
        <f>SUMIFS('caseload data'!E:E,'caseload data'!$D:$D,"PO",'caseload data'!$A:$A,$B$47)</f>
        <v>0</v>
      </c>
      <c r="E47" s="94">
        <f>SUMIFS('caseload data'!F:F,'caseload data'!$D:$D,"PO",'caseload data'!$A:$A,$B$47)</f>
        <v>0</v>
      </c>
      <c r="F47" s="94">
        <f>SUMIFS('caseload data'!G:G,'caseload data'!$D:$D,"PO",'caseload data'!$A:$A,$B$47)</f>
        <v>0</v>
      </c>
      <c r="G47" s="94">
        <f>SUMIFS('caseload data'!H:H,'caseload data'!$D:$D,"PO",'caseload data'!$A:$A,$B$47)</f>
        <v>0</v>
      </c>
      <c r="H47" s="94">
        <f>SUMIFS('caseload data'!I:I,'caseload data'!$D:$D,"PO",'caseload data'!$A:$A,$B$47)</f>
        <v>0</v>
      </c>
      <c r="I47" s="94">
        <f>SUMIFS('caseload data'!J:J,'caseload data'!$D:$D,"PO",'caseload data'!$A:$A,$B$47)</f>
        <v>0</v>
      </c>
      <c r="J47" s="94">
        <f>SUMIFS('caseload data'!K:K,'caseload data'!$D:$D,"PO",'caseload data'!$A:$A,$B$47)</f>
        <v>0</v>
      </c>
      <c r="K47" s="94">
        <f>SUMIFS('caseload data'!L:L,'caseload data'!$D:$D,"PO",'caseload data'!$A:$A,$B$47)</f>
        <v>0</v>
      </c>
      <c r="L47" s="94">
        <f>SUMIFS('caseload data'!M:M,'caseload data'!$D:$D,"PO",'caseload data'!$A:$A,$B$47)</f>
        <v>0</v>
      </c>
      <c r="M47" s="94">
        <f>SUMIFS('caseload data'!N:N,'caseload data'!$D:$D,"PO",'caseload data'!$A:$A,$B$47)</f>
        <v>0</v>
      </c>
      <c r="N47" s="94">
        <f>SUMIFS('caseload data'!O:O,'caseload data'!$D:$D,"PO",'caseload data'!$A:$A,$B$47)</f>
        <v>0</v>
      </c>
      <c r="O47" s="94">
        <f>SUMIFS('caseload data'!P:P,'caseload data'!$D:$D,"PO",'caseload data'!$A:$A,$B$47)</f>
        <v>0</v>
      </c>
      <c r="P47" s="94">
        <f>SUMIFS('caseload data'!Q:Q,'caseload data'!$D:$D,"PO",'caseload data'!$A:$A,$B$47)</f>
        <v>0</v>
      </c>
      <c r="Q47" s="94">
        <f>SUMIFS('caseload data'!R:R,'caseload data'!$D:$D,"PO",'caseload data'!$A:$A,$B$47)</f>
        <v>0</v>
      </c>
      <c r="R47" s="94">
        <f>SUMIFS('caseload data'!S:S,'caseload data'!$D:$D,"PO",'caseload data'!$A:$A,$B$47)</f>
        <v>0</v>
      </c>
      <c r="S47" s="94">
        <f>SUMIFS('caseload data'!T:T,'caseload data'!$D:$D,"PO",'caseload data'!$A:$A,$B$47)</f>
        <v>0</v>
      </c>
      <c r="T47" s="94">
        <f>SUMIFS('caseload data'!V:V,'caseload data'!$D:$D,"PO",'caseload data'!$A:$A,B47)</f>
        <v>0</v>
      </c>
      <c r="U47" s="64"/>
      <c r="V47" s="64"/>
      <c r="W47" s="471" t="s">
        <v>25</v>
      </c>
      <c r="X47" s="128" t="s">
        <v>1002</v>
      </c>
      <c r="Y47" s="167" t="e">
        <f>SUM(D47)/SUM(D$47:D$51)</f>
        <v>#DIV/0!</v>
      </c>
      <c r="Z47" s="167" t="e">
        <f t="shared" ref="Z47:AO51" si="35">SUM(E47)/SUM(E$47:E$51)</f>
        <v>#DIV/0!</v>
      </c>
      <c r="AA47" s="167" t="e">
        <f t="shared" si="35"/>
        <v>#DIV/0!</v>
      </c>
      <c r="AB47" s="167" t="e">
        <f t="shared" si="35"/>
        <v>#DIV/0!</v>
      </c>
      <c r="AC47" s="167" t="e">
        <f t="shared" si="35"/>
        <v>#DIV/0!</v>
      </c>
      <c r="AD47" s="167" t="e">
        <f t="shared" si="35"/>
        <v>#DIV/0!</v>
      </c>
      <c r="AE47" s="167" t="e">
        <f t="shared" si="35"/>
        <v>#DIV/0!</v>
      </c>
      <c r="AF47" s="167" t="e">
        <f t="shared" si="35"/>
        <v>#DIV/0!</v>
      </c>
      <c r="AG47" s="167" t="e">
        <f t="shared" si="35"/>
        <v>#DIV/0!</v>
      </c>
      <c r="AH47" s="167" t="e">
        <f t="shared" si="35"/>
        <v>#DIV/0!</v>
      </c>
      <c r="AI47" s="167" t="e">
        <f t="shared" si="35"/>
        <v>#DIV/0!</v>
      </c>
      <c r="AJ47" s="167" t="e">
        <f t="shared" si="35"/>
        <v>#DIV/0!</v>
      </c>
      <c r="AK47" s="167" t="e">
        <f t="shared" si="35"/>
        <v>#DIV/0!</v>
      </c>
      <c r="AL47" s="167" t="e">
        <f t="shared" si="35"/>
        <v>#DIV/0!</v>
      </c>
      <c r="AM47" s="167" t="e">
        <f t="shared" si="35"/>
        <v>#DIV/0!</v>
      </c>
      <c r="AN47" s="167" t="e">
        <f t="shared" si="35"/>
        <v>#DIV/0!</v>
      </c>
      <c r="AO47" s="167" t="e">
        <f t="shared" si="35"/>
        <v>#DIV/0!</v>
      </c>
    </row>
    <row r="48" spans="2:41" x14ac:dyDescent="0.15">
      <c r="B48" s="478"/>
      <c r="C48" s="129" t="s">
        <v>1007</v>
      </c>
      <c r="D48" s="370">
        <f>SUMIFS('caseload data'!E:E,'caseload data'!$D:$D,"PSO",'caseload data'!$A:$A,"South West")</f>
        <v>0</v>
      </c>
      <c r="E48" s="94">
        <f>SUMIFS('caseload data'!F:F,'caseload data'!$D:$D,"PSO",'caseload data'!$A:$A,"South West")</f>
        <v>0</v>
      </c>
      <c r="F48" s="94">
        <f>SUMIFS('caseload data'!G:G,'caseload data'!$D:$D,"PSO",'caseload data'!$A:$A,"South West")</f>
        <v>0</v>
      </c>
      <c r="G48" s="94">
        <f>SUMIFS('caseload data'!H:H,'caseload data'!$D:$D,"PSO",'caseload data'!$A:$A,"South West")</f>
        <v>0</v>
      </c>
      <c r="H48" s="94">
        <f>SUMIFS('caseload data'!I:I,'caseload data'!$D:$D,"PSO",'caseload data'!$A:$A,"South West")</f>
        <v>0</v>
      </c>
      <c r="I48" s="94">
        <f>SUMIFS('caseload data'!J:J,'caseload data'!$D:$D,"PSO",'caseload data'!$A:$A,"South West")</f>
        <v>0</v>
      </c>
      <c r="J48" s="94">
        <f>SUMIFS('caseload data'!K:K,'caseload data'!$D:$D,"PSO",'caseload data'!$A:$A,"South West")</f>
        <v>0</v>
      </c>
      <c r="K48" s="94">
        <f>SUMIFS('caseload data'!L:L,'caseload data'!$D:$D,"PSO",'caseload data'!$A:$A,"South West")</f>
        <v>0</v>
      </c>
      <c r="L48" s="94">
        <f>SUMIFS('caseload data'!M:M,'caseload data'!$D:$D,"PSO",'caseload data'!$A:$A,"South West")</f>
        <v>0</v>
      </c>
      <c r="M48" s="94">
        <f>SUMIFS('caseload data'!N:N,'caseload data'!$D:$D,"PSO",'caseload data'!$A:$A,"South West")</f>
        <v>0</v>
      </c>
      <c r="N48" s="94">
        <f>SUMIFS('caseload data'!O:O,'caseload data'!$D:$D,"PSO",'caseload data'!$A:$A,"South West")</f>
        <v>0</v>
      </c>
      <c r="O48" s="94">
        <f>SUMIFS('caseload data'!P:P,'caseload data'!$D:$D,"PSO",'caseload data'!$A:$A,"South West")</f>
        <v>0</v>
      </c>
      <c r="P48" s="94">
        <f>SUMIFS('caseload data'!Q:Q,'caseload data'!$D:$D,"PSO",'caseload data'!$A:$A,"South West")</f>
        <v>0</v>
      </c>
      <c r="Q48" s="94">
        <f>SUMIFS('caseload data'!R:R,'caseload data'!$D:$D,"PSO",'caseload data'!$A:$A,"South West")</f>
        <v>0</v>
      </c>
      <c r="R48" s="94">
        <f>SUMIFS('caseload data'!S:S,'caseload data'!$D:$D,"PSO",'caseload data'!$A:$A,"South West")</f>
        <v>0</v>
      </c>
      <c r="S48" s="94">
        <f>SUMIFS('caseload data'!T:T,'caseload data'!$D:$D,"PSO",'caseload data'!$A:$A,"South West")</f>
        <v>0</v>
      </c>
      <c r="T48" s="94">
        <f>SUMIFS('caseload data'!V:V,'caseload data'!$D:$D,"PSO",'caseload data'!$A:$A,"South West")</f>
        <v>0</v>
      </c>
      <c r="U48" s="64"/>
      <c r="V48" s="64"/>
      <c r="W48" s="472"/>
      <c r="X48" s="129" t="s">
        <v>1007</v>
      </c>
      <c r="Y48" s="167" t="e">
        <f t="shared" ref="Y48:Y51" si="36">SUM(D48)/SUM(D$47:D$51)</f>
        <v>#DIV/0!</v>
      </c>
      <c r="Z48" s="167" t="e">
        <f t="shared" si="35"/>
        <v>#DIV/0!</v>
      </c>
      <c r="AA48" s="167" t="e">
        <f t="shared" si="35"/>
        <v>#DIV/0!</v>
      </c>
      <c r="AB48" s="167" t="e">
        <f t="shared" si="35"/>
        <v>#DIV/0!</v>
      </c>
      <c r="AC48" s="167" t="e">
        <f t="shared" si="35"/>
        <v>#DIV/0!</v>
      </c>
      <c r="AD48" s="167" t="e">
        <f t="shared" si="35"/>
        <v>#DIV/0!</v>
      </c>
      <c r="AE48" s="167" t="e">
        <f t="shared" si="35"/>
        <v>#DIV/0!</v>
      </c>
      <c r="AF48" s="167" t="e">
        <f t="shared" si="35"/>
        <v>#DIV/0!</v>
      </c>
      <c r="AG48" s="167" t="e">
        <f t="shared" si="35"/>
        <v>#DIV/0!</v>
      </c>
      <c r="AH48" s="167" t="e">
        <f t="shared" si="35"/>
        <v>#DIV/0!</v>
      </c>
      <c r="AI48" s="167" t="e">
        <f t="shared" si="35"/>
        <v>#DIV/0!</v>
      </c>
      <c r="AJ48" s="167" t="e">
        <f t="shared" si="35"/>
        <v>#DIV/0!</v>
      </c>
      <c r="AK48" s="167" t="e">
        <f t="shared" si="35"/>
        <v>#DIV/0!</v>
      </c>
      <c r="AL48" s="167" t="e">
        <f t="shared" si="35"/>
        <v>#DIV/0!</v>
      </c>
      <c r="AM48" s="167" t="e">
        <f t="shared" si="35"/>
        <v>#DIV/0!</v>
      </c>
      <c r="AN48" s="167" t="e">
        <f t="shared" si="35"/>
        <v>#DIV/0!</v>
      </c>
      <c r="AO48" s="167" t="e">
        <f t="shared" si="35"/>
        <v>#DIV/0!</v>
      </c>
    </row>
    <row r="49" spans="2:41" x14ac:dyDescent="0.15">
      <c r="B49" s="478"/>
      <c r="C49" s="129" t="s">
        <v>1008</v>
      </c>
      <c r="D49" s="370">
        <f>SUMIFS('caseload data'!E:E,'caseload data'!$D:$D,"TPO",'caseload data'!$A:$A,"South West")</f>
        <v>0</v>
      </c>
      <c r="E49" s="94">
        <f>SUMIFS('caseload data'!F:F,'caseload data'!$D:$D,"TPO",'caseload data'!$A:$A,"South West")</f>
        <v>0</v>
      </c>
      <c r="F49" s="94">
        <f>SUMIFS('caseload data'!G:G,'caseload data'!$D:$D,"TPO",'caseload data'!$A:$A,"South West")</f>
        <v>0</v>
      </c>
      <c r="G49" s="94">
        <f>SUMIFS('caseload data'!H:H,'caseload data'!$D:$D,"TPO",'caseload data'!$A:$A,"South West")</f>
        <v>0</v>
      </c>
      <c r="H49" s="94">
        <f>SUMIFS('caseload data'!I:I,'caseload data'!$D:$D,"TPO",'caseload data'!$A:$A,"South West")</f>
        <v>0</v>
      </c>
      <c r="I49" s="94">
        <f>SUMIFS('caseload data'!J:J,'caseload data'!$D:$D,"TPO",'caseload data'!$A:$A,"South West")</f>
        <v>0</v>
      </c>
      <c r="J49" s="94">
        <f>SUMIFS('caseload data'!K:K,'caseload data'!$D:$D,"TPO",'caseload data'!$A:$A,"South West")</f>
        <v>0</v>
      </c>
      <c r="K49" s="94">
        <f>SUMIFS('caseload data'!L:L,'caseload data'!$D:$D,"TPO",'caseload data'!$A:$A,"South West")</f>
        <v>0</v>
      </c>
      <c r="L49" s="94">
        <f>SUMIFS('caseload data'!M:M,'caseload data'!$D:$D,"TPO",'caseload data'!$A:$A,"South West")</f>
        <v>0</v>
      </c>
      <c r="M49" s="94">
        <f>SUMIFS('caseload data'!N:N,'caseload data'!$D:$D,"TPO",'caseload data'!$A:$A,"South West")</f>
        <v>0</v>
      </c>
      <c r="N49" s="94">
        <f>SUMIFS('caseload data'!O:O,'caseload data'!$D:$D,"TPO",'caseload data'!$A:$A,"South West")</f>
        <v>0</v>
      </c>
      <c r="O49" s="94">
        <f>SUMIFS('caseload data'!P:P,'caseload data'!$D:$D,"TPO",'caseload data'!$A:$A,"South West")</f>
        <v>0</v>
      </c>
      <c r="P49" s="94">
        <f>SUMIFS('caseload data'!Q:Q,'caseload data'!$D:$D,"TPO",'caseload data'!$A:$A,"South West")</f>
        <v>0</v>
      </c>
      <c r="Q49" s="94">
        <f>SUMIFS('caseload data'!R:R,'caseload data'!$D:$D,"TPO",'caseload data'!$A:$A,"South West")</f>
        <v>0</v>
      </c>
      <c r="R49" s="94">
        <f>SUMIFS('caseload data'!S:S,'caseload data'!$D:$D,"TPO",'caseload data'!$A:$A,"South West")</f>
        <v>0</v>
      </c>
      <c r="S49" s="94">
        <f>SUMIFS('caseload data'!T:T,'caseload data'!$D:$D,"TPO",'caseload data'!$A:$A,"South West")</f>
        <v>0</v>
      </c>
      <c r="T49" s="94">
        <f>SUMIFS('caseload data'!V:V,'caseload data'!$D:$D,"TPO",'caseload data'!$A:$A,"South West")</f>
        <v>0</v>
      </c>
      <c r="U49" s="64"/>
      <c r="V49" s="64"/>
      <c r="W49" s="472"/>
      <c r="X49" s="129" t="s">
        <v>1008</v>
      </c>
      <c r="Y49" s="167" t="e">
        <f t="shared" si="36"/>
        <v>#DIV/0!</v>
      </c>
      <c r="Z49" s="167" t="e">
        <f t="shared" si="35"/>
        <v>#DIV/0!</v>
      </c>
      <c r="AA49" s="167" t="e">
        <f t="shared" si="35"/>
        <v>#DIV/0!</v>
      </c>
      <c r="AB49" s="167" t="e">
        <f t="shared" si="35"/>
        <v>#DIV/0!</v>
      </c>
      <c r="AC49" s="167" t="e">
        <f t="shared" si="35"/>
        <v>#DIV/0!</v>
      </c>
      <c r="AD49" s="167" t="e">
        <f t="shared" si="35"/>
        <v>#DIV/0!</v>
      </c>
      <c r="AE49" s="167" t="e">
        <f t="shared" si="35"/>
        <v>#DIV/0!</v>
      </c>
      <c r="AF49" s="167" t="e">
        <f t="shared" si="35"/>
        <v>#DIV/0!</v>
      </c>
      <c r="AG49" s="167" t="e">
        <f t="shared" si="35"/>
        <v>#DIV/0!</v>
      </c>
      <c r="AH49" s="167" t="e">
        <f t="shared" si="35"/>
        <v>#DIV/0!</v>
      </c>
      <c r="AI49" s="167" t="e">
        <f t="shared" si="35"/>
        <v>#DIV/0!</v>
      </c>
      <c r="AJ49" s="167" t="e">
        <f t="shared" si="35"/>
        <v>#DIV/0!</v>
      </c>
      <c r="AK49" s="167" t="e">
        <f t="shared" si="35"/>
        <v>#DIV/0!</v>
      </c>
      <c r="AL49" s="167" t="e">
        <f t="shared" si="35"/>
        <v>#DIV/0!</v>
      </c>
      <c r="AM49" s="167" t="e">
        <f t="shared" si="35"/>
        <v>#DIV/0!</v>
      </c>
      <c r="AN49" s="167" t="e">
        <f t="shared" si="35"/>
        <v>#DIV/0!</v>
      </c>
      <c r="AO49" s="167" t="e">
        <f t="shared" si="35"/>
        <v>#DIV/0!</v>
      </c>
    </row>
    <row r="50" spans="2:41" x14ac:dyDescent="0.15">
      <c r="B50" s="478"/>
      <c r="C50" s="129" t="s">
        <v>1009</v>
      </c>
      <c r="D50" s="370">
        <f>SUMIFS('caseload data'!E:E,'caseload data'!$D:$D,"SPO",'caseload data'!$A:$A,"South West")</f>
        <v>0</v>
      </c>
      <c r="E50" s="94">
        <f>SUMIFS('caseload data'!F:F,'caseload data'!$D:$D,"SPO",'caseload data'!$A:$A,"South West")</f>
        <v>0</v>
      </c>
      <c r="F50" s="94">
        <f>SUMIFS('caseload data'!G:G,'caseload data'!$D:$D,"SPO",'caseload data'!$A:$A,"South West")</f>
        <v>0</v>
      </c>
      <c r="G50" s="94">
        <f>SUMIFS('caseload data'!H:H,'caseload data'!$D:$D,"SPO",'caseload data'!$A:$A,"South West")</f>
        <v>0</v>
      </c>
      <c r="H50" s="94">
        <f>SUMIFS('caseload data'!I:I,'caseload data'!$D:$D,"SPO",'caseload data'!$A:$A,"South West")</f>
        <v>0</v>
      </c>
      <c r="I50" s="94">
        <f>SUMIFS('caseload data'!J:J,'caseload data'!$D:$D,"SPO",'caseload data'!$A:$A,"South West")</f>
        <v>0</v>
      </c>
      <c r="J50" s="94">
        <f>SUMIFS('caseload data'!K:K,'caseload data'!$D:$D,"SPO",'caseload data'!$A:$A,"South West")</f>
        <v>0</v>
      </c>
      <c r="K50" s="94">
        <f>SUMIFS('caseload data'!L:L,'caseload data'!$D:$D,"SPO",'caseload data'!$A:$A,"South West")</f>
        <v>0</v>
      </c>
      <c r="L50" s="94">
        <f>SUMIFS('caseload data'!M:M,'caseload data'!$D:$D,"SPO",'caseload data'!$A:$A,"South West")</f>
        <v>0</v>
      </c>
      <c r="M50" s="94">
        <f>SUMIFS('caseload data'!N:N,'caseload data'!$D:$D,"SPO",'caseload data'!$A:$A,"South West")</f>
        <v>0</v>
      </c>
      <c r="N50" s="94">
        <f>SUMIFS('caseload data'!O:O,'caseload data'!$D:$D,"SPO",'caseload data'!$A:$A,"South West")</f>
        <v>0</v>
      </c>
      <c r="O50" s="94">
        <f>SUMIFS('caseload data'!P:P,'caseload data'!$D:$D,"SPO",'caseload data'!$A:$A,"South West")</f>
        <v>0</v>
      </c>
      <c r="P50" s="94">
        <f>SUMIFS('caseload data'!Q:Q,'caseload data'!$D:$D,"SPO",'caseload data'!$A:$A,"South West")</f>
        <v>0</v>
      </c>
      <c r="Q50" s="94">
        <f>SUMIFS('caseload data'!R:R,'caseload data'!$D:$D,"SPO",'caseload data'!$A:$A,"South West")</f>
        <v>0</v>
      </c>
      <c r="R50" s="94">
        <f>SUMIFS('caseload data'!S:S,'caseload data'!$D:$D,"SPO",'caseload data'!$A:$A,"South West")</f>
        <v>0</v>
      </c>
      <c r="S50" s="94">
        <f>SUMIFS('caseload data'!T:T,'caseload data'!$D:$D,"SPO",'caseload data'!$A:$A,"South West")</f>
        <v>0</v>
      </c>
      <c r="T50" s="94">
        <f>SUMIFS('caseload data'!V:V,'caseload data'!$D:$D,"SPO",'caseload data'!$A:$A,"South West")</f>
        <v>0</v>
      </c>
      <c r="U50" s="64"/>
      <c r="V50" s="64"/>
      <c r="W50" s="472"/>
      <c r="X50" s="129" t="s">
        <v>1009</v>
      </c>
      <c r="Y50" s="167" t="e">
        <f t="shared" si="36"/>
        <v>#DIV/0!</v>
      </c>
      <c r="Z50" s="167" t="e">
        <f t="shared" si="35"/>
        <v>#DIV/0!</v>
      </c>
      <c r="AA50" s="167" t="e">
        <f t="shared" si="35"/>
        <v>#DIV/0!</v>
      </c>
      <c r="AB50" s="167" t="e">
        <f t="shared" si="35"/>
        <v>#DIV/0!</v>
      </c>
      <c r="AC50" s="167" t="e">
        <f t="shared" si="35"/>
        <v>#DIV/0!</v>
      </c>
      <c r="AD50" s="167" t="e">
        <f t="shared" si="35"/>
        <v>#DIV/0!</v>
      </c>
      <c r="AE50" s="167" t="e">
        <f t="shared" si="35"/>
        <v>#DIV/0!</v>
      </c>
      <c r="AF50" s="167" t="e">
        <f t="shared" si="35"/>
        <v>#DIV/0!</v>
      </c>
      <c r="AG50" s="167" t="e">
        <f t="shared" si="35"/>
        <v>#DIV/0!</v>
      </c>
      <c r="AH50" s="167" t="e">
        <f t="shared" si="35"/>
        <v>#DIV/0!</v>
      </c>
      <c r="AI50" s="167" t="e">
        <f t="shared" si="35"/>
        <v>#DIV/0!</v>
      </c>
      <c r="AJ50" s="167" t="e">
        <f t="shared" si="35"/>
        <v>#DIV/0!</v>
      </c>
      <c r="AK50" s="167" t="e">
        <f t="shared" si="35"/>
        <v>#DIV/0!</v>
      </c>
      <c r="AL50" s="167" t="e">
        <f t="shared" si="35"/>
        <v>#DIV/0!</v>
      </c>
      <c r="AM50" s="167" t="e">
        <f t="shared" si="35"/>
        <v>#DIV/0!</v>
      </c>
      <c r="AN50" s="167" t="e">
        <f t="shared" si="35"/>
        <v>#DIV/0!</v>
      </c>
      <c r="AO50" s="167" t="e">
        <f t="shared" si="35"/>
        <v>#DIV/0!</v>
      </c>
    </row>
    <row r="51" spans="2:41" x14ac:dyDescent="0.15">
      <c r="B51" s="479"/>
      <c r="C51" s="130" t="s">
        <v>1344</v>
      </c>
      <c r="D51" s="370">
        <f>SUMIFS('caseload data'!E:E,'caseload data'!$D:$D,"DMY",'caseload data'!$A:$A,"South West")</f>
        <v>0</v>
      </c>
      <c r="E51" s="370">
        <f>SUMIFS('caseload data'!F:F,'caseload data'!$D:$D,"DMY",'caseload data'!$A:$A,"South West")</f>
        <v>0</v>
      </c>
      <c r="F51" s="370">
        <f>SUMIFS('caseload data'!G:G,'caseload data'!$D:$D,"DMY",'caseload data'!$A:$A,"South West")</f>
        <v>0</v>
      </c>
      <c r="G51" s="370">
        <f>SUMIFS('caseload data'!H:H,'caseload data'!$D:$D,"DMY",'caseload data'!$A:$A,"South West")</f>
        <v>0</v>
      </c>
      <c r="H51" s="370">
        <f>SUMIFS('caseload data'!I:I,'caseload data'!$D:$D,"DMY",'caseload data'!$A:$A,"South West")</f>
        <v>0</v>
      </c>
      <c r="I51" s="370">
        <f>SUMIFS('caseload data'!J:J,'caseload data'!$D:$D,"DMY",'caseload data'!$A:$A,"South West")</f>
        <v>0</v>
      </c>
      <c r="J51" s="370">
        <f>SUMIFS('caseload data'!K:K,'caseload data'!$D:$D,"DMY",'caseload data'!$A:$A,"South West")</f>
        <v>0</v>
      </c>
      <c r="K51" s="370">
        <f>SUMIFS('caseload data'!L:L,'caseload data'!$D:$D,"DMY",'caseload data'!$A:$A,"South West")</f>
        <v>0</v>
      </c>
      <c r="L51" s="370">
        <f>SUMIFS('caseload data'!M:M,'caseload data'!$D:$D,"DMY",'caseload data'!$A:$A,"South West")</f>
        <v>0</v>
      </c>
      <c r="M51" s="370">
        <f>SUMIFS('caseload data'!N:N,'caseload data'!$D:$D,"DMY",'caseload data'!$A:$A,"South West")</f>
        <v>0</v>
      </c>
      <c r="N51" s="370">
        <f>SUMIFS('caseload data'!O:O,'caseload data'!$D:$D,"DMY",'caseload data'!$A:$A,"South West")</f>
        <v>0</v>
      </c>
      <c r="O51" s="370">
        <f>SUMIFS('caseload data'!P:P,'caseload data'!$D:$D,"DMY",'caseload data'!$A:$A,"South West")</f>
        <v>0</v>
      </c>
      <c r="P51" s="370">
        <f>SUMIFS('caseload data'!Q:Q,'caseload data'!$D:$D,"DMY",'caseload data'!$A:$A,"South West")</f>
        <v>0</v>
      </c>
      <c r="Q51" s="370">
        <f>SUMIFS('caseload data'!R:R,'caseload data'!$D:$D,"DMY",'caseload data'!$A:$A,"South West")</f>
        <v>0</v>
      </c>
      <c r="R51" s="370">
        <f>SUMIFS('caseload data'!S:S,'caseload data'!$D:$D,"DMY",'caseload data'!$A:$A,"South West")</f>
        <v>0</v>
      </c>
      <c r="S51" s="370">
        <f>SUMIFS('caseload data'!T:T,'caseload data'!$D:$D,"DMY",'caseload data'!$A:$A,"South West")</f>
        <v>0</v>
      </c>
      <c r="T51" s="94">
        <f>SUMIFS('caseload data'!V:V,'caseload data'!$D:$D,"DMY",'caseload data'!$A:$A,"South West")</f>
        <v>0</v>
      </c>
      <c r="U51" s="64"/>
      <c r="V51" s="64"/>
      <c r="W51" s="473"/>
      <c r="X51" s="130" t="s">
        <v>1344</v>
      </c>
      <c r="Y51" s="167" t="e">
        <f t="shared" si="36"/>
        <v>#DIV/0!</v>
      </c>
      <c r="Z51" s="167" t="e">
        <f t="shared" si="35"/>
        <v>#DIV/0!</v>
      </c>
      <c r="AA51" s="167" t="e">
        <f t="shared" si="35"/>
        <v>#DIV/0!</v>
      </c>
      <c r="AB51" s="167" t="e">
        <f t="shared" si="35"/>
        <v>#DIV/0!</v>
      </c>
      <c r="AC51" s="167" t="e">
        <f t="shared" si="35"/>
        <v>#DIV/0!</v>
      </c>
      <c r="AD51" s="167" t="e">
        <f t="shared" si="35"/>
        <v>#DIV/0!</v>
      </c>
      <c r="AE51" s="167" t="e">
        <f t="shared" si="35"/>
        <v>#DIV/0!</v>
      </c>
      <c r="AF51" s="167" t="e">
        <f t="shared" si="35"/>
        <v>#DIV/0!</v>
      </c>
      <c r="AG51" s="167" t="e">
        <f t="shared" si="35"/>
        <v>#DIV/0!</v>
      </c>
      <c r="AH51" s="167" t="e">
        <f t="shared" si="35"/>
        <v>#DIV/0!</v>
      </c>
      <c r="AI51" s="167" t="e">
        <f t="shared" si="35"/>
        <v>#DIV/0!</v>
      </c>
      <c r="AJ51" s="167" t="e">
        <f t="shared" si="35"/>
        <v>#DIV/0!</v>
      </c>
      <c r="AK51" s="167" t="e">
        <f t="shared" si="35"/>
        <v>#DIV/0!</v>
      </c>
      <c r="AL51" s="167" t="e">
        <f t="shared" si="35"/>
        <v>#DIV/0!</v>
      </c>
      <c r="AM51" s="167" t="e">
        <f t="shared" si="35"/>
        <v>#DIV/0!</v>
      </c>
      <c r="AN51" s="167" t="e">
        <f t="shared" si="35"/>
        <v>#DIV/0!</v>
      </c>
      <c r="AO51" s="167" t="e">
        <f t="shared" si="35"/>
        <v>#DIV/0!</v>
      </c>
    </row>
    <row r="52" spans="2:41" x14ac:dyDescent="0.15">
      <c r="B52" s="477" t="s">
        <v>26</v>
      </c>
      <c r="C52" s="128" t="s">
        <v>1002</v>
      </c>
      <c r="D52" s="370">
        <f>SUMIFS('caseload data'!E:E,'caseload data'!$D:$D,"PO",'caseload data'!$A:$A,$B$52)</f>
        <v>0</v>
      </c>
      <c r="E52" s="94">
        <f>SUMIFS('caseload data'!F:F,'caseload data'!$D:$D,"PO",'caseload data'!$A:$A,$B$52)</f>
        <v>0</v>
      </c>
      <c r="F52" s="94">
        <f>SUMIFS('caseload data'!G:G,'caseload data'!$D:$D,"PO",'caseload data'!$A:$A,$B$52)</f>
        <v>0</v>
      </c>
      <c r="G52" s="94">
        <f>SUMIFS('caseload data'!H:H,'caseload data'!$D:$D,"PO",'caseload data'!$A:$A,$B$52)</f>
        <v>0</v>
      </c>
      <c r="H52" s="94">
        <f>SUMIFS('caseload data'!I:I,'caseload data'!$D:$D,"PO",'caseload data'!$A:$A,$B$52)</f>
        <v>0</v>
      </c>
      <c r="I52" s="94">
        <f>SUMIFS('caseload data'!J:J,'caseload data'!$D:$D,"PO",'caseload data'!$A:$A,$B$52)</f>
        <v>0</v>
      </c>
      <c r="J52" s="94">
        <f>SUMIFS('caseload data'!K:K,'caseload data'!$D:$D,"PO",'caseload data'!$A:$A,$B$52)</f>
        <v>0</v>
      </c>
      <c r="K52" s="94">
        <f>SUMIFS('caseload data'!L:L,'caseload data'!$D:$D,"PO",'caseload data'!$A:$A,$B$52)</f>
        <v>0</v>
      </c>
      <c r="L52" s="94">
        <f>SUMIFS('caseload data'!M:M,'caseload data'!$D:$D,"PO",'caseload data'!$A:$A,$B$52)</f>
        <v>0</v>
      </c>
      <c r="M52" s="94">
        <f>SUMIFS('caseload data'!N:N,'caseload data'!$D:$D,"PO",'caseload data'!$A:$A,$B$52)</f>
        <v>0</v>
      </c>
      <c r="N52" s="94">
        <f>SUMIFS('caseload data'!O:O,'caseload data'!$D:$D,"PO",'caseload data'!$A:$A,$B$52)</f>
        <v>0</v>
      </c>
      <c r="O52" s="94">
        <f>SUMIFS('caseload data'!P:P,'caseload data'!$D:$D,"PO",'caseload data'!$A:$A,$B$52)</f>
        <v>0</v>
      </c>
      <c r="P52" s="94">
        <f>SUMIFS('caseload data'!Q:Q,'caseload data'!$D:$D,"PO",'caseload data'!$A:$A,$B$52)</f>
        <v>0</v>
      </c>
      <c r="Q52" s="94">
        <f>SUMIFS('caseload data'!R:R,'caseload data'!$D:$D,"PO",'caseload data'!$A:$A,$B$52)</f>
        <v>0</v>
      </c>
      <c r="R52" s="94">
        <f>SUMIFS('caseload data'!S:S,'caseload data'!$D:$D,"PO",'caseload data'!$A:$A,$B$52)</f>
        <v>0</v>
      </c>
      <c r="S52" s="94">
        <f>SUMIFS('caseload data'!T:T,'caseload data'!$D:$D,"PO",'caseload data'!$A:$A,$B$52)</f>
        <v>0</v>
      </c>
      <c r="T52" s="94">
        <f>SUMIFS('caseload data'!V:V,'caseload data'!$D:$D,"PO",'caseload data'!$A:$A,B52)</f>
        <v>0</v>
      </c>
      <c r="U52" s="64"/>
      <c r="V52" s="64"/>
      <c r="W52" s="471" t="s">
        <v>26</v>
      </c>
      <c r="X52" s="128" t="s">
        <v>1002</v>
      </c>
      <c r="Y52" s="167" t="e">
        <f>SUM(D52)/SUM(D$52:D$56)</f>
        <v>#DIV/0!</v>
      </c>
      <c r="Z52" s="167" t="e">
        <f t="shared" ref="Z52:AO56" si="37">SUM(E52)/SUM(E$52:E$56)</f>
        <v>#DIV/0!</v>
      </c>
      <c r="AA52" s="167" t="e">
        <f t="shared" si="37"/>
        <v>#DIV/0!</v>
      </c>
      <c r="AB52" s="167" t="e">
        <f t="shared" si="37"/>
        <v>#DIV/0!</v>
      </c>
      <c r="AC52" s="167" t="e">
        <f t="shared" si="37"/>
        <v>#DIV/0!</v>
      </c>
      <c r="AD52" s="167" t="e">
        <f t="shared" si="37"/>
        <v>#DIV/0!</v>
      </c>
      <c r="AE52" s="167" t="e">
        <f t="shared" si="37"/>
        <v>#DIV/0!</v>
      </c>
      <c r="AF52" s="167" t="e">
        <f t="shared" si="37"/>
        <v>#DIV/0!</v>
      </c>
      <c r="AG52" s="167" t="e">
        <f t="shared" si="37"/>
        <v>#DIV/0!</v>
      </c>
      <c r="AH52" s="167" t="e">
        <f t="shared" si="37"/>
        <v>#DIV/0!</v>
      </c>
      <c r="AI52" s="167" t="e">
        <f t="shared" si="37"/>
        <v>#DIV/0!</v>
      </c>
      <c r="AJ52" s="167" t="e">
        <f t="shared" si="37"/>
        <v>#DIV/0!</v>
      </c>
      <c r="AK52" s="167" t="e">
        <f t="shared" si="37"/>
        <v>#DIV/0!</v>
      </c>
      <c r="AL52" s="167" t="e">
        <f t="shared" si="37"/>
        <v>#DIV/0!</v>
      </c>
      <c r="AM52" s="167" t="e">
        <f t="shared" si="37"/>
        <v>#DIV/0!</v>
      </c>
      <c r="AN52" s="167" t="e">
        <f t="shared" si="37"/>
        <v>#DIV/0!</v>
      </c>
      <c r="AO52" s="167" t="e">
        <f t="shared" si="37"/>
        <v>#DIV/0!</v>
      </c>
    </row>
    <row r="53" spans="2:41" x14ac:dyDescent="0.15">
      <c r="B53" s="478"/>
      <c r="C53" s="129" t="s">
        <v>1007</v>
      </c>
      <c r="D53" s="370">
        <f>SUMIFS('caseload data'!E:E,'caseload data'!$D:$D,"PSO",'caseload data'!$A:$A,"Wales")</f>
        <v>0</v>
      </c>
      <c r="E53" s="94">
        <f>SUMIFS('caseload data'!F:F,'caseload data'!$D:$D,"PSO",'caseload data'!$A:$A,"Wales")</f>
        <v>0</v>
      </c>
      <c r="F53" s="94">
        <f>SUMIFS('caseload data'!G:G,'caseload data'!$D:$D,"PSO",'caseload data'!$A:$A,"Wales")</f>
        <v>0</v>
      </c>
      <c r="G53" s="94">
        <f>SUMIFS('caseload data'!H:H,'caseload data'!$D:$D,"PSO",'caseload data'!$A:$A,"Wales")</f>
        <v>0</v>
      </c>
      <c r="H53" s="94">
        <f>SUMIFS('caseload data'!I:I,'caseload data'!$D:$D,"PSO",'caseload data'!$A:$A,"Wales")</f>
        <v>0</v>
      </c>
      <c r="I53" s="94">
        <f>SUMIFS('caseload data'!J:J,'caseload data'!$D:$D,"PSO",'caseload data'!$A:$A,"Wales")</f>
        <v>0</v>
      </c>
      <c r="J53" s="94">
        <f>SUMIFS('caseload data'!K:K,'caseload data'!$D:$D,"PSO",'caseload data'!$A:$A,"Wales")</f>
        <v>0</v>
      </c>
      <c r="K53" s="94">
        <f>SUMIFS('caseload data'!L:L,'caseload data'!$D:$D,"PSO",'caseload data'!$A:$A,"Wales")</f>
        <v>0</v>
      </c>
      <c r="L53" s="94">
        <f>SUMIFS('caseload data'!M:M,'caseload data'!$D:$D,"PSO",'caseload data'!$A:$A,"Wales")</f>
        <v>0</v>
      </c>
      <c r="M53" s="94">
        <f>SUMIFS('caseload data'!N:N,'caseload data'!$D:$D,"PSO",'caseload data'!$A:$A,"Wales")</f>
        <v>0</v>
      </c>
      <c r="N53" s="94">
        <f>SUMIFS('caseload data'!O:O,'caseload data'!$D:$D,"PSO",'caseload data'!$A:$A,"Wales")</f>
        <v>0</v>
      </c>
      <c r="O53" s="94">
        <f>SUMIFS('caseload data'!P:P,'caseload data'!$D:$D,"PSO",'caseload data'!$A:$A,"Wales")</f>
        <v>0</v>
      </c>
      <c r="P53" s="94">
        <f>SUMIFS('caseload data'!Q:Q,'caseload data'!$D:$D,"PSO",'caseload data'!$A:$A,"Wales")</f>
        <v>0</v>
      </c>
      <c r="Q53" s="94">
        <f>SUMIFS('caseload data'!R:R,'caseload data'!$D:$D,"PSO",'caseload data'!$A:$A,"Wales")</f>
        <v>0</v>
      </c>
      <c r="R53" s="94">
        <f>SUMIFS('caseload data'!S:S,'caseload data'!$D:$D,"PSO",'caseload data'!$A:$A,"Wales")</f>
        <v>0</v>
      </c>
      <c r="S53" s="94">
        <f>SUMIFS('caseload data'!T:T,'caseload data'!$D:$D,"PSO",'caseload data'!$A:$A,"Wales")</f>
        <v>0</v>
      </c>
      <c r="T53" s="94">
        <f>SUMIFS('caseload data'!V:V,'caseload data'!$D:$D,"PSO",'caseload data'!$A:$A,"Wales")</f>
        <v>0</v>
      </c>
      <c r="U53" s="64"/>
      <c r="V53" s="64"/>
      <c r="W53" s="472"/>
      <c r="X53" s="129" t="s">
        <v>1007</v>
      </c>
      <c r="Y53" s="167" t="e">
        <f t="shared" ref="Y53:Y56" si="38">SUM(D53)/SUM(D$52:D$56)</f>
        <v>#DIV/0!</v>
      </c>
      <c r="Z53" s="167" t="e">
        <f t="shared" si="37"/>
        <v>#DIV/0!</v>
      </c>
      <c r="AA53" s="167" t="e">
        <f t="shared" si="37"/>
        <v>#DIV/0!</v>
      </c>
      <c r="AB53" s="167" t="e">
        <f t="shared" si="37"/>
        <v>#DIV/0!</v>
      </c>
      <c r="AC53" s="167" t="e">
        <f t="shared" si="37"/>
        <v>#DIV/0!</v>
      </c>
      <c r="AD53" s="167" t="e">
        <f t="shared" si="37"/>
        <v>#DIV/0!</v>
      </c>
      <c r="AE53" s="167" t="e">
        <f t="shared" si="37"/>
        <v>#DIV/0!</v>
      </c>
      <c r="AF53" s="167" t="e">
        <f t="shared" si="37"/>
        <v>#DIV/0!</v>
      </c>
      <c r="AG53" s="167" t="e">
        <f t="shared" si="37"/>
        <v>#DIV/0!</v>
      </c>
      <c r="AH53" s="167" t="e">
        <f t="shared" si="37"/>
        <v>#DIV/0!</v>
      </c>
      <c r="AI53" s="167" t="e">
        <f t="shared" si="37"/>
        <v>#DIV/0!</v>
      </c>
      <c r="AJ53" s="167" t="e">
        <f t="shared" si="37"/>
        <v>#DIV/0!</v>
      </c>
      <c r="AK53" s="167" t="e">
        <f t="shared" si="37"/>
        <v>#DIV/0!</v>
      </c>
      <c r="AL53" s="167" t="e">
        <f t="shared" si="37"/>
        <v>#DIV/0!</v>
      </c>
      <c r="AM53" s="167" t="e">
        <f t="shared" si="37"/>
        <v>#DIV/0!</v>
      </c>
      <c r="AN53" s="167" t="e">
        <f t="shared" si="37"/>
        <v>#DIV/0!</v>
      </c>
      <c r="AO53" s="167" t="e">
        <f t="shared" si="37"/>
        <v>#DIV/0!</v>
      </c>
    </row>
    <row r="54" spans="2:41" x14ac:dyDescent="0.15">
      <c r="B54" s="478"/>
      <c r="C54" s="129" t="s">
        <v>1008</v>
      </c>
      <c r="D54" s="370">
        <f>SUMIFS('caseload data'!E:E,'caseload data'!$D:$D,"TPO",'caseload data'!$A:$A,"Wales")</f>
        <v>0</v>
      </c>
      <c r="E54" s="94">
        <f>SUMIFS('caseload data'!F:F,'caseload data'!$D:$D,"TPO",'caseload data'!$A:$A,"Wales")</f>
        <v>0</v>
      </c>
      <c r="F54" s="94">
        <f>SUMIFS('caseload data'!G:G,'caseload data'!$D:$D,"TPO",'caseload data'!$A:$A,"Wales")</f>
        <v>0</v>
      </c>
      <c r="G54" s="94">
        <f>SUMIFS('caseload data'!H:H,'caseload data'!$D:$D,"TPO",'caseload data'!$A:$A,"Wales")</f>
        <v>0</v>
      </c>
      <c r="H54" s="94">
        <f>SUMIFS('caseload data'!I:I,'caseload data'!$D:$D,"TPO",'caseload data'!$A:$A,"Wales")</f>
        <v>0</v>
      </c>
      <c r="I54" s="94">
        <f>SUMIFS('caseload data'!J:J,'caseload data'!$D:$D,"TPO",'caseload data'!$A:$A,"Wales")</f>
        <v>0</v>
      </c>
      <c r="J54" s="94">
        <f>SUMIFS('caseload data'!K:K,'caseload data'!$D:$D,"TPO",'caseload data'!$A:$A,"Wales")</f>
        <v>0</v>
      </c>
      <c r="K54" s="94">
        <f>SUMIFS('caseload data'!L:L,'caseload data'!$D:$D,"TPO",'caseload data'!$A:$A,"Wales")</f>
        <v>0</v>
      </c>
      <c r="L54" s="94">
        <f>SUMIFS('caseload data'!M:M,'caseload data'!$D:$D,"TPO",'caseload data'!$A:$A,"Wales")</f>
        <v>0</v>
      </c>
      <c r="M54" s="94">
        <f>SUMIFS('caseload data'!N:N,'caseload data'!$D:$D,"TPO",'caseload data'!$A:$A,"Wales")</f>
        <v>0</v>
      </c>
      <c r="N54" s="94">
        <f>SUMIFS('caseload data'!O:O,'caseload data'!$D:$D,"TPO",'caseload data'!$A:$A,"Wales")</f>
        <v>0</v>
      </c>
      <c r="O54" s="94">
        <f>SUMIFS('caseload data'!P:P,'caseload data'!$D:$D,"TPO",'caseload data'!$A:$A,"Wales")</f>
        <v>0</v>
      </c>
      <c r="P54" s="94">
        <f>SUMIFS('caseload data'!Q:Q,'caseload data'!$D:$D,"TPO",'caseload data'!$A:$A,"Wales")</f>
        <v>0</v>
      </c>
      <c r="Q54" s="94">
        <f>SUMIFS('caseload data'!R:R,'caseload data'!$D:$D,"TPO",'caseload data'!$A:$A,"Wales")</f>
        <v>0</v>
      </c>
      <c r="R54" s="94">
        <f>SUMIFS('caseload data'!S:S,'caseload data'!$D:$D,"TPO",'caseload data'!$A:$A,"Wales")</f>
        <v>0</v>
      </c>
      <c r="S54" s="94">
        <f>SUMIFS('caseload data'!T:T,'caseload data'!$D:$D,"TPO",'caseload data'!$A:$A,"Wales")</f>
        <v>0</v>
      </c>
      <c r="T54" s="94">
        <f>SUMIFS('caseload data'!V:V,'caseload data'!$D:$D,"TPO",'caseload data'!$A:$A,"Wales")</f>
        <v>0</v>
      </c>
      <c r="U54" s="64"/>
      <c r="V54" s="64"/>
      <c r="W54" s="472"/>
      <c r="X54" s="129" t="s">
        <v>1008</v>
      </c>
      <c r="Y54" s="167" t="e">
        <f t="shared" si="38"/>
        <v>#DIV/0!</v>
      </c>
      <c r="Z54" s="167" t="e">
        <f t="shared" si="37"/>
        <v>#DIV/0!</v>
      </c>
      <c r="AA54" s="167" t="e">
        <f t="shared" si="37"/>
        <v>#DIV/0!</v>
      </c>
      <c r="AB54" s="167" t="e">
        <f t="shared" si="37"/>
        <v>#DIV/0!</v>
      </c>
      <c r="AC54" s="167" t="e">
        <f t="shared" si="37"/>
        <v>#DIV/0!</v>
      </c>
      <c r="AD54" s="167" t="e">
        <f t="shared" si="37"/>
        <v>#DIV/0!</v>
      </c>
      <c r="AE54" s="167" t="e">
        <f t="shared" si="37"/>
        <v>#DIV/0!</v>
      </c>
      <c r="AF54" s="167" t="e">
        <f t="shared" si="37"/>
        <v>#DIV/0!</v>
      </c>
      <c r="AG54" s="167" t="e">
        <f t="shared" si="37"/>
        <v>#DIV/0!</v>
      </c>
      <c r="AH54" s="167" t="e">
        <f t="shared" si="37"/>
        <v>#DIV/0!</v>
      </c>
      <c r="AI54" s="167" t="e">
        <f t="shared" si="37"/>
        <v>#DIV/0!</v>
      </c>
      <c r="AJ54" s="167" t="e">
        <f t="shared" si="37"/>
        <v>#DIV/0!</v>
      </c>
      <c r="AK54" s="167" t="e">
        <f t="shared" si="37"/>
        <v>#DIV/0!</v>
      </c>
      <c r="AL54" s="167" t="e">
        <f t="shared" si="37"/>
        <v>#DIV/0!</v>
      </c>
      <c r="AM54" s="167" t="e">
        <f t="shared" si="37"/>
        <v>#DIV/0!</v>
      </c>
      <c r="AN54" s="167" t="e">
        <f t="shared" si="37"/>
        <v>#DIV/0!</v>
      </c>
      <c r="AO54" s="167" t="e">
        <f t="shared" si="37"/>
        <v>#DIV/0!</v>
      </c>
    </row>
    <row r="55" spans="2:41" x14ac:dyDescent="0.15">
      <c r="B55" s="478"/>
      <c r="C55" s="129" t="s">
        <v>1009</v>
      </c>
      <c r="D55" s="370">
        <f>SUMIFS('caseload data'!E:E,'caseload data'!$D:$D,"SPO",'caseload data'!$A:$A,"Wales")</f>
        <v>0</v>
      </c>
      <c r="E55" s="94">
        <f>SUMIFS('caseload data'!F:F,'caseload data'!$D:$D,"SPO",'caseload data'!$A:$A,"Wales")</f>
        <v>0</v>
      </c>
      <c r="F55" s="94">
        <f>SUMIFS('caseload data'!G:G,'caseload data'!$D:$D,"SPO",'caseload data'!$A:$A,"Wales")</f>
        <v>0</v>
      </c>
      <c r="G55" s="94">
        <f>SUMIFS('caseload data'!H:H,'caseload data'!$D:$D,"SPO",'caseload data'!$A:$A,"Wales")</f>
        <v>0</v>
      </c>
      <c r="H55" s="94">
        <f>SUMIFS('caseload data'!I:I,'caseload data'!$D:$D,"SPO",'caseload data'!$A:$A,"Wales")</f>
        <v>0</v>
      </c>
      <c r="I55" s="94">
        <f>SUMIFS('caseload data'!J:J,'caseload data'!$D:$D,"SPO",'caseload data'!$A:$A,"Wales")</f>
        <v>0</v>
      </c>
      <c r="J55" s="94">
        <f>SUMIFS('caseload data'!K:K,'caseload data'!$D:$D,"SPO",'caseload data'!$A:$A,"Wales")</f>
        <v>0</v>
      </c>
      <c r="K55" s="94">
        <f>SUMIFS('caseload data'!L:L,'caseload data'!$D:$D,"SPO",'caseload data'!$A:$A,"Wales")</f>
        <v>0</v>
      </c>
      <c r="L55" s="94">
        <f>SUMIFS('caseload data'!M:M,'caseload data'!$D:$D,"SPO",'caseload data'!$A:$A,"Wales")</f>
        <v>0</v>
      </c>
      <c r="M55" s="94">
        <f>SUMIFS('caseload data'!N:N,'caseload data'!$D:$D,"SPO",'caseload data'!$A:$A,"Wales")</f>
        <v>0</v>
      </c>
      <c r="N55" s="94">
        <f>SUMIFS('caseload data'!O:O,'caseload data'!$D:$D,"SPO",'caseload data'!$A:$A,"Wales")</f>
        <v>0</v>
      </c>
      <c r="O55" s="94">
        <f>SUMIFS('caseload data'!P:P,'caseload data'!$D:$D,"SPO",'caseload data'!$A:$A,"Wales")</f>
        <v>0</v>
      </c>
      <c r="P55" s="94">
        <f>SUMIFS('caseload data'!Q:Q,'caseload data'!$D:$D,"SPO",'caseload data'!$A:$A,"Wales")</f>
        <v>0</v>
      </c>
      <c r="Q55" s="94">
        <f>SUMIFS('caseload data'!R:R,'caseload data'!$D:$D,"SPO",'caseload data'!$A:$A,"Wales")</f>
        <v>0</v>
      </c>
      <c r="R55" s="94">
        <f>SUMIFS('caseload data'!S:S,'caseload data'!$D:$D,"SPO",'caseload data'!$A:$A,"Wales")</f>
        <v>0</v>
      </c>
      <c r="S55" s="94">
        <f>SUMIFS('caseload data'!T:T,'caseload data'!$D:$D,"SPO",'caseload data'!$A:$A,"Wales")</f>
        <v>0</v>
      </c>
      <c r="T55" s="94">
        <f>SUMIFS('caseload data'!V:V,'caseload data'!$D:$D,"SPO",'caseload data'!$A:$A,"Wales")</f>
        <v>0</v>
      </c>
      <c r="U55" s="64"/>
      <c r="V55" s="64"/>
      <c r="W55" s="472"/>
      <c r="X55" s="129" t="s">
        <v>1009</v>
      </c>
      <c r="Y55" s="167" t="e">
        <f t="shared" si="38"/>
        <v>#DIV/0!</v>
      </c>
      <c r="Z55" s="167" t="e">
        <f t="shared" si="37"/>
        <v>#DIV/0!</v>
      </c>
      <c r="AA55" s="167" t="e">
        <f t="shared" si="37"/>
        <v>#DIV/0!</v>
      </c>
      <c r="AB55" s="167" t="e">
        <f t="shared" si="37"/>
        <v>#DIV/0!</v>
      </c>
      <c r="AC55" s="167" t="e">
        <f t="shared" si="37"/>
        <v>#DIV/0!</v>
      </c>
      <c r="AD55" s="167" t="e">
        <f t="shared" si="37"/>
        <v>#DIV/0!</v>
      </c>
      <c r="AE55" s="167" t="e">
        <f t="shared" si="37"/>
        <v>#DIV/0!</v>
      </c>
      <c r="AF55" s="167" t="e">
        <f t="shared" si="37"/>
        <v>#DIV/0!</v>
      </c>
      <c r="AG55" s="167" t="e">
        <f t="shared" si="37"/>
        <v>#DIV/0!</v>
      </c>
      <c r="AH55" s="167" t="e">
        <f t="shared" si="37"/>
        <v>#DIV/0!</v>
      </c>
      <c r="AI55" s="167" t="e">
        <f t="shared" si="37"/>
        <v>#DIV/0!</v>
      </c>
      <c r="AJ55" s="167" t="e">
        <f t="shared" si="37"/>
        <v>#DIV/0!</v>
      </c>
      <c r="AK55" s="167" t="e">
        <f t="shared" si="37"/>
        <v>#DIV/0!</v>
      </c>
      <c r="AL55" s="167" t="e">
        <f t="shared" si="37"/>
        <v>#DIV/0!</v>
      </c>
      <c r="AM55" s="167" t="e">
        <f t="shared" si="37"/>
        <v>#DIV/0!</v>
      </c>
      <c r="AN55" s="167" t="e">
        <f t="shared" si="37"/>
        <v>#DIV/0!</v>
      </c>
      <c r="AO55" s="167" t="e">
        <f t="shared" si="37"/>
        <v>#DIV/0!</v>
      </c>
    </row>
    <row r="56" spans="2:41" x14ac:dyDescent="0.15">
      <c r="B56" s="479"/>
      <c r="C56" s="129" t="s">
        <v>1344</v>
      </c>
      <c r="D56" s="370">
        <f>SUMIFS('caseload data'!E:E,'caseload data'!$D:$D,"DMY",'caseload data'!$A:$A,"Wales")</f>
        <v>0</v>
      </c>
      <c r="E56" s="370">
        <f>SUMIFS('caseload data'!F:F,'caseload data'!$D:$D,"DMY",'caseload data'!$A:$A,"Wales")</f>
        <v>0</v>
      </c>
      <c r="F56" s="370">
        <f>SUMIFS('caseload data'!G:G,'caseload data'!$D:$D,"DMY",'caseload data'!$A:$A,"Wales")</f>
        <v>0</v>
      </c>
      <c r="G56" s="370">
        <f>SUMIFS('caseload data'!H:H,'caseload data'!$D:$D,"DMY",'caseload data'!$A:$A,"Wales")</f>
        <v>0</v>
      </c>
      <c r="H56" s="370">
        <f>SUMIFS('caseload data'!I:I,'caseload data'!$D:$D,"DMY",'caseload data'!$A:$A,"Wales")</f>
        <v>0</v>
      </c>
      <c r="I56" s="370">
        <f>SUMIFS('caseload data'!J:J,'caseload data'!$D:$D,"DMY",'caseload data'!$A:$A,"Wales")</f>
        <v>0</v>
      </c>
      <c r="J56" s="370">
        <f>SUMIFS('caseload data'!K:K,'caseload data'!$D:$D,"DMY",'caseload data'!$A:$A,"Wales")</f>
        <v>0</v>
      </c>
      <c r="K56" s="370">
        <f>SUMIFS('caseload data'!L:L,'caseload data'!$D:$D,"DMY",'caseload data'!$A:$A,"Wales")</f>
        <v>0</v>
      </c>
      <c r="L56" s="370">
        <f>SUMIFS('caseload data'!M:M,'caseload data'!$D:$D,"DMY",'caseload data'!$A:$A,"Wales")</f>
        <v>0</v>
      </c>
      <c r="M56" s="370">
        <f>SUMIFS('caseload data'!N:N,'caseload data'!$D:$D,"DMY",'caseload data'!$A:$A,"Wales")</f>
        <v>0</v>
      </c>
      <c r="N56" s="370">
        <f>SUMIFS('caseload data'!O:O,'caseload data'!$D:$D,"DMY",'caseload data'!$A:$A,"Wales")</f>
        <v>0</v>
      </c>
      <c r="O56" s="370">
        <f>SUMIFS('caseload data'!P:P,'caseload data'!$D:$D,"DMY",'caseload data'!$A:$A,"Wales")</f>
        <v>0</v>
      </c>
      <c r="P56" s="370">
        <f>SUMIFS('caseload data'!Q:Q,'caseload data'!$D:$D,"DMY",'caseload data'!$A:$A,"Wales")</f>
        <v>0</v>
      </c>
      <c r="Q56" s="370">
        <f>SUMIFS('caseload data'!R:R,'caseload data'!$D:$D,"DMY",'caseload data'!$A:$A,"Wales")</f>
        <v>0</v>
      </c>
      <c r="R56" s="370">
        <f>SUMIFS('caseload data'!S:S,'caseload data'!$D:$D,"DMY",'caseload data'!$A:$A,"Wales")</f>
        <v>0</v>
      </c>
      <c r="S56" s="370">
        <f>SUMIFS('caseload data'!T:T,'caseload data'!$D:$D,"DMY",'caseload data'!$A:$A,"Wales")</f>
        <v>0</v>
      </c>
      <c r="T56" s="94">
        <f>SUMIFS('caseload data'!V:V,'caseload data'!$D:$D,"DMY",'caseload data'!$A:$A,"Wales")</f>
        <v>0</v>
      </c>
      <c r="U56" s="64"/>
      <c r="V56" s="64"/>
      <c r="W56" s="473"/>
      <c r="X56" s="130" t="s">
        <v>1344</v>
      </c>
      <c r="Y56" s="167" t="e">
        <f t="shared" si="38"/>
        <v>#DIV/0!</v>
      </c>
      <c r="Z56" s="167" t="e">
        <f t="shared" si="37"/>
        <v>#DIV/0!</v>
      </c>
      <c r="AA56" s="167" t="e">
        <f t="shared" si="37"/>
        <v>#DIV/0!</v>
      </c>
      <c r="AB56" s="167" t="e">
        <f t="shared" si="37"/>
        <v>#DIV/0!</v>
      </c>
      <c r="AC56" s="167" t="e">
        <f t="shared" si="37"/>
        <v>#DIV/0!</v>
      </c>
      <c r="AD56" s="167" t="e">
        <f t="shared" si="37"/>
        <v>#DIV/0!</v>
      </c>
      <c r="AE56" s="167" t="e">
        <f t="shared" si="37"/>
        <v>#DIV/0!</v>
      </c>
      <c r="AF56" s="167" t="e">
        <f t="shared" si="37"/>
        <v>#DIV/0!</v>
      </c>
      <c r="AG56" s="167" t="e">
        <f t="shared" si="37"/>
        <v>#DIV/0!</v>
      </c>
      <c r="AH56" s="167" t="e">
        <f t="shared" si="37"/>
        <v>#DIV/0!</v>
      </c>
      <c r="AI56" s="167" t="e">
        <f t="shared" si="37"/>
        <v>#DIV/0!</v>
      </c>
      <c r="AJ56" s="167" t="e">
        <f t="shared" si="37"/>
        <v>#DIV/0!</v>
      </c>
      <c r="AK56" s="167" t="e">
        <f t="shared" si="37"/>
        <v>#DIV/0!</v>
      </c>
      <c r="AL56" s="167" t="e">
        <f t="shared" si="37"/>
        <v>#DIV/0!</v>
      </c>
      <c r="AM56" s="167" t="e">
        <f t="shared" si="37"/>
        <v>#DIV/0!</v>
      </c>
      <c r="AN56" s="167" t="e">
        <f t="shared" si="37"/>
        <v>#DIV/0!</v>
      </c>
      <c r="AO56" s="167" t="e">
        <f t="shared" si="37"/>
        <v>#DIV/0!</v>
      </c>
    </row>
    <row r="57" spans="2:41" x14ac:dyDescent="0.15">
      <c r="B57" s="477" t="s">
        <v>27</v>
      </c>
      <c r="C57" s="128" t="s">
        <v>1002</v>
      </c>
      <c r="D57" s="370">
        <f>SUMIFS('caseload data'!E:E,'caseload data'!$D:$D,"PO",'caseload data'!$A:$A,$B$57)</f>
        <v>0</v>
      </c>
      <c r="E57" s="94">
        <f>SUMIFS('caseload data'!F:F,'caseload data'!$D:$D,"PO",'caseload data'!$A:$A,$B$57)</f>
        <v>0</v>
      </c>
      <c r="F57" s="94">
        <f>SUMIFS('caseload data'!G:G,'caseload data'!$D:$D,"PO",'caseload data'!$A:$A,$B$57)</f>
        <v>0</v>
      </c>
      <c r="G57" s="94">
        <f>SUMIFS('caseload data'!H:H,'caseload data'!$D:$D,"PO",'caseload data'!$A:$A,$B$57)</f>
        <v>0</v>
      </c>
      <c r="H57" s="94">
        <f>SUMIFS('caseload data'!I:I,'caseload data'!$D:$D,"PO",'caseload data'!$A:$A,$B$57)</f>
        <v>0</v>
      </c>
      <c r="I57" s="94">
        <f>SUMIFS('caseload data'!J:J,'caseload data'!$D:$D,"PO",'caseload data'!$A:$A,$B$57)</f>
        <v>0</v>
      </c>
      <c r="J57" s="94">
        <f>SUMIFS('caseload data'!K:K,'caseload data'!$D:$D,"PO",'caseload data'!$A:$A,$B$57)</f>
        <v>0</v>
      </c>
      <c r="K57" s="94">
        <f>SUMIFS('caseload data'!L:L,'caseload data'!$D:$D,"PO",'caseload data'!$A:$A,$B$57)</f>
        <v>0</v>
      </c>
      <c r="L57" s="94">
        <f>SUMIFS('caseload data'!M:M,'caseload data'!$D:$D,"PO",'caseload data'!$A:$A,$B$57)</f>
        <v>0</v>
      </c>
      <c r="M57" s="94">
        <f>SUMIFS('caseload data'!N:N,'caseload data'!$D:$D,"PO",'caseload data'!$A:$A,$B$57)</f>
        <v>0</v>
      </c>
      <c r="N57" s="94">
        <f>SUMIFS('caseload data'!O:O,'caseload data'!$D:$D,"PO",'caseload data'!$A:$A,$B$57)</f>
        <v>0</v>
      </c>
      <c r="O57" s="94">
        <f>SUMIFS('caseload data'!P:P,'caseload data'!$D:$D,"PO",'caseload data'!$A:$A,$B$57)</f>
        <v>0</v>
      </c>
      <c r="P57" s="94">
        <f>SUMIFS('caseload data'!Q:Q,'caseload data'!$D:$D,"PO",'caseload data'!$A:$A,$B$57)</f>
        <v>0</v>
      </c>
      <c r="Q57" s="94">
        <f>SUMIFS('caseload data'!R:R,'caseload data'!$D:$D,"PO",'caseload data'!$A:$A,$B$57)</f>
        <v>0</v>
      </c>
      <c r="R57" s="94">
        <f>SUMIFS('caseload data'!S:S,'caseload data'!$D:$D,"PO",'caseload data'!$A:$A,$B$57)</f>
        <v>0</v>
      </c>
      <c r="S57" s="94">
        <f>SUMIFS('caseload data'!T:T,'caseload data'!$D:$D,"PO",'caseload data'!$A:$A,$B$57)</f>
        <v>0</v>
      </c>
      <c r="T57" s="94">
        <f>SUMIFS('caseload data'!V:V,'caseload data'!$D:$D,"PO",'caseload data'!$A:$A,B57)</f>
        <v>0</v>
      </c>
      <c r="U57" s="64"/>
      <c r="V57" s="64"/>
      <c r="W57" s="471" t="s">
        <v>27</v>
      </c>
      <c r="X57" s="128" t="s">
        <v>1002</v>
      </c>
      <c r="Y57" s="167" t="e">
        <f>SUM(D57)/SUM(D$57:D$61)</f>
        <v>#DIV/0!</v>
      </c>
      <c r="Z57" s="167" t="e">
        <f t="shared" ref="Z57:AO61" si="39">SUM(E57)/SUM(E$57:E$61)</f>
        <v>#DIV/0!</v>
      </c>
      <c r="AA57" s="167" t="e">
        <f t="shared" si="39"/>
        <v>#DIV/0!</v>
      </c>
      <c r="AB57" s="167" t="e">
        <f t="shared" si="39"/>
        <v>#DIV/0!</v>
      </c>
      <c r="AC57" s="167" t="e">
        <f t="shared" si="39"/>
        <v>#DIV/0!</v>
      </c>
      <c r="AD57" s="167" t="e">
        <f t="shared" si="39"/>
        <v>#DIV/0!</v>
      </c>
      <c r="AE57" s="167" t="e">
        <f t="shared" si="39"/>
        <v>#DIV/0!</v>
      </c>
      <c r="AF57" s="167" t="e">
        <f t="shared" si="39"/>
        <v>#DIV/0!</v>
      </c>
      <c r="AG57" s="167" t="e">
        <f t="shared" si="39"/>
        <v>#DIV/0!</v>
      </c>
      <c r="AH57" s="167" t="e">
        <f t="shared" si="39"/>
        <v>#DIV/0!</v>
      </c>
      <c r="AI57" s="167" t="e">
        <f t="shared" si="39"/>
        <v>#DIV/0!</v>
      </c>
      <c r="AJ57" s="167" t="e">
        <f t="shared" si="39"/>
        <v>#DIV/0!</v>
      </c>
      <c r="AK57" s="167" t="e">
        <f t="shared" si="39"/>
        <v>#DIV/0!</v>
      </c>
      <c r="AL57" s="167" t="e">
        <f t="shared" si="39"/>
        <v>#DIV/0!</v>
      </c>
      <c r="AM57" s="167" t="e">
        <f t="shared" si="39"/>
        <v>#DIV/0!</v>
      </c>
      <c r="AN57" s="167" t="e">
        <f t="shared" si="39"/>
        <v>#DIV/0!</v>
      </c>
      <c r="AO57" s="167" t="e">
        <f t="shared" si="39"/>
        <v>#DIV/0!</v>
      </c>
    </row>
    <row r="58" spans="2:41" x14ac:dyDescent="0.15">
      <c r="B58" s="478"/>
      <c r="C58" s="129" t="s">
        <v>1007</v>
      </c>
      <c r="D58" s="370">
        <f>SUMIFS('caseload data'!E:E,'caseload data'!$D:$D,"PSO",'caseload data'!$A:$A,"West Midlands Region")</f>
        <v>0</v>
      </c>
      <c r="E58" s="94">
        <f>SUMIFS('caseload data'!F:F,'caseload data'!$D:$D,"PSO",'caseload data'!$A:$A,"West Midlands Region")</f>
        <v>0</v>
      </c>
      <c r="F58" s="94">
        <f>SUMIFS('caseload data'!G:G,'caseload data'!$D:$D,"PSO",'caseload data'!$A:$A,"West Midlands Region")</f>
        <v>0</v>
      </c>
      <c r="G58" s="94">
        <f>SUMIFS('caseload data'!H:H,'caseload data'!$D:$D,"PSO",'caseload data'!$A:$A,"West Midlands Region")</f>
        <v>0</v>
      </c>
      <c r="H58" s="94">
        <f>SUMIFS('caseload data'!I:I,'caseload data'!$D:$D,"PSO",'caseload data'!$A:$A,"West Midlands Region")</f>
        <v>0</v>
      </c>
      <c r="I58" s="94">
        <f>SUMIFS('caseload data'!J:J,'caseload data'!$D:$D,"PSO",'caseload data'!$A:$A,"West Midlands Region")</f>
        <v>0</v>
      </c>
      <c r="J58" s="94">
        <f>SUMIFS('caseload data'!K:K,'caseload data'!$D:$D,"PSO",'caseload data'!$A:$A,"West Midlands Region")</f>
        <v>0</v>
      </c>
      <c r="K58" s="94">
        <f>SUMIFS('caseload data'!L:L,'caseload data'!$D:$D,"PSO",'caseload data'!$A:$A,"West Midlands Region")</f>
        <v>0</v>
      </c>
      <c r="L58" s="94">
        <f>SUMIFS('caseload data'!M:M,'caseload data'!$D:$D,"PSO",'caseload data'!$A:$A,"West Midlands Region")</f>
        <v>0</v>
      </c>
      <c r="M58" s="94">
        <f>SUMIFS('caseload data'!N:N,'caseload data'!$D:$D,"PSO",'caseload data'!$A:$A,"West Midlands Region")</f>
        <v>0</v>
      </c>
      <c r="N58" s="94">
        <f>SUMIFS('caseload data'!O:O,'caseload data'!$D:$D,"PSO",'caseload data'!$A:$A,"West Midlands Region")</f>
        <v>0</v>
      </c>
      <c r="O58" s="94">
        <f>SUMIFS('caseload data'!P:P,'caseload data'!$D:$D,"PSO",'caseload data'!$A:$A,"West Midlands Region")</f>
        <v>0</v>
      </c>
      <c r="P58" s="94">
        <f>SUMIFS('caseload data'!Q:Q,'caseload data'!$D:$D,"PSO",'caseload data'!$A:$A,"West Midlands Region")</f>
        <v>0</v>
      </c>
      <c r="Q58" s="94">
        <f>SUMIFS('caseload data'!R:R,'caseload data'!$D:$D,"PSO",'caseload data'!$A:$A,"West Midlands Region")</f>
        <v>0</v>
      </c>
      <c r="R58" s="94">
        <f>SUMIFS('caseload data'!S:S,'caseload data'!$D:$D,"PSO",'caseload data'!$A:$A,"West Midlands Region")</f>
        <v>0</v>
      </c>
      <c r="S58" s="94">
        <f>SUMIFS('caseload data'!T:T,'caseload data'!$D:$D,"PSO",'caseload data'!$A:$A,"West Midlands Region")</f>
        <v>0</v>
      </c>
      <c r="T58" s="94">
        <f>SUMIFS('caseload data'!V:V,'caseload data'!$D:$D,"PSO",'caseload data'!$A:$A,"West Midlands Region")</f>
        <v>0</v>
      </c>
      <c r="U58" s="64"/>
      <c r="V58" s="64"/>
      <c r="W58" s="472"/>
      <c r="X58" s="129" t="s">
        <v>1007</v>
      </c>
      <c r="Y58" s="167" t="e">
        <f t="shared" ref="Y58:Y61" si="40">SUM(D58)/SUM(D$57:D$61)</f>
        <v>#DIV/0!</v>
      </c>
      <c r="Z58" s="167" t="e">
        <f t="shared" si="39"/>
        <v>#DIV/0!</v>
      </c>
      <c r="AA58" s="167" t="e">
        <f t="shared" si="39"/>
        <v>#DIV/0!</v>
      </c>
      <c r="AB58" s="167" t="e">
        <f t="shared" si="39"/>
        <v>#DIV/0!</v>
      </c>
      <c r="AC58" s="167" t="e">
        <f t="shared" si="39"/>
        <v>#DIV/0!</v>
      </c>
      <c r="AD58" s="167" t="e">
        <f t="shared" si="39"/>
        <v>#DIV/0!</v>
      </c>
      <c r="AE58" s="167" t="e">
        <f t="shared" si="39"/>
        <v>#DIV/0!</v>
      </c>
      <c r="AF58" s="167" t="e">
        <f t="shared" si="39"/>
        <v>#DIV/0!</v>
      </c>
      <c r="AG58" s="167" t="e">
        <f t="shared" si="39"/>
        <v>#DIV/0!</v>
      </c>
      <c r="AH58" s="167" t="e">
        <f t="shared" si="39"/>
        <v>#DIV/0!</v>
      </c>
      <c r="AI58" s="167" t="e">
        <f t="shared" si="39"/>
        <v>#DIV/0!</v>
      </c>
      <c r="AJ58" s="167" t="e">
        <f t="shared" si="39"/>
        <v>#DIV/0!</v>
      </c>
      <c r="AK58" s="167" t="e">
        <f t="shared" si="39"/>
        <v>#DIV/0!</v>
      </c>
      <c r="AL58" s="167" t="e">
        <f t="shared" si="39"/>
        <v>#DIV/0!</v>
      </c>
      <c r="AM58" s="167" t="e">
        <f t="shared" si="39"/>
        <v>#DIV/0!</v>
      </c>
      <c r="AN58" s="167" t="e">
        <f t="shared" si="39"/>
        <v>#DIV/0!</v>
      </c>
      <c r="AO58" s="167" t="e">
        <f t="shared" si="39"/>
        <v>#DIV/0!</v>
      </c>
    </row>
    <row r="59" spans="2:41" x14ac:dyDescent="0.15">
      <c r="B59" s="478"/>
      <c r="C59" s="129" t="s">
        <v>1008</v>
      </c>
      <c r="D59" s="370">
        <f>SUMIFS('caseload data'!E:E,'caseload data'!$D:$D,"TPO",'caseload data'!$A:$A,"West Midlands Region")</f>
        <v>0</v>
      </c>
      <c r="E59" s="94">
        <f>SUMIFS('caseload data'!F:F,'caseload data'!$D:$D,"TPO",'caseload data'!$A:$A,"West Midlands Region")</f>
        <v>0</v>
      </c>
      <c r="F59" s="94">
        <f>SUMIFS('caseload data'!G:G,'caseload data'!$D:$D,"TPO",'caseload data'!$A:$A,"West Midlands Region")</f>
        <v>0</v>
      </c>
      <c r="G59" s="94">
        <f>SUMIFS('caseload data'!H:H,'caseload data'!$D:$D,"TPO",'caseload data'!$A:$A,"West Midlands Region")</f>
        <v>0</v>
      </c>
      <c r="H59" s="94">
        <f>SUMIFS('caseload data'!I:I,'caseload data'!$D:$D,"TPO",'caseload data'!$A:$A,"West Midlands Region")</f>
        <v>0</v>
      </c>
      <c r="I59" s="94">
        <f>SUMIFS('caseload data'!J:J,'caseload data'!$D:$D,"TPO",'caseload data'!$A:$A,"West Midlands Region")</f>
        <v>0</v>
      </c>
      <c r="J59" s="94">
        <f>SUMIFS('caseload data'!K:K,'caseload data'!$D:$D,"TPO",'caseload data'!$A:$A,"West Midlands Region")</f>
        <v>0</v>
      </c>
      <c r="K59" s="94">
        <f>SUMIFS('caseload data'!L:L,'caseload data'!$D:$D,"TPO",'caseload data'!$A:$A,"West Midlands Region")</f>
        <v>0</v>
      </c>
      <c r="L59" s="94">
        <f>SUMIFS('caseload data'!M:M,'caseload data'!$D:$D,"TPO",'caseload data'!$A:$A,"West Midlands Region")</f>
        <v>0</v>
      </c>
      <c r="M59" s="94">
        <f>SUMIFS('caseload data'!N:N,'caseload data'!$D:$D,"TPO",'caseload data'!$A:$A,"West Midlands Region")</f>
        <v>0</v>
      </c>
      <c r="N59" s="94">
        <f>SUMIFS('caseload data'!O:O,'caseload data'!$D:$D,"TPO",'caseload data'!$A:$A,"West Midlands Region")</f>
        <v>0</v>
      </c>
      <c r="O59" s="94">
        <f>SUMIFS('caseload data'!P:P,'caseload data'!$D:$D,"TPO",'caseload data'!$A:$A,"West Midlands Region")</f>
        <v>0</v>
      </c>
      <c r="P59" s="94">
        <f>SUMIFS('caseload data'!Q:Q,'caseload data'!$D:$D,"TPO",'caseload data'!$A:$A,"West Midlands Region")</f>
        <v>0</v>
      </c>
      <c r="Q59" s="94">
        <f>SUMIFS('caseload data'!R:R,'caseload data'!$D:$D,"TPO",'caseload data'!$A:$A,"West Midlands Region")</f>
        <v>0</v>
      </c>
      <c r="R59" s="94">
        <f>SUMIFS('caseload data'!S:S,'caseload data'!$D:$D,"TPO",'caseload data'!$A:$A,"West Midlands Region")</f>
        <v>0</v>
      </c>
      <c r="S59" s="94">
        <f>SUMIFS('caseload data'!T:T,'caseload data'!$D:$D,"TPO",'caseload data'!$A:$A,"West Midlands Region")</f>
        <v>0</v>
      </c>
      <c r="T59" s="94">
        <f>SUMIFS('caseload data'!V:V,'caseload data'!$D:$D,"TPO",'caseload data'!$A:$A,"West Midlands Region")</f>
        <v>0</v>
      </c>
      <c r="U59" s="64"/>
      <c r="V59" s="64"/>
      <c r="W59" s="472"/>
      <c r="X59" s="129" t="s">
        <v>1008</v>
      </c>
      <c r="Y59" s="167" t="e">
        <f t="shared" si="40"/>
        <v>#DIV/0!</v>
      </c>
      <c r="Z59" s="167" t="e">
        <f t="shared" si="39"/>
        <v>#DIV/0!</v>
      </c>
      <c r="AA59" s="167" t="e">
        <f t="shared" si="39"/>
        <v>#DIV/0!</v>
      </c>
      <c r="AB59" s="167" t="e">
        <f t="shared" si="39"/>
        <v>#DIV/0!</v>
      </c>
      <c r="AC59" s="167" t="e">
        <f t="shared" si="39"/>
        <v>#DIV/0!</v>
      </c>
      <c r="AD59" s="167" t="e">
        <f t="shared" si="39"/>
        <v>#DIV/0!</v>
      </c>
      <c r="AE59" s="167" t="e">
        <f t="shared" si="39"/>
        <v>#DIV/0!</v>
      </c>
      <c r="AF59" s="167" t="e">
        <f t="shared" si="39"/>
        <v>#DIV/0!</v>
      </c>
      <c r="AG59" s="167" t="e">
        <f t="shared" si="39"/>
        <v>#DIV/0!</v>
      </c>
      <c r="AH59" s="167" t="e">
        <f t="shared" si="39"/>
        <v>#DIV/0!</v>
      </c>
      <c r="AI59" s="167" t="e">
        <f t="shared" si="39"/>
        <v>#DIV/0!</v>
      </c>
      <c r="AJ59" s="167" t="e">
        <f t="shared" si="39"/>
        <v>#DIV/0!</v>
      </c>
      <c r="AK59" s="167" t="e">
        <f t="shared" si="39"/>
        <v>#DIV/0!</v>
      </c>
      <c r="AL59" s="167" t="e">
        <f t="shared" si="39"/>
        <v>#DIV/0!</v>
      </c>
      <c r="AM59" s="167" t="e">
        <f t="shared" si="39"/>
        <v>#DIV/0!</v>
      </c>
      <c r="AN59" s="167" t="e">
        <f t="shared" si="39"/>
        <v>#DIV/0!</v>
      </c>
      <c r="AO59" s="167" t="e">
        <f t="shared" si="39"/>
        <v>#DIV/0!</v>
      </c>
    </row>
    <row r="60" spans="2:41" x14ac:dyDescent="0.15">
      <c r="B60" s="478"/>
      <c r="C60" s="129" t="s">
        <v>1009</v>
      </c>
      <c r="D60" s="370">
        <f>SUMIFS('caseload data'!E:E,'caseload data'!$D:$D,"SPO",'caseload data'!$A:$A,"West Midlands Region")</f>
        <v>0</v>
      </c>
      <c r="E60" s="94">
        <f>SUMIFS('caseload data'!F:F,'caseload data'!$D:$D,"SPO",'caseload data'!$A:$A,"West Midlands Region")</f>
        <v>0</v>
      </c>
      <c r="F60" s="94">
        <f>SUMIFS('caseload data'!G:G,'caseload data'!$D:$D,"SPO",'caseload data'!$A:$A,"West Midlands Region")</f>
        <v>0</v>
      </c>
      <c r="G60" s="94">
        <f>SUMIFS('caseload data'!H:H,'caseload data'!$D:$D,"SPO",'caseload data'!$A:$A,"West Midlands Region")</f>
        <v>0</v>
      </c>
      <c r="H60" s="94">
        <f>SUMIFS('caseload data'!I:I,'caseload data'!$D:$D,"SPO",'caseload data'!$A:$A,"West Midlands Region")</f>
        <v>0</v>
      </c>
      <c r="I60" s="94">
        <f>SUMIFS('caseload data'!J:J,'caseload data'!$D:$D,"SPO",'caseload data'!$A:$A,"West Midlands Region")</f>
        <v>0</v>
      </c>
      <c r="J60" s="94">
        <f>SUMIFS('caseload data'!K:K,'caseload data'!$D:$D,"SPO",'caseload data'!$A:$A,"West Midlands Region")</f>
        <v>0</v>
      </c>
      <c r="K60" s="94">
        <f>SUMIFS('caseload data'!L:L,'caseload data'!$D:$D,"SPO",'caseload data'!$A:$A,"West Midlands Region")</f>
        <v>0</v>
      </c>
      <c r="L60" s="94">
        <f>SUMIFS('caseload data'!M:M,'caseload data'!$D:$D,"SPO",'caseload data'!$A:$A,"West Midlands Region")</f>
        <v>0</v>
      </c>
      <c r="M60" s="94">
        <f>SUMIFS('caseload data'!N:N,'caseload data'!$D:$D,"SPO",'caseload data'!$A:$A,"West Midlands Region")</f>
        <v>0</v>
      </c>
      <c r="N60" s="94">
        <f>SUMIFS('caseload data'!O:O,'caseload data'!$D:$D,"SPO",'caseload data'!$A:$A,"West Midlands Region")</f>
        <v>0</v>
      </c>
      <c r="O60" s="94">
        <f>SUMIFS('caseload data'!P:P,'caseload data'!$D:$D,"SPO",'caseload data'!$A:$A,"West Midlands Region")</f>
        <v>0</v>
      </c>
      <c r="P60" s="94">
        <f>SUMIFS('caseload data'!Q:Q,'caseload data'!$D:$D,"SPO",'caseload data'!$A:$A,"West Midlands Region")</f>
        <v>0</v>
      </c>
      <c r="Q60" s="94">
        <f>SUMIFS('caseload data'!R:R,'caseload data'!$D:$D,"SPO",'caseload data'!$A:$A,"West Midlands Region")</f>
        <v>0</v>
      </c>
      <c r="R60" s="94">
        <f>SUMIFS('caseload data'!S:S,'caseload data'!$D:$D,"SPO",'caseload data'!$A:$A,"West Midlands Region")</f>
        <v>0</v>
      </c>
      <c r="S60" s="94">
        <f>SUMIFS('caseload data'!T:T,'caseload data'!$D:$D,"SPO",'caseload data'!$A:$A,"West Midlands Region")</f>
        <v>0</v>
      </c>
      <c r="T60" s="94">
        <f>SUMIFS('caseload data'!V:V,'caseload data'!$D:$D,"SPO",'caseload data'!$A:$A,"West Midlands Region")</f>
        <v>0</v>
      </c>
      <c r="U60" s="64"/>
      <c r="V60" s="64"/>
      <c r="W60" s="472"/>
      <c r="X60" s="129" t="s">
        <v>1009</v>
      </c>
      <c r="Y60" s="167" t="e">
        <f t="shared" si="40"/>
        <v>#DIV/0!</v>
      </c>
      <c r="Z60" s="167" t="e">
        <f t="shared" si="39"/>
        <v>#DIV/0!</v>
      </c>
      <c r="AA60" s="167" t="e">
        <f t="shared" si="39"/>
        <v>#DIV/0!</v>
      </c>
      <c r="AB60" s="167" t="e">
        <f t="shared" si="39"/>
        <v>#DIV/0!</v>
      </c>
      <c r="AC60" s="167" t="e">
        <f t="shared" si="39"/>
        <v>#DIV/0!</v>
      </c>
      <c r="AD60" s="167" t="e">
        <f t="shared" si="39"/>
        <v>#DIV/0!</v>
      </c>
      <c r="AE60" s="167" t="e">
        <f t="shared" si="39"/>
        <v>#DIV/0!</v>
      </c>
      <c r="AF60" s="167" t="e">
        <f t="shared" si="39"/>
        <v>#DIV/0!</v>
      </c>
      <c r="AG60" s="167" t="e">
        <f t="shared" si="39"/>
        <v>#DIV/0!</v>
      </c>
      <c r="AH60" s="167" t="e">
        <f t="shared" si="39"/>
        <v>#DIV/0!</v>
      </c>
      <c r="AI60" s="167" t="e">
        <f t="shared" si="39"/>
        <v>#DIV/0!</v>
      </c>
      <c r="AJ60" s="167" t="e">
        <f t="shared" si="39"/>
        <v>#DIV/0!</v>
      </c>
      <c r="AK60" s="167" t="e">
        <f t="shared" si="39"/>
        <v>#DIV/0!</v>
      </c>
      <c r="AL60" s="167" t="e">
        <f t="shared" si="39"/>
        <v>#DIV/0!</v>
      </c>
      <c r="AM60" s="167" t="e">
        <f t="shared" si="39"/>
        <v>#DIV/0!</v>
      </c>
      <c r="AN60" s="167" t="e">
        <f t="shared" si="39"/>
        <v>#DIV/0!</v>
      </c>
      <c r="AO60" s="167" t="e">
        <f t="shared" si="39"/>
        <v>#DIV/0!</v>
      </c>
    </row>
    <row r="61" spans="2:41" x14ac:dyDescent="0.15">
      <c r="B61" s="479"/>
      <c r="C61" s="130" t="s">
        <v>1344</v>
      </c>
      <c r="D61" s="370">
        <f>SUMIFS('caseload data'!E:E,'caseload data'!$D:$D,"DMY",'caseload data'!$A:$A,"West Midlands Region")</f>
        <v>0</v>
      </c>
      <c r="E61" s="370">
        <f>SUMIFS('caseload data'!F:F,'caseload data'!$D:$D,"DMY",'caseload data'!$A:$A,"West Midlands Region")</f>
        <v>0</v>
      </c>
      <c r="F61" s="370">
        <f>SUMIFS('caseload data'!G:G,'caseload data'!$D:$D,"DMY",'caseload data'!$A:$A,"West Midlands Region")</f>
        <v>0</v>
      </c>
      <c r="G61" s="370">
        <f>SUMIFS('caseload data'!H:H,'caseload data'!$D:$D,"DMY",'caseload data'!$A:$A,"West Midlands Region")</f>
        <v>0</v>
      </c>
      <c r="H61" s="370">
        <f>SUMIFS('caseload data'!I:I,'caseload data'!$D:$D,"DMY",'caseload data'!$A:$A,"West Midlands Region")</f>
        <v>0</v>
      </c>
      <c r="I61" s="370">
        <f>SUMIFS('caseload data'!J:J,'caseload data'!$D:$D,"DMY",'caseload data'!$A:$A,"West Midlands Region")</f>
        <v>0</v>
      </c>
      <c r="J61" s="370">
        <f>SUMIFS('caseload data'!K:K,'caseload data'!$D:$D,"DMY",'caseload data'!$A:$A,"West Midlands Region")</f>
        <v>0</v>
      </c>
      <c r="K61" s="370">
        <f>SUMIFS('caseload data'!L:L,'caseload data'!$D:$D,"DMY",'caseload data'!$A:$A,"West Midlands Region")</f>
        <v>0</v>
      </c>
      <c r="L61" s="370">
        <f>SUMIFS('caseload data'!M:M,'caseload data'!$D:$D,"DMY",'caseload data'!$A:$A,"West Midlands Region")</f>
        <v>0</v>
      </c>
      <c r="M61" s="370">
        <f>SUMIFS('caseload data'!N:N,'caseload data'!$D:$D,"DMY",'caseload data'!$A:$A,"West Midlands Region")</f>
        <v>0</v>
      </c>
      <c r="N61" s="370">
        <f>SUMIFS('caseload data'!O:O,'caseload data'!$D:$D,"DMY",'caseload data'!$A:$A,"West Midlands Region")</f>
        <v>0</v>
      </c>
      <c r="O61" s="370">
        <f>SUMIFS('caseload data'!P:P,'caseload data'!$D:$D,"DMY",'caseload data'!$A:$A,"West Midlands Region")</f>
        <v>0</v>
      </c>
      <c r="P61" s="370">
        <f>SUMIFS('caseload data'!Q:Q,'caseload data'!$D:$D,"DMY",'caseload data'!$A:$A,"West Midlands Region")</f>
        <v>0</v>
      </c>
      <c r="Q61" s="370">
        <f>SUMIFS('caseload data'!R:R,'caseload data'!$D:$D,"DMY",'caseload data'!$A:$A,"West Midlands Region")</f>
        <v>0</v>
      </c>
      <c r="R61" s="370">
        <f>SUMIFS('caseload data'!S:S,'caseload data'!$D:$D,"DMY",'caseload data'!$A:$A,"West Midlands Region")</f>
        <v>0</v>
      </c>
      <c r="S61" s="370">
        <f>SUMIFS('caseload data'!T:T,'caseload data'!$D:$D,"DMY",'caseload data'!$A:$A,"West Midlands Region")</f>
        <v>0</v>
      </c>
      <c r="T61" s="94">
        <f>SUMIFS('caseload data'!V:V,'caseload data'!$D:$D,"DMY",'caseload data'!$A:$A,"West Midlands Region")</f>
        <v>0</v>
      </c>
      <c r="U61" s="64"/>
      <c r="V61" s="64"/>
      <c r="W61" s="473"/>
      <c r="X61" s="130" t="s">
        <v>1344</v>
      </c>
      <c r="Y61" s="167" t="e">
        <f t="shared" si="40"/>
        <v>#DIV/0!</v>
      </c>
      <c r="Z61" s="167" t="e">
        <f t="shared" si="39"/>
        <v>#DIV/0!</v>
      </c>
      <c r="AA61" s="167" t="e">
        <f t="shared" si="39"/>
        <v>#DIV/0!</v>
      </c>
      <c r="AB61" s="167" t="e">
        <f t="shared" si="39"/>
        <v>#DIV/0!</v>
      </c>
      <c r="AC61" s="167" t="e">
        <f t="shared" si="39"/>
        <v>#DIV/0!</v>
      </c>
      <c r="AD61" s="167" t="e">
        <f t="shared" si="39"/>
        <v>#DIV/0!</v>
      </c>
      <c r="AE61" s="167" t="e">
        <f t="shared" si="39"/>
        <v>#DIV/0!</v>
      </c>
      <c r="AF61" s="167" t="e">
        <f t="shared" si="39"/>
        <v>#DIV/0!</v>
      </c>
      <c r="AG61" s="167" t="e">
        <f t="shared" si="39"/>
        <v>#DIV/0!</v>
      </c>
      <c r="AH61" s="167" t="e">
        <f t="shared" si="39"/>
        <v>#DIV/0!</v>
      </c>
      <c r="AI61" s="167" t="e">
        <f t="shared" si="39"/>
        <v>#DIV/0!</v>
      </c>
      <c r="AJ61" s="167" t="e">
        <f t="shared" si="39"/>
        <v>#DIV/0!</v>
      </c>
      <c r="AK61" s="167" t="e">
        <f t="shared" si="39"/>
        <v>#DIV/0!</v>
      </c>
      <c r="AL61" s="167" t="e">
        <f t="shared" si="39"/>
        <v>#DIV/0!</v>
      </c>
      <c r="AM61" s="167" t="e">
        <f t="shared" si="39"/>
        <v>#DIV/0!</v>
      </c>
      <c r="AN61" s="167" t="e">
        <f t="shared" si="39"/>
        <v>#DIV/0!</v>
      </c>
      <c r="AO61" s="167" t="e">
        <f t="shared" si="39"/>
        <v>#DIV/0!</v>
      </c>
    </row>
    <row r="62" spans="2:41" x14ac:dyDescent="0.15">
      <c r="B62" s="471" t="s">
        <v>28</v>
      </c>
      <c r="C62" s="129" t="s">
        <v>1002</v>
      </c>
      <c r="D62" s="94">
        <f>SUMIFS('caseload data'!E:E,'caseload data'!$D:$D,"PO",'caseload data'!$A:$A,$B$62)</f>
        <v>0</v>
      </c>
      <c r="E62" s="94">
        <f>SUMIFS('caseload data'!F:F,'caseload data'!$D:$D,"PO",'caseload data'!$A:$A,$B$62)</f>
        <v>0</v>
      </c>
      <c r="F62" s="94">
        <f>SUMIFS('caseload data'!G:G,'caseload data'!$D:$D,"PO",'caseload data'!$A:$A,$B$62)</f>
        <v>0</v>
      </c>
      <c r="G62" s="94">
        <f>SUMIFS('caseload data'!H:H,'caseload data'!$D:$D,"PO",'caseload data'!$A:$A,$B$62)</f>
        <v>0</v>
      </c>
      <c r="H62" s="94">
        <f>SUMIFS('caseload data'!I:I,'caseload data'!$D:$D,"PO",'caseload data'!$A:$A,$B$62)</f>
        <v>0</v>
      </c>
      <c r="I62" s="94">
        <f>SUMIFS('caseload data'!J:J,'caseload data'!$D:$D,"PO",'caseload data'!$A:$A,$B$62)</f>
        <v>0</v>
      </c>
      <c r="J62" s="94">
        <f>SUMIFS('caseload data'!K:K,'caseload data'!$D:$D,"PO",'caseload data'!$A:$A,$B$62)</f>
        <v>0</v>
      </c>
      <c r="K62" s="94">
        <f>SUMIFS('caseload data'!L:L,'caseload data'!$D:$D,"PO",'caseload data'!$A:$A,$B$62)</f>
        <v>0</v>
      </c>
      <c r="L62" s="94">
        <f>SUMIFS('caseload data'!M:M,'caseload data'!$D:$D,"PO",'caseload data'!$A:$A,$B$62)</f>
        <v>0</v>
      </c>
      <c r="M62" s="94">
        <f>SUMIFS('caseload data'!N:N,'caseload data'!$D:$D,"PO",'caseload data'!$A:$A,$B$62)</f>
        <v>0</v>
      </c>
      <c r="N62" s="94">
        <f>SUMIFS('caseload data'!O:O,'caseload data'!$D:$D,"PO",'caseload data'!$A:$A,$B$62)</f>
        <v>0</v>
      </c>
      <c r="O62" s="94">
        <f>SUMIFS('caseload data'!P:P,'caseload data'!$D:$D,"PO",'caseload data'!$A:$A,$B$62)</f>
        <v>0</v>
      </c>
      <c r="P62" s="94">
        <f>SUMIFS('caseload data'!Q:Q,'caseload data'!$D:$D,"PO",'caseload data'!$A:$A,$B$62)</f>
        <v>0</v>
      </c>
      <c r="Q62" s="94">
        <f>SUMIFS('caseload data'!R:R,'caseload data'!$D:$D,"PO",'caseload data'!$A:$A,$B$62)</f>
        <v>0</v>
      </c>
      <c r="R62" s="94">
        <f>SUMIFS('caseload data'!S:S,'caseload data'!$D:$D,"PO",'caseload data'!$A:$A,$B$62)</f>
        <v>0</v>
      </c>
      <c r="S62" s="94">
        <f>SUMIFS('caseload data'!T:T,'caseload data'!$D:$D,"PO",'caseload data'!$A:$A,$B$62)</f>
        <v>0</v>
      </c>
      <c r="T62" s="94">
        <f>SUMIFS('caseload data'!V:V,'caseload data'!$D:$D,"PO",'caseload data'!$A:$A,B62)</f>
        <v>0</v>
      </c>
      <c r="U62" s="64"/>
      <c r="V62" s="64"/>
      <c r="W62" s="477" t="s">
        <v>28</v>
      </c>
      <c r="X62" s="129" t="s">
        <v>1002</v>
      </c>
      <c r="Y62" s="167" t="e">
        <f>SUM(D62)/SUM(D$62:D$66)</f>
        <v>#DIV/0!</v>
      </c>
      <c r="Z62" s="167" t="e">
        <f t="shared" ref="Z62:AO66" si="41">SUM(E62)/SUM(E$62:E$66)</f>
        <v>#DIV/0!</v>
      </c>
      <c r="AA62" s="167" t="e">
        <f t="shared" si="41"/>
        <v>#DIV/0!</v>
      </c>
      <c r="AB62" s="167" t="e">
        <f t="shared" si="41"/>
        <v>#DIV/0!</v>
      </c>
      <c r="AC62" s="167" t="e">
        <f t="shared" si="41"/>
        <v>#DIV/0!</v>
      </c>
      <c r="AD62" s="167" t="e">
        <f t="shared" si="41"/>
        <v>#DIV/0!</v>
      </c>
      <c r="AE62" s="167" t="e">
        <f t="shared" si="41"/>
        <v>#DIV/0!</v>
      </c>
      <c r="AF62" s="167" t="e">
        <f t="shared" si="41"/>
        <v>#DIV/0!</v>
      </c>
      <c r="AG62" s="167" t="e">
        <f t="shared" si="41"/>
        <v>#DIV/0!</v>
      </c>
      <c r="AH62" s="167" t="e">
        <f t="shared" si="41"/>
        <v>#DIV/0!</v>
      </c>
      <c r="AI62" s="167" t="e">
        <f t="shared" si="41"/>
        <v>#DIV/0!</v>
      </c>
      <c r="AJ62" s="167" t="e">
        <f t="shared" si="41"/>
        <v>#DIV/0!</v>
      </c>
      <c r="AK62" s="167" t="e">
        <f t="shared" si="41"/>
        <v>#DIV/0!</v>
      </c>
      <c r="AL62" s="167" t="e">
        <f t="shared" si="41"/>
        <v>#DIV/0!</v>
      </c>
      <c r="AM62" s="167" t="e">
        <f t="shared" si="41"/>
        <v>#DIV/0!</v>
      </c>
      <c r="AN62" s="167" t="e">
        <f t="shared" si="41"/>
        <v>#DIV/0!</v>
      </c>
      <c r="AO62" s="167" t="e">
        <f t="shared" si="41"/>
        <v>#DIV/0!</v>
      </c>
    </row>
    <row r="63" spans="2:41" x14ac:dyDescent="0.15">
      <c r="B63" s="472"/>
      <c r="C63" s="129" t="s">
        <v>1007</v>
      </c>
      <c r="D63" s="94">
        <f>SUMIFS('caseload data'!E:E,'caseload data'!$D:$D,"PSO",'caseload data'!$A:$A,"Yorkshire and The Humber")</f>
        <v>0</v>
      </c>
      <c r="E63" s="94">
        <f>SUMIFS('caseload data'!F:F,'caseload data'!$D:$D,"PSO",'caseload data'!$A:$A,"Yorkshire and The Humber")</f>
        <v>0</v>
      </c>
      <c r="F63" s="94">
        <f>SUMIFS('caseload data'!G:G,'caseload data'!$D:$D,"PSO",'caseload data'!$A:$A,"Yorkshire and The Humber")</f>
        <v>0</v>
      </c>
      <c r="G63" s="94">
        <f>SUMIFS('caseload data'!H:H,'caseload data'!$D:$D,"PSO",'caseload data'!$A:$A,"Yorkshire and The Humber")</f>
        <v>0</v>
      </c>
      <c r="H63" s="94">
        <f>SUMIFS('caseload data'!I:I,'caseload data'!$D:$D,"PSO",'caseload data'!$A:$A,"Yorkshire and The Humber")</f>
        <v>0</v>
      </c>
      <c r="I63" s="94">
        <f>SUMIFS('caseload data'!J:J,'caseload data'!$D:$D,"PSO",'caseload data'!$A:$A,"Yorkshire and The Humber")</f>
        <v>0</v>
      </c>
      <c r="J63" s="94">
        <f>SUMIFS('caseload data'!K:K,'caseload data'!$D:$D,"PSO",'caseload data'!$A:$A,"Yorkshire and The Humber")</f>
        <v>0</v>
      </c>
      <c r="K63" s="94">
        <f>SUMIFS('caseload data'!L:L,'caseload data'!$D:$D,"PSO",'caseload data'!$A:$A,"Yorkshire and The Humber")</f>
        <v>0</v>
      </c>
      <c r="L63" s="94">
        <f>SUMIFS('caseload data'!M:M,'caseload data'!$D:$D,"PSO",'caseload data'!$A:$A,"Yorkshire and The Humber")</f>
        <v>0</v>
      </c>
      <c r="M63" s="94">
        <f>SUMIFS('caseload data'!N:N,'caseload data'!$D:$D,"PSO",'caseload data'!$A:$A,"Yorkshire and The Humber")</f>
        <v>0</v>
      </c>
      <c r="N63" s="94">
        <f>SUMIFS('caseload data'!O:O,'caseload data'!$D:$D,"PSO",'caseload data'!$A:$A,"Yorkshire and The Humber")</f>
        <v>0</v>
      </c>
      <c r="O63" s="94">
        <f>SUMIFS('caseload data'!P:P,'caseload data'!$D:$D,"PSO",'caseload data'!$A:$A,"Yorkshire and The Humber")</f>
        <v>0</v>
      </c>
      <c r="P63" s="94">
        <f>SUMIFS('caseload data'!Q:Q,'caseload data'!$D:$D,"PSO",'caseload data'!$A:$A,"Yorkshire and The Humber")</f>
        <v>0</v>
      </c>
      <c r="Q63" s="94">
        <f>SUMIFS('caseload data'!R:R,'caseload data'!$D:$D,"PSO",'caseload data'!$A:$A,"Yorkshire and The Humber")</f>
        <v>0</v>
      </c>
      <c r="R63" s="94">
        <f>SUMIFS('caseload data'!S:S,'caseload data'!$D:$D,"PSO",'caseload data'!$A:$A,"Yorkshire and The Humber")</f>
        <v>0</v>
      </c>
      <c r="S63" s="94">
        <f>SUMIFS('caseload data'!T:T,'caseload data'!$D:$D,"PSO",'caseload data'!$A:$A,"Yorkshire and The Humber")</f>
        <v>0</v>
      </c>
      <c r="T63" s="94">
        <f>SUMIFS('caseload data'!V:V,'caseload data'!$D:$D,"PSO",'caseload data'!$A:$A,"Yorkshire and The Humber")</f>
        <v>0</v>
      </c>
      <c r="U63" s="64"/>
      <c r="V63" s="64"/>
      <c r="W63" s="478"/>
      <c r="X63" s="129" t="s">
        <v>1007</v>
      </c>
      <c r="Y63" s="167" t="e">
        <f t="shared" ref="Y63:Y66" si="42">SUM(D63)/SUM(D$62:D$66)</f>
        <v>#DIV/0!</v>
      </c>
      <c r="Z63" s="167" t="e">
        <f t="shared" si="41"/>
        <v>#DIV/0!</v>
      </c>
      <c r="AA63" s="167" t="e">
        <f t="shared" si="41"/>
        <v>#DIV/0!</v>
      </c>
      <c r="AB63" s="167" t="e">
        <f t="shared" si="41"/>
        <v>#DIV/0!</v>
      </c>
      <c r="AC63" s="167" t="e">
        <f t="shared" si="41"/>
        <v>#DIV/0!</v>
      </c>
      <c r="AD63" s="167" t="e">
        <f t="shared" si="41"/>
        <v>#DIV/0!</v>
      </c>
      <c r="AE63" s="167" t="e">
        <f t="shared" si="41"/>
        <v>#DIV/0!</v>
      </c>
      <c r="AF63" s="167" t="e">
        <f t="shared" si="41"/>
        <v>#DIV/0!</v>
      </c>
      <c r="AG63" s="167" t="e">
        <f t="shared" si="41"/>
        <v>#DIV/0!</v>
      </c>
      <c r="AH63" s="167" t="e">
        <f t="shared" si="41"/>
        <v>#DIV/0!</v>
      </c>
      <c r="AI63" s="167" t="e">
        <f t="shared" si="41"/>
        <v>#DIV/0!</v>
      </c>
      <c r="AJ63" s="167" t="e">
        <f t="shared" si="41"/>
        <v>#DIV/0!</v>
      </c>
      <c r="AK63" s="167" t="e">
        <f t="shared" si="41"/>
        <v>#DIV/0!</v>
      </c>
      <c r="AL63" s="167" t="e">
        <f t="shared" si="41"/>
        <v>#DIV/0!</v>
      </c>
      <c r="AM63" s="167" t="e">
        <f t="shared" si="41"/>
        <v>#DIV/0!</v>
      </c>
      <c r="AN63" s="167" t="e">
        <f t="shared" si="41"/>
        <v>#DIV/0!</v>
      </c>
      <c r="AO63" s="167" t="e">
        <f t="shared" si="41"/>
        <v>#DIV/0!</v>
      </c>
    </row>
    <row r="64" spans="2:41" x14ac:dyDescent="0.15">
      <c r="B64" s="472"/>
      <c r="C64" s="129" t="s">
        <v>1008</v>
      </c>
      <c r="D64" s="94">
        <f>SUMIFS('caseload data'!E:E,'caseload data'!$D:$D,"TPO",'caseload data'!$A:$A,"Yorkshire and The Humber")</f>
        <v>0</v>
      </c>
      <c r="E64" s="94">
        <f>SUMIFS('caseload data'!F:F,'caseload data'!$D:$D,"TPO",'caseload data'!$A:$A,"Yorkshire and The Humber")</f>
        <v>0</v>
      </c>
      <c r="F64" s="94">
        <f>SUMIFS('caseload data'!G:G,'caseload data'!$D:$D,"TPO",'caseload data'!$A:$A,"Yorkshire and The Humber")</f>
        <v>0</v>
      </c>
      <c r="G64" s="94">
        <f>SUMIFS('caseload data'!H:H,'caseload data'!$D:$D,"TPO",'caseload data'!$A:$A,"Yorkshire and The Humber")</f>
        <v>0</v>
      </c>
      <c r="H64" s="94">
        <f>SUMIFS('caseload data'!I:I,'caseload data'!$D:$D,"TPO",'caseload data'!$A:$A,"Yorkshire and The Humber")</f>
        <v>0</v>
      </c>
      <c r="I64" s="94">
        <f>SUMIFS('caseload data'!J:J,'caseload data'!$D:$D,"TPO",'caseload data'!$A:$A,"Yorkshire and The Humber")</f>
        <v>0</v>
      </c>
      <c r="J64" s="94">
        <f>SUMIFS('caseload data'!K:K,'caseload data'!$D:$D,"TPO",'caseload data'!$A:$A,"Yorkshire and The Humber")</f>
        <v>0</v>
      </c>
      <c r="K64" s="94">
        <f>SUMIFS('caseload data'!L:L,'caseload data'!$D:$D,"TPO",'caseload data'!$A:$A,"Yorkshire and The Humber")</f>
        <v>0</v>
      </c>
      <c r="L64" s="94">
        <f>SUMIFS('caseload data'!M:M,'caseload data'!$D:$D,"TPO",'caseload data'!$A:$A,"Yorkshire and The Humber")</f>
        <v>0</v>
      </c>
      <c r="M64" s="94">
        <f>SUMIFS('caseload data'!N:N,'caseload data'!$D:$D,"TPO",'caseload data'!$A:$A,"Yorkshire and The Humber")</f>
        <v>0</v>
      </c>
      <c r="N64" s="94">
        <f>SUMIFS('caseload data'!O:O,'caseload data'!$D:$D,"TPO",'caseload data'!$A:$A,"Yorkshire and The Humber")</f>
        <v>0</v>
      </c>
      <c r="O64" s="94">
        <f>SUMIFS('caseload data'!P:P,'caseload data'!$D:$D,"TPO",'caseload data'!$A:$A,"Yorkshire and The Humber")</f>
        <v>0</v>
      </c>
      <c r="P64" s="94">
        <f>SUMIFS('caseload data'!Q:Q,'caseload data'!$D:$D,"TPO",'caseload data'!$A:$A,"Yorkshire and The Humber")</f>
        <v>0</v>
      </c>
      <c r="Q64" s="94">
        <f>SUMIFS('caseload data'!R:R,'caseload data'!$D:$D,"TPO",'caseload data'!$A:$A,"Yorkshire and The Humber")</f>
        <v>0</v>
      </c>
      <c r="R64" s="94">
        <f>SUMIFS('caseload data'!S:S,'caseload data'!$D:$D,"TPO",'caseload data'!$A:$A,"Yorkshire and The Humber")</f>
        <v>0</v>
      </c>
      <c r="S64" s="94">
        <f>SUMIFS('caseload data'!T:T,'caseload data'!$D:$D,"TPO",'caseload data'!$A:$A,"Yorkshire and The Humber")</f>
        <v>0</v>
      </c>
      <c r="T64" s="94">
        <f>SUMIFS('caseload data'!V:V,'caseload data'!$D:$D,"TPO",'caseload data'!$A:$A,"Yorkshire and The Humber")</f>
        <v>0</v>
      </c>
      <c r="U64" s="64"/>
      <c r="V64" s="64"/>
      <c r="W64" s="478"/>
      <c r="X64" s="129" t="s">
        <v>1008</v>
      </c>
      <c r="Y64" s="167" t="e">
        <f t="shared" si="42"/>
        <v>#DIV/0!</v>
      </c>
      <c r="Z64" s="167" t="e">
        <f t="shared" si="41"/>
        <v>#DIV/0!</v>
      </c>
      <c r="AA64" s="167" t="e">
        <f t="shared" si="41"/>
        <v>#DIV/0!</v>
      </c>
      <c r="AB64" s="167" t="e">
        <f t="shared" si="41"/>
        <v>#DIV/0!</v>
      </c>
      <c r="AC64" s="167" t="e">
        <f t="shared" si="41"/>
        <v>#DIV/0!</v>
      </c>
      <c r="AD64" s="167" t="e">
        <f t="shared" si="41"/>
        <v>#DIV/0!</v>
      </c>
      <c r="AE64" s="167" t="e">
        <f t="shared" si="41"/>
        <v>#DIV/0!</v>
      </c>
      <c r="AF64" s="167" t="e">
        <f t="shared" si="41"/>
        <v>#DIV/0!</v>
      </c>
      <c r="AG64" s="167" t="e">
        <f t="shared" si="41"/>
        <v>#DIV/0!</v>
      </c>
      <c r="AH64" s="167" t="e">
        <f t="shared" si="41"/>
        <v>#DIV/0!</v>
      </c>
      <c r="AI64" s="167" t="e">
        <f t="shared" si="41"/>
        <v>#DIV/0!</v>
      </c>
      <c r="AJ64" s="167" t="e">
        <f t="shared" si="41"/>
        <v>#DIV/0!</v>
      </c>
      <c r="AK64" s="167" t="e">
        <f t="shared" si="41"/>
        <v>#DIV/0!</v>
      </c>
      <c r="AL64" s="167" t="e">
        <f t="shared" si="41"/>
        <v>#DIV/0!</v>
      </c>
      <c r="AM64" s="167" t="e">
        <f t="shared" si="41"/>
        <v>#DIV/0!</v>
      </c>
      <c r="AN64" s="167" t="e">
        <f t="shared" si="41"/>
        <v>#DIV/0!</v>
      </c>
      <c r="AO64" s="167" t="e">
        <f t="shared" si="41"/>
        <v>#DIV/0!</v>
      </c>
    </row>
    <row r="65" spans="2:41" x14ac:dyDescent="0.15">
      <c r="B65" s="472"/>
      <c r="C65" s="129" t="s">
        <v>1009</v>
      </c>
      <c r="D65" s="94">
        <f>SUMIFS('caseload data'!E:E,'caseload data'!$D:$D,"SPO",'caseload data'!$A:$A,"Yorkshire and The Humber")</f>
        <v>0</v>
      </c>
      <c r="E65" s="94">
        <f>SUMIFS('caseload data'!F:F,'caseload data'!$D:$D,"SPO",'caseload data'!$A:$A,"Yorkshire and The Humber")</f>
        <v>0</v>
      </c>
      <c r="F65" s="94">
        <f>SUMIFS('caseload data'!G:G,'caseload data'!$D:$D,"SPO",'caseload data'!$A:$A,"Yorkshire and The Humber")</f>
        <v>0</v>
      </c>
      <c r="G65" s="94">
        <f>SUMIFS('caseload data'!H:H,'caseload data'!$D:$D,"SPO",'caseload data'!$A:$A,"Yorkshire and The Humber")</f>
        <v>0</v>
      </c>
      <c r="H65" s="94">
        <f>SUMIFS('caseload data'!I:I,'caseload data'!$D:$D,"SPO",'caseload data'!$A:$A,"Yorkshire and The Humber")</f>
        <v>0</v>
      </c>
      <c r="I65" s="94">
        <f>SUMIFS('caseload data'!J:J,'caseload data'!$D:$D,"SPO",'caseload data'!$A:$A,"Yorkshire and The Humber")</f>
        <v>0</v>
      </c>
      <c r="J65" s="94">
        <f>SUMIFS('caseload data'!K:K,'caseload data'!$D:$D,"SPO",'caseload data'!$A:$A,"Yorkshire and The Humber")</f>
        <v>0</v>
      </c>
      <c r="K65" s="94">
        <f>SUMIFS('caseload data'!L:L,'caseload data'!$D:$D,"SPO",'caseload data'!$A:$A,"Yorkshire and The Humber")</f>
        <v>0</v>
      </c>
      <c r="L65" s="94">
        <f>SUMIFS('caseload data'!M:M,'caseload data'!$D:$D,"SPO",'caseload data'!$A:$A,"Yorkshire and The Humber")</f>
        <v>0</v>
      </c>
      <c r="M65" s="94">
        <f>SUMIFS('caseload data'!N:N,'caseload data'!$D:$D,"SPO",'caseload data'!$A:$A,"Yorkshire and The Humber")</f>
        <v>0</v>
      </c>
      <c r="N65" s="94">
        <f>SUMIFS('caseload data'!O:O,'caseload data'!$D:$D,"SPO",'caseload data'!$A:$A,"Yorkshire and The Humber")</f>
        <v>0</v>
      </c>
      <c r="O65" s="94">
        <f>SUMIFS('caseload data'!P:P,'caseload data'!$D:$D,"SPO",'caseload data'!$A:$A,"Yorkshire and The Humber")</f>
        <v>0</v>
      </c>
      <c r="P65" s="94">
        <f>SUMIFS('caseload data'!Q:Q,'caseload data'!$D:$D,"SPO",'caseload data'!$A:$A,"Yorkshire and The Humber")</f>
        <v>0</v>
      </c>
      <c r="Q65" s="94">
        <f>SUMIFS('caseload data'!R:R,'caseload data'!$D:$D,"SPO",'caseload data'!$A:$A,"Yorkshire and The Humber")</f>
        <v>0</v>
      </c>
      <c r="R65" s="94">
        <f>SUMIFS('caseload data'!S:S,'caseload data'!$D:$D,"SPO",'caseload data'!$A:$A,"Yorkshire and The Humber")</f>
        <v>0</v>
      </c>
      <c r="S65" s="94">
        <f>SUMIFS('caseload data'!T:T,'caseload data'!$D:$D,"SPO",'caseload data'!$A:$A,"Yorkshire and The Humber")</f>
        <v>0</v>
      </c>
      <c r="T65" s="94">
        <f>SUMIFS('caseload data'!V:V,'caseload data'!$D:$D,"SPO",'caseload data'!$A:$A,"Yorkshire and The Humber")</f>
        <v>0</v>
      </c>
      <c r="U65" s="64"/>
      <c r="V65" s="64"/>
      <c r="W65" s="478"/>
      <c r="X65" s="129" t="s">
        <v>1009</v>
      </c>
      <c r="Y65" s="167" t="e">
        <f t="shared" si="42"/>
        <v>#DIV/0!</v>
      </c>
      <c r="Z65" s="167" t="e">
        <f t="shared" si="41"/>
        <v>#DIV/0!</v>
      </c>
      <c r="AA65" s="167" t="e">
        <f t="shared" si="41"/>
        <v>#DIV/0!</v>
      </c>
      <c r="AB65" s="167" t="e">
        <f t="shared" si="41"/>
        <v>#DIV/0!</v>
      </c>
      <c r="AC65" s="167" t="e">
        <f t="shared" si="41"/>
        <v>#DIV/0!</v>
      </c>
      <c r="AD65" s="167" t="e">
        <f t="shared" si="41"/>
        <v>#DIV/0!</v>
      </c>
      <c r="AE65" s="167" t="e">
        <f t="shared" si="41"/>
        <v>#DIV/0!</v>
      </c>
      <c r="AF65" s="167" t="e">
        <f t="shared" si="41"/>
        <v>#DIV/0!</v>
      </c>
      <c r="AG65" s="167" t="e">
        <f t="shared" si="41"/>
        <v>#DIV/0!</v>
      </c>
      <c r="AH65" s="167" t="e">
        <f t="shared" si="41"/>
        <v>#DIV/0!</v>
      </c>
      <c r="AI65" s="167" t="e">
        <f t="shared" si="41"/>
        <v>#DIV/0!</v>
      </c>
      <c r="AJ65" s="167" t="e">
        <f t="shared" si="41"/>
        <v>#DIV/0!</v>
      </c>
      <c r="AK65" s="167" t="e">
        <f t="shared" si="41"/>
        <v>#DIV/0!</v>
      </c>
      <c r="AL65" s="167" t="e">
        <f t="shared" si="41"/>
        <v>#DIV/0!</v>
      </c>
      <c r="AM65" s="167" t="e">
        <f t="shared" si="41"/>
        <v>#DIV/0!</v>
      </c>
      <c r="AN65" s="167" t="e">
        <f t="shared" si="41"/>
        <v>#DIV/0!</v>
      </c>
      <c r="AO65" s="167" t="e">
        <f t="shared" si="41"/>
        <v>#DIV/0!</v>
      </c>
    </row>
    <row r="66" spans="2:41" ht="15" thickBot="1" x14ac:dyDescent="0.2">
      <c r="B66" s="472"/>
      <c r="C66" s="129" t="s">
        <v>1344</v>
      </c>
      <c r="D66" s="377">
        <f>SUMIFS('caseload data'!E:E,'caseload data'!$D:$D,"DMY",'caseload data'!$A:$A,"Yorkshire and The Humber")</f>
        <v>0</v>
      </c>
      <c r="E66" s="377">
        <f>SUMIFS('caseload data'!F:F,'caseload data'!$D:$D,"DMY",'caseload data'!$A:$A,"Yorkshire and The Humber")</f>
        <v>0</v>
      </c>
      <c r="F66" s="377">
        <f>SUMIFS('caseload data'!G:G,'caseload data'!$D:$D,"DMY",'caseload data'!$A:$A,"Yorkshire and The Humber")</f>
        <v>0</v>
      </c>
      <c r="G66" s="377">
        <f>SUMIFS('caseload data'!H:H,'caseload data'!$D:$D,"DMY",'caseload data'!$A:$A,"Yorkshire and The Humber")</f>
        <v>0</v>
      </c>
      <c r="H66" s="377">
        <f>SUMIFS('caseload data'!I:I,'caseload data'!$D:$D,"DMY",'caseload data'!$A:$A,"Yorkshire and The Humber")</f>
        <v>0</v>
      </c>
      <c r="I66" s="377">
        <f>SUMIFS('caseload data'!J:J,'caseload data'!$D:$D,"DMY",'caseload data'!$A:$A,"Yorkshire and The Humber")</f>
        <v>0</v>
      </c>
      <c r="J66" s="377">
        <f>SUMIFS('caseload data'!K:K,'caseload data'!$D:$D,"DMY",'caseload data'!$A:$A,"Yorkshire and The Humber")</f>
        <v>0</v>
      </c>
      <c r="K66" s="377">
        <f>SUMIFS('caseload data'!L:L,'caseload data'!$D:$D,"DMY",'caseload data'!$A:$A,"Yorkshire and The Humber")</f>
        <v>0</v>
      </c>
      <c r="L66" s="377">
        <f>SUMIFS('caseload data'!M:M,'caseload data'!$D:$D,"DMY",'caseload data'!$A:$A,"Yorkshire and The Humber")</f>
        <v>0</v>
      </c>
      <c r="M66" s="377">
        <f>SUMIFS('caseload data'!N:N,'caseload data'!$D:$D,"DMY",'caseload data'!$A:$A,"Yorkshire and The Humber")</f>
        <v>0</v>
      </c>
      <c r="N66" s="377">
        <f>SUMIFS('caseload data'!O:O,'caseload data'!$D:$D,"DMY",'caseload data'!$A:$A,"Yorkshire and The Humber")</f>
        <v>0</v>
      </c>
      <c r="O66" s="377">
        <f>SUMIFS('caseload data'!P:P,'caseload data'!$D:$D,"DMY",'caseload data'!$A:$A,"Yorkshire and The Humber")</f>
        <v>0</v>
      </c>
      <c r="P66" s="377">
        <f>SUMIFS('caseload data'!Q:Q,'caseload data'!$D:$D,"DMY",'caseload data'!$A:$A,"Yorkshire and The Humber")</f>
        <v>0</v>
      </c>
      <c r="Q66" s="377">
        <f>SUMIFS('caseload data'!R:R,'caseload data'!$D:$D,"DMY",'caseload data'!$A:$A,"Yorkshire and The Humber")</f>
        <v>0</v>
      </c>
      <c r="R66" s="377">
        <f>SUMIFS('caseload data'!S:S,'caseload data'!$D:$D,"DMY",'caseload data'!$A:$A,"Yorkshire and The Humber")</f>
        <v>0</v>
      </c>
      <c r="S66" s="377">
        <f>SUMIFS('caseload data'!T:T,'caseload data'!$D:$D,"DMY",'caseload data'!$A:$A,"Yorkshire and The Humber")</f>
        <v>0</v>
      </c>
      <c r="T66" s="377">
        <f>SUMIFS('caseload data'!V:V,'caseload data'!$D:$D,"DMY",'caseload data'!$A:$A,"Yorkshire and The Humber")</f>
        <v>0</v>
      </c>
      <c r="U66" s="64"/>
      <c r="V66" s="64"/>
      <c r="W66" s="478"/>
      <c r="X66" s="129" t="s">
        <v>1344</v>
      </c>
      <c r="Y66" s="373" t="e">
        <f t="shared" si="42"/>
        <v>#DIV/0!</v>
      </c>
      <c r="Z66" s="373" t="e">
        <f t="shared" si="41"/>
        <v>#DIV/0!</v>
      </c>
      <c r="AA66" s="373" t="e">
        <f t="shared" si="41"/>
        <v>#DIV/0!</v>
      </c>
      <c r="AB66" s="373" t="e">
        <f t="shared" si="41"/>
        <v>#DIV/0!</v>
      </c>
      <c r="AC66" s="373" t="e">
        <f t="shared" si="41"/>
        <v>#DIV/0!</v>
      </c>
      <c r="AD66" s="373" t="e">
        <f t="shared" si="41"/>
        <v>#DIV/0!</v>
      </c>
      <c r="AE66" s="373" t="e">
        <f t="shared" si="41"/>
        <v>#DIV/0!</v>
      </c>
      <c r="AF66" s="373" t="e">
        <f t="shared" si="41"/>
        <v>#DIV/0!</v>
      </c>
      <c r="AG66" s="373" t="e">
        <f t="shared" si="41"/>
        <v>#DIV/0!</v>
      </c>
      <c r="AH66" s="373" t="e">
        <f t="shared" si="41"/>
        <v>#DIV/0!</v>
      </c>
      <c r="AI66" s="373" t="e">
        <f t="shared" si="41"/>
        <v>#DIV/0!</v>
      </c>
      <c r="AJ66" s="373" t="e">
        <f t="shared" si="41"/>
        <v>#DIV/0!</v>
      </c>
      <c r="AK66" s="373" t="e">
        <f t="shared" si="41"/>
        <v>#DIV/0!</v>
      </c>
      <c r="AL66" s="373" t="e">
        <f t="shared" si="41"/>
        <v>#DIV/0!</v>
      </c>
      <c r="AM66" s="373" t="e">
        <f t="shared" si="41"/>
        <v>#DIV/0!</v>
      </c>
      <c r="AN66" s="373" t="e">
        <f t="shared" si="41"/>
        <v>#DIV/0!</v>
      </c>
      <c r="AO66" s="373" t="e">
        <f t="shared" si="41"/>
        <v>#DIV/0!</v>
      </c>
    </row>
    <row r="67" spans="2:41" x14ac:dyDescent="0.15">
      <c r="B67" s="474" t="s">
        <v>964</v>
      </c>
      <c r="C67" s="378" t="s">
        <v>1002</v>
      </c>
      <c r="D67" s="379">
        <f>SUMIF('caseload data'!$D:$D,"PO",'caseload data'!E:E)</f>
        <v>0</v>
      </c>
      <c r="E67" s="379">
        <f>SUMIF('caseload data'!$D:$D,"PO",'caseload data'!F:F)</f>
        <v>0</v>
      </c>
      <c r="F67" s="379">
        <f>SUMIF('caseload data'!$D:$D,"PO",'caseload data'!G:G)</f>
        <v>0</v>
      </c>
      <c r="G67" s="379">
        <f>SUMIF('caseload data'!$D:$D,"PO",'caseload data'!H:H)</f>
        <v>0</v>
      </c>
      <c r="H67" s="379">
        <f>SUMIF('caseload data'!$D:$D,"PO",'caseload data'!I:I)</f>
        <v>0</v>
      </c>
      <c r="I67" s="379">
        <f>SUMIF('caseload data'!$D:$D,"PO",'caseload data'!J:J)</f>
        <v>0</v>
      </c>
      <c r="J67" s="379">
        <f>SUMIF('caseload data'!$D:$D,"PO",'caseload data'!K:K)</f>
        <v>0</v>
      </c>
      <c r="K67" s="379">
        <f>SUMIF('caseload data'!$D:$D,"PO",'caseload data'!L:L)</f>
        <v>0</v>
      </c>
      <c r="L67" s="379">
        <f>SUMIF('caseload data'!$D:$D,"PO",'caseload data'!M:M)</f>
        <v>0</v>
      </c>
      <c r="M67" s="379">
        <f>SUMIF('caseload data'!$D:$D,"PO",'caseload data'!N:N)</f>
        <v>0</v>
      </c>
      <c r="N67" s="379">
        <f>SUMIF('caseload data'!$D:$D,"PO",'caseload data'!O:O)</f>
        <v>0</v>
      </c>
      <c r="O67" s="379">
        <f>SUMIF('caseload data'!$D:$D,"PO",'caseload data'!P:P)</f>
        <v>0</v>
      </c>
      <c r="P67" s="379">
        <f>SUMIF('caseload data'!$D:$D,"PO",'caseload data'!Q:Q)</f>
        <v>0</v>
      </c>
      <c r="Q67" s="379">
        <f>SUMIF('caseload data'!$D:$D,"PO",'caseload data'!R:R)</f>
        <v>0</v>
      </c>
      <c r="R67" s="379">
        <f>SUMIF('caseload data'!$D:$D,"PO",'caseload data'!S:S)</f>
        <v>0</v>
      </c>
      <c r="S67" s="379">
        <f>SUMIF('caseload data'!$D:$D,"PO",'caseload data'!T:T)</f>
        <v>0</v>
      </c>
      <c r="T67" s="380">
        <f>SUMIF('caseload data'!D:D,"PO",'caseload data'!V:V)</f>
        <v>0</v>
      </c>
      <c r="U67" s="64"/>
      <c r="V67" s="64"/>
      <c r="W67" s="474" t="s">
        <v>964</v>
      </c>
      <c r="X67" s="374" t="s">
        <v>1002</v>
      </c>
      <c r="Y67" s="388" t="e">
        <f>SUM(D67)/SUM(D$67:D$71)</f>
        <v>#DIV/0!</v>
      </c>
      <c r="Z67" s="388" t="e">
        <f t="shared" ref="Z67:AO71" si="43">SUM(E67)/SUM(E$67:E$71)</f>
        <v>#DIV/0!</v>
      </c>
      <c r="AA67" s="388" t="e">
        <f t="shared" si="43"/>
        <v>#DIV/0!</v>
      </c>
      <c r="AB67" s="388" t="e">
        <f t="shared" si="43"/>
        <v>#DIV/0!</v>
      </c>
      <c r="AC67" s="388" t="e">
        <f t="shared" si="43"/>
        <v>#DIV/0!</v>
      </c>
      <c r="AD67" s="388" t="e">
        <f t="shared" si="43"/>
        <v>#DIV/0!</v>
      </c>
      <c r="AE67" s="388" t="e">
        <f t="shared" si="43"/>
        <v>#DIV/0!</v>
      </c>
      <c r="AF67" s="388" t="e">
        <f t="shared" si="43"/>
        <v>#DIV/0!</v>
      </c>
      <c r="AG67" s="388" t="e">
        <f t="shared" si="43"/>
        <v>#DIV/0!</v>
      </c>
      <c r="AH67" s="388" t="e">
        <f t="shared" si="43"/>
        <v>#DIV/0!</v>
      </c>
      <c r="AI67" s="388" t="e">
        <f t="shared" si="43"/>
        <v>#DIV/0!</v>
      </c>
      <c r="AJ67" s="388" t="e">
        <f t="shared" si="43"/>
        <v>#DIV/0!</v>
      </c>
      <c r="AK67" s="388" t="e">
        <f t="shared" si="43"/>
        <v>#DIV/0!</v>
      </c>
      <c r="AL67" s="388" t="e">
        <f t="shared" si="43"/>
        <v>#DIV/0!</v>
      </c>
      <c r="AM67" s="388" t="e">
        <f t="shared" si="43"/>
        <v>#DIV/0!</v>
      </c>
      <c r="AN67" s="388" t="e">
        <f t="shared" si="43"/>
        <v>#DIV/0!</v>
      </c>
      <c r="AO67" s="390" t="e">
        <f t="shared" si="43"/>
        <v>#DIV/0!</v>
      </c>
    </row>
    <row r="68" spans="2:41" x14ac:dyDescent="0.15">
      <c r="B68" s="475"/>
      <c r="C68" s="137" t="s">
        <v>1007</v>
      </c>
      <c r="D68" s="136">
        <f>SUMIF('caseload data'!$D:$D,"PSO",'caseload data'!E:E)</f>
        <v>0</v>
      </c>
      <c r="E68" s="136">
        <f>SUMIF('caseload data'!$D:$D,"PSO",'caseload data'!F:F)</f>
        <v>0</v>
      </c>
      <c r="F68" s="136">
        <f>SUMIF('caseload data'!$D:$D,"PSO",'caseload data'!G:G)</f>
        <v>0</v>
      </c>
      <c r="G68" s="136">
        <f>SUMIF('caseload data'!$D:$D,"PSO",'caseload data'!H:H)</f>
        <v>0</v>
      </c>
      <c r="H68" s="136">
        <f>SUMIF('caseload data'!$D:$D,"PSO",'caseload data'!I:I)</f>
        <v>0</v>
      </c>
      <c r="I68" s="136">
        <f>SUMIF('caseload data'!$D:$D,"PSO",'caseload data'!J:J)</f>
        <v>0</v>
      </c>
      <c r="J68" s="136">
        <f>SUMIF('caseload data'!$D:$D,"PSO",'caseload data'!K:K)</f>
        <v>0</v>
      </c>
      <c r="K68" s="136">
        <f>SUMIF('caseload data'!$D:$D,"PSO",'caseload data'!L:L)</f>
        <v>0</v>
      </c>
      <c r="L68" s="136">
        <f>SUMIF('caseload data'!$D:$D,"PSO",'caseload data'!M:M)</f>
        <v>0</v>
      </c>
      <c r="M68" s="136">
        <f>SUMIF('caseload data'!$D:$D,"PSO",'caseload data'!N:N)</f>
        <v>0</v>
      </c>
      <c r="N68" s="136">
        <f>SUMIF('caseload data'!$D:$D,"PSO",'caseload data'!O:O)</f>
        <v>0</v>
      </c>
      <c r="O68" s="136">
        <f>SUMIF('caseload data'!$D:$D,"PSO",'caseload data'!P:P)</f>
        <v>0</v>
      </c>
      <c r="P68" s="136">
        <f>SUMIF('caseload data'!$D:$D,"PSO",'caseload data'!Q:Q)</f>
        <v>0</v>
      </c>
      <c r="Q68" s="136">
        <f>SUMIF('caseload data'!$D:$D,"PSO",'caseload data'!R:R)</f>
        <v>0</v>
      </c>
      <c r="R68" s="136">
        <f>SUMIF('caseload data'!$D:$D,"PSO",'caseload data'!S:S)</f>
        <v>0</v>
      </c>
      <c r="S68" s="136">
        <f>SUMIF('caseload data'!$D:$D,"PSO",'caseload data'!T:T)</f>
        <v>0</v>
      </c>
      <c r="T68" s="381">
        <f>SUMIF('caseload data'!D:D,"PSO",'caseload data'!V:V)</f>
        <v>0</v>
      </c>
      <c r="U68" s="64"/>
      <c r="V68" s="64"/>
      <c r="W68" s="475"/>
      <c r="X68" s="375" t="s">
        <v>1007</v>
      </c>
      <c r="Y68" s="138" t="e">
        <f t="shared" ref="Y68:Y71" si="44">SUM(D68)/SUM(D$67:D$71)</f>
        <v>#DIV/0!</v>
      </c>
      <c r="Z68" s="138" t="e">
        <f t="shared" si="43"/>
        <v>#DIV/0!</v>
      </c>
      <c r="AA68" s="138" t="e">
        <f t="shared" si="43"/>
        <v>#DIV/0!</v>
      </c>
      <c r="AB68" s="138" t="e">
        <f t="shared" si="43"/>
        <v>#DIV/0!</v>
      </c>
      <c r="AC68" s="138" t="e">
        <f t="shared" si="43"/>
        <v>#DIV/0!</v>
      </c>
      <c r="AD68" s="138" t="e">
        <f t="shared" si="43"/>
        <v>#DIV/0!</v>
      </c>
      <c r="AE68" s="138" t="e">
        <f t="shared" si="43"/>
        <v>#DIV/0!</v>
      </c>
      <c r="AF68" s="138" t="e">
        <f t="shared" si="43"/>
        <v>#DIV/0!</v>
      </c>
      <c r="AG68" s="138" t="e">
        <f t="shared" si="43"/>
        <v>#DIV/0!</v>
      </c>
      <c r="AH68" s="138" t="e">
        <f t="shared" si="43"/>
        <v>#DIV/0!</v>
      </c>
      <c r="AI68" s="138" t="e">
        <f t="shared" si="43"/>
        <v>#DIV/0!</v>
      </c>
      <c r="AJ68" s="138" t="e">
        <f t="shared" si="43"/>
        <v>#DIV/0!</v>
      </c>
      <c r="AK68" s="138" t="e">
        <f t="shared" si="43"/>
        <v>#DIV/0!</v>
      </c>
      <c r="AL68" s="138" t="e">
        <f t="shared" si="43"/>
        <v>#DIV/0!</v>
      </c>
      <c r="AM68" s="138" t="e">
        <f t="shared" si="43"/>
        <v>#DIV/0!</v>
      </c>
      <c r="AN68" s="138" t="e">
        <f t="shared" si="43"/>
        <v>#DIV/0!</v>
      </c>
      <c r="AO68" s="391" t="e">
        <f t="shared" si="43"/>
        <v>#DIV/0!</v>
      </c>
    </row>
    <row r="69" spans="2:41" x14ac:dyDescent="0.15">
      <c r="B69" s="475"/>
      <c r="C69" s="137" t="s">
        <v>1008</v>
      </c>
      <c r="D69" s="136">
        <f>SUMIF('caseload data'!$D:$D,"TPO",'caseload data'!E:E)</f>
        <v>0</v>
      </c>
      <c r="E69" s="136">
        <f>SUMIF('caseload data'!$D:$D,"TPO",'caseload data'!F:F)</f>
        <v>0</v>
      </c>
      <c r="F69" s="136">
        <f>SUMIF('caseload data'!$D:$D,"TPO",'caseload data'!G:G)</f>
        <v>0</v>
      </c>
      <c r="G69" s="136">
        <f>SUMIF('caseload data'!$D:$D,"TPO",'caseload data'!H:H)</f>
        <v>0</v>
      </c>
      <c r="H69" s="136">
        <f>SUMIF('caseload data'!$D:$D,"TPO",'caseload data'!I:I)</f>
        <v>0</v>
      </c>
      <c r="I69" s="136">
        <f>SUMIF('caseload data'!$D:$D,"TPO",'caseload data'!J:J)</f>
        <v>0</v>
      </c>
      <c r="J69" s="136">
        <f>SUMIF('caseload data'!$D:$D,"TPO",'caseload data'!K:K)</f>
        <v>0</v>
      </c>
      <c r="K69" s="136">
        <f>SUMIF('caseload data'!$D:$D,"TPO",'caseload data'!L:L)</f>
        <v>0</v>
      </c>
      <c r="L69" s="136">
        <f>SUMIF('caseload data'!$D:$D,"TPO",'caseload data'!M:M)</f>
        <v>0</v>
      </c>
      <c r="M69" s="136">
        <f>SUMIF('caseload data'!$D:$D,"TPO",'caseload data'!N:N)</f>
        <v>0</v>
      </c>
      <c r="N69" s="136">
        <f>SUMIF('caseload data'!$D:$D,"TPO",'caseload data'!O:O)</f>
        <v>0</v>
      </c>
      <c r="O69" s="136">
        <f>SUMIF('caseload data'!$D:$D,"TPO",'caseload data'!P:P)</f>
        <v>0</v>
      </c>
      <c r="P69" s="136">
        <f>SUMIF('caseload data'!$D:$D,"TPO",'caseload data'!Q:Q)</f>
        <v>0</v>
      </c>
      <c r="Q69" s="136">
        <f>SUMIF('caseload data'!$D:$D,"TPO",'caseload data'!R:R)</f>
        <v>0</v>
      </c>
      <c r="R69" s="136">
        <f>SUMIF('caseload data'!$D:$D,"TPO",'caseload data'!S:S)</f>
        <v>0</v>
      </c>
      <c r="S69" s="136">
        <f>SUMIF('caseload data'!$D:$D,"TPO",'caseload data'!T:T)</f>
        <v>0</v>
      </c>
      <c r="T69" s="381">
        <f>SUMIF('caseload data'!D:D,"TPO",'caseload data'!V:V)</f>
        <v>0</v>
      </c>
      <c r="U69" s="64"/>
      <c r="V69" s="64"/>
      <c r="W69" s="475"/>
      <c r="X69" s="375" t="s">
        <v>1008</v>
      </c>
      <c r="Y69" s="138" t="e">
        <f t="shared" si="44"/>
        <v>#DIV/0!</v>
      </c>
      <c r="Z69" s="138" t="e">
        <f t="shared" si="43"/>
        <v>#DIV/0!</v>
      </c>
      <c r="AA69" s="138" t="e">
        <f t="shared" si="43"/>
        <v>#DIV/0!</v>
      </c>
      <c r="AB69" s="138" t="e">
        <f t="shared" si="43"/>
        <v>#DIV/0!</v>
      </c>
      <c r="AC69" s="138" t="e">
        <f t="shared" si="43"/>
        <v>#DIV/0!</v>
      </c>
      <c r="AD69" s="138" t="e">
        <f t="shared" si="43"/>
        <v>#DIV/0!</v>
      </c>
      <c r="AE69" s="138" t="e">
        <f t="shared" si="43"/>
        <v>#DIV/0!</v>
      </c>
      <c r="AF69" s="138" t="e">
        <f t="shared" si="43"/>
        <v>#DIV/0!</v>
      </c>
      <c r="AG69" s="138" t="e">
        <f t="shared" si="43"/>
        <v>#DIV/0!</v>
      </c>
      <c r="AH69" s="138" t="e">
        <f t="shared" si="43"/>
        <v>#DIV/0!</v>
      </c>
      <c r="AI69" s="138" t="e">
        <f t="shared" si="43"/>
        <v>#DIV/0!</v>
      </c>
      <c r="AJ69" s="138" t="e">
        <f t="shared" si="43"/>
        <v>#DIV/0!</v>
      </c>
      <c r="AK69" s="138" t="e">
        <f t="shared" si="43"/>
        <v>#DIV/0!</v>
      </c>
      <c r="AL69" s="138" t="e">
        <f t="shared" si="43"/>
        <v>#DIV/0!</v>
      </c>
      <c r="AM69" s="138" t="e">
        <f t="shared" si="43"/>
        <v>#DIV/0!</v>
      </c>
      <c r="AN69" s="138" t="e">
        <f t="shared" si="43"/>
        <v>#DIV/0!</v>
      </c>
      <c r="AO69" s="391" t="e">
        <f t="shared" si="43"/>
        <v>#DIV/0!</v>
      </c>
    </row>
    <row r="70" spans="2:41" ht="15.5" customHeight="1" x14ac:dyDescent="0.15">
      <c r="B70" s="475"/>
      <c r="C70" s="137" t="s">
        <v>1009</v>
      </c>
      <c r="D70" s="136">
        <f>SUMIF('caseload data'!$D:$D,"SPO",'caseload data'!E:E)</f>
        <v>0</v>
      </c>
      <c r="E70" s="136">
        <f>SUMIF('caseload data'!$D:$D,"SPO",'caseload data'!F:F)</f>
        <v>0</v>
      </c>
      <c r="F70" s="136">
        <f>SUMIF('caseload data'!$D:$D,"SPO",'caseload data'!G:G)</f>
        <v>0</v>
      </c>
      <c r="G70" s="136">
        <f>SUMIF('caseload data'!$D:$D,"SPO",'caseload data'!H:H)</f>
        <v>0</v>
      </c>
      <c r="H70" s="136">
        <f>SUMIF('caseload data'!$D:$D,"SPO",'caseload data'!I:I)</f>
        <v>0</v>
      </c>
      <c r="I70" s="136">
        <f>SUMIF('caseload data'!$D:$D,"SPO",'caseload data'!J:J)</f>
        <v>0</v>
      </c>
      <c r="J70" s="136">
        <f>SUMIF('caseload data'!$D:$D,"SPO",'caseload data'!K:K)</f>
        <v>0</v>
      </c>
      <c r="K70" s="136">
        <f>SUMIF('caseload data'!$D:$D,"SPO",'caseload data'!L:L)</f>
        <v>0</v>
      </c>
      <c r="L70" s="136">
        <f>SUMIF('caseload data'!$D:$D,"SPO",'caseload data'!M:M)</f>
        <v>0</v>
      </c>
      <c r="M70" s="136">
        <f>SUMIF('caseload data'!$D:$D,"SPO",'caseload data'!N:N)</f>
        <v>0</v>
      </c>
      <c r="N70" s="136">
        <f>SUMIF('caseload data'!$D:$D,"SPO",'caseload data'!O:O)</f>
        <v>0</v>
      </c>
      <c r="O70" s="136">
        <f>SUMIF('caseload data'!$D:$D,"SPO",'caseload data'!P:P)</f>
        <v>0</v>
      </c>
      <c r="P70" s="136">
        <f>SUMIF('caseload data'!$D:$D,"SPO",'caseload data'!Q:Q)</f>
        <v>0</v>
      </c>
      <c r="Q70" s="136">
        <f>SUMIF('caseload data'!$D:$D,"SPO",'caseload data'!R:R)</f>
        <v>0</v>
      </c>
      <c r="R70" s="136">
        <f>SUMIF('caseload data'!$D:$D,"SPO",'caseload data'!S:S)</f>
        <v>0</v>
      </c>
      <c r="S70" s="136">
        <f>SUMIF('caseload data'!$D:$D,"SPO",'caseload data'!T:T)</f>
        <v>0</v>
      </c>
      <c r="T70" s="381">
        <f>SUMIF('caseload data'!D:D,"SPO",'caseload data'!V:V)</f>
        <v>0</v>
      </c>
      <c r="U70" s="64"/>
      <c r="V70" s="64"/>
      <c r="W70" s="475"/>
      <c r="X70" s="375" t="s">
        <v>1009</v>
      </c>
      <c r="Y70" s="138" t="e">
        <f t="shared" si="44"/>
        <v>#DIV/0!</v>
      </c>
      <c r="Z70" s="138" t="e">
        <f t="shared" si="43"/>
        <v>#DIV/0!</v>
      </c>
      <c r="AA70" s="138" t="e">
        <f t="shared" si="43"/>
        <v>#DIV/0!</v>
      </c>
      <c r="AB70" s="138" t="e">
        <f t="shared" si="43"/>
        <v>#DIV/0!</v>
      </c>
      <c r="AC70" s="138" t="e">
        <f t="shared" si="43"/>
        <v>#DIV/0!</v>
      </c>
      <c r="AD70" s="138" t="e">
        <f t="shared" si="43"/>
        <v>#DIV/0!</v>
      </c>
      <c r="AE70" s="138" t="e">
        <f t="shared" si="43"/>
        <v>#DIV/0!</v>
      </c>
      <c r="AF70" s="138" t="e">
        <f t="shared" si="43"/>
        <v>#DIV/0!</v>
      </c>
      <c r="AG70" s="138" t="e">
        <f t="shared" si="43"/>
        <v>#DIV/0!</v>
      </c>
      <c r="AH70" s="138" t="e">
        <f t="shared" si="43"/>
        <v>#DIV/0!</v>
      </c>
      <c r="AI70" s="138" t="e">
        <f t="shared" si="43"/>
        <v>#DIV/0!</v>
      </c>
      <c r="AJ70" s="138" t="e">
        <f t="shared" si="43"/>
        <v>#DIV/0!</v>
      </c>
      <c r="AK70" s="138" t="e">
        <f t="shared" si="43"/>
        <v>#DIV/0!</v>
      </c>
      <c r="AL70" s="138" t="e">
        <f t="shared" si="43"/>
        <v>#DIV/0!</v>
      </c>
      <c r="AM70" s="138" t="e">
        <f t="shared" si="43"/>
        <v>#DIV/0!</v>
      </c>
      <c r="AN70" s="138" t="e">
        <f t="shared" si="43"/>
        <v>#DIV/0!</v>
      </c>
      <c r="AO70" s="391" t="e">
        <f t="shared" si="43"/>
        <v>#DIV/0!</v>
      </c>
    </row>
    <row r="71" spans="2:41" ht="15.5" customHeight="1" thickBot="1" x14ac:dyDescent="0.2">
      <c r="B71" s="475"/>
      <c r="C71" s="137" t="s">
        <v>1344</v>
      </c>
      <c r="D71" s="136">
        <f>SUMIF('caseload data'!$D:$D,"DMY",'caseload data'!E:E)</f>
        <v>0</v>
      </c>
      <c r="E71" s="136">
        <f>SUMIF('caseload data'!$D:$D,"DMY",'caseload data'!F:F)</f>
        <v>0</v>
      </c>
      <c r="F71" s="136">
        <f>SUMIF('caseload data'!$D:$D,"DMY",'caseload data'!G:G)</f>
        <v>0</v>
      </c>
      <c r="G71" s="136">
        <f>SUMIF('caseload data'!$D:$D,"DMY",'caseload data'!H:H)</f>
        <v>0</v>
      </c>
      <c r="H71" s="136">
        <f>SUMIF('caseload data'!$D:$D,"DMY",'caseload data'!I:I)</f>
        <v>0</v>
      </c>
      <c r="I71" s="136">
        <f>SUMIF('caseload data'!$D:$D,"DMY",'caseload data'!J:J)</f>
        <v>0</v>
      </c>
      <c r="J71" s="136">
        <f>SUMIF('caseload data'!$D:$D,"DMY",'caseload data'!K:K)</f>
        <v>0</v>
      </c>
      <c r="K71" s="136">
        <f>SUMIF('caseload data'!$D:$D,"DMY",'caseload data'!L:L)</f>
        <v>0</v>
      </c>
      <c r="L71" s="136">
        <f>SUMIF('caseload data'!$D:$D,"DMY",'caseload data'!M:M)</f>
        <v>0</v>
      </c>
      <c r="M71" s="136">
        <f>SUMIF('caseload data'!$D:$D,"DMY",'caseload data'!N:N)</f>
        <v>0</v>
      </c>
      <c r="N71" s="136">
        <f>SUMIF('caseload data'!$D:$D,"DMY",'caseload data'!O:O)</f>
        <v>0</v>
      </c>
      <c r="O71" s="136">
        <f>SUMIF('caseload data'!$D:$D,"DMY",'caseload data'!P:P)</f>
        <v>0</v>
      </c>
      <c r="P71" s="136">
        <f>SUMIF('caseload data'!$D:$D,"DMY",'caseload data'!Q:Q)</f>
        <v>0</v>
      </c>
      <c r="Q71" s="136">
        <f>SUMIF('caseload data'!$D:$D,"DMY",'caseload data'!R:R)</f>
        <v>0</v>
      </c>
      <c r="R71" s="136">
        <f>SUMIF('caseload data'!$D:$D,"DMY",'caseload data'!S:S)</f>
        <v>0</v>
      </c>
      <c r="S71" s="136">
        <f>SUMIF('caseload data'!$D:$D,"DMY",'caseload data'!T:T)</f>
        <v>0</v>
      </c>
      <c r="T71" s="381">
        <f>SUMIF('caseload data'!D:D,"DMY",'caseload data'!V:V)</f>
        <v>0</v>
      </c>
      <c r="U71" s="64"/>
      <c r="V71" s="64"/>
      <c r="W71" s="476"/>
      <c r="X71" s="376" t="s">
        <v>1344</v>
      </c>
      <c r="Y71" s="389" t="e">
        <f t="shared" si="44"/>
        <v>#DIV/0!</v>
      </c>
      <c r="Z71" s="389" t="e">
        <f t="shared" si="43"/>
        <v>#DIV/0!</v>
      </c>
      <c r="AA71" s="389" t="e">
        <f t="shared" si="43"/>
        <v>#DIV/0!</v>
      </c>
      <c r="AB71" s="389" t="e">
        <f t="shared" si="43"/>
        <v>#DIV/0!</v>
      </c>
      <c r="AC71" s="389" t="e">
        <f t="shared" si="43"/>
        <v>#DIV/0!</v>
      </c>
      <c r="AD71" s="389" t="e">
        <f t="shared" si="43"/>
        <v>#DIV/0!</v>
      </c>
      <c r="AE71" s="389" t="e">
        <f t="shared" si="43"/>
        <v>#DIV/0!</v>
      </c>
      <c r="AF71" s="389" t="e">
        <f t="shared" si="43"/>
        <v>#DIV/0!</v>
      </c>
      <c r="AG71" s="389" t="e">
        <f t="shared" si="43"/>
        <v>#DIV/0!</v>
      </c>
      <c r="AH71" s="389" t="e">
        <f t="shared" si="43"/>
        <v>#DIV/0!</v>
      </c>
      <c r="AI71" s="389" t="e">
        <f t="shared" si="43"/>
        <v>#DIV/0!</v>
      </c>
      <c r="AJ71" s="389" t="e">
        <f t="shared" si="43"/>
        <v>#DIV/0!</v>
      </c>
      <c r="AK71" s="389" t="e">
        <f t="shared" si="43"/>
        <v>#DIV/0!</v>
      </c>
      <c r="AL71" s="389" t="e">
        <f t="shared" si="43"/>
        <v>#DIV/0!</v>
      </c>
      <c r="AM71" s="389" t="e">
        <f t="shared" si="43"/>
        <v>#DIV/0!</v>
      </c>
      <c r="AN71" s="389" t="e">
        <f t="shared" si="43"/>
        <v>#DIV/0!</v>
      </c>
      <c r="AO71" s="392" t="e">
        <f t="shared" si="43"/>
        <v>#DIV/0!</v>
      </c>
    </row>
    <row r="72" spans="2:41" ht="35.25" customHeight="1" thickBot="1" x14ac:dyDescent="0.2">
      <c r="B72" s="476"/>
      <c r="C72" s="382" t="s">
        <v>1081</v>
      </c>
      <c r="D72" s="383">
        <f>SUM('caseload data'!E:E)</f>
        <v>0</v>
      </c>
      <c r="E72" s="383">
        <f>SUM('caseload data'!F:F)</f>
        <v>0</v>
      </c>
      <c r="F72" s="383">
        <f>SUM('caseload data'!G:G)</f>
        <v>0</v>
      </c>
      <c r="G72" s="383">
        <f>SUM('caseload data'!H:H)</f>
        <v>0</v>
      </c>
      <c r="H72" s="383">
        <f>SUM('caseload data'!I:I)</f>
        <v>0</v>
      </c>
      <c r="I72" s="383">
        <f>SUM('caseload data'!J:J)</f>
        <v>0</v>
      </c>
      <c r="J72" s="383">
        <f>SUM('caseload data'!K:K)</f>
        <v>0</v>
      </c>
      <c r="K72" s="383">
        <f>SUM('caseload data'!L:L)</f>
        <v>0</v>
      </c>
      <c r="L72" s="383">
        <f>SUM('caseload data'!M:M)</f>
        <v>0</v>
      </c>
      <c r="M72" s="383">
        <f>SUM('caseload data'!N:N)</f>
        <v>0</v>
      </c>
      <c r="N72" s="383">
        <f>SUM('caseload data'!O:O)</f>
        <v>0</v>
      </c>
      <c r="O72" s="383">
        <f>SUM('caseload data'!P:P)</f>
        <v>0</v>
      </c>
      <c r="P72" s="383">
        <f>SUM('caseload data'!Q:Q)</f>
        <v>0</v>
      </c>
      <c r="Q72" s="383">
        <f>SUM('caseload data'!R:R)</f>
        <v>0</v>
      </c>
      <c r="R72" s="383">
        <f>SUM('caseload data'!S:S)</f>
        <v>0</v>
      </c>
      <c r="S72" s="383">
        <f>SUM('caseload data'!T:T)</f>
        <v>0</v>
      </c>
      <c r="T72" s="384">
        <f>SUM('caseload data'!V:V)</f>
        <v>0</v>
      </c>
      <c r="U72" s="64"/>
      <c r="V72" s="64"/>
      <c r="W72" s="131"/>
      <c r="X72" s="132"/>
      <c r="Y72" s="133"/>
      <c r="Z72" s="133"/>
      <c r="AA72" s="133"/>
      <c r="AB72" s="133"/>
      <c r="AC72" s="133"/>
      <c r="AD72" s="133"/>
      <c r="AE72" s="133"/>
    </row>
    <row r="74" spans="2:41" ht="15" thickBot="1" x14ac:dyDescent="0.2"/>
    <row r="75" spans="2:41" ht="23.25" customHeight="1" thickBot="1" x14ac:dyDescent="0.25">
      <c r="B75" s="1"/>
      <c r="C75" s="2"/>
      <c r="D75" s="482" t="s">
        <v>1082</v>
      </c>
      <c r="E75" s="483"/>
      <c r="F75" s="483"/>
      <c r="G75" s="483"/>
      <c r="H75" s="483"/>
      <c r="I75" s="483"/>
      <c r="J75" s="483"/>
      <c r="K75" s="483"/>
      <c r="L75" s="483"/>
      <c r="M75" s="483"/>
      <c r="N75" s="483"/>
      <c r="O75" s="483"/>
      <c r="P75" s="483"/>
      <c r="Q75" s="483"/>
      <c r="R75" s="483"/>
      <c r="S75" s="483"/>
      <c r="T75" s="484"/>
      <c r="W75" s="1"/>
      <c r="X75" s="2"/>
      <c r="Y75" s="486" t="s">
        <v>1083</v>
      </c>
      <c r="Z75" s="487"/>
      <c r="AA75" s="487"/>
      <c r="AB75" s="487"/>
      <c r="AC75" s="487"/>
      <c r="AD75" s="487"/>
      <c r="AE75" s="487"/>
      <c r="AF75" s="487"/>
      <c r="AG75" s="487"/>
      <c r="AH75" s="487"/>
      <c r="AI75" s="487"/>
      <c r="AJ75" s="487"/>
      <c r="AK75" s="487"/>
      <c r="AL75" s="487"/>
      <c r="AM75" s="487"/>
      <c r="AN75" s="487"/>
    </row>
    <row r="76" spans="2:41" x14ac:dyDescent="0.15">
      <c r="B76" s="124" t="s">
        <v>843</v>
      </c>
      <c r="C76" s="125" t="s">
        <v>1001</v>
      </c>
      <c r="D76" s="38" t="s">
        <v>869</v>
      </c>
      <c r="E76" s="38" t="s">
        <v>870</v>
      </c>
      <c r="F76" s="38" t="s">
        <v>871</v>
      </c>
      <c r="G76" s="38" t="s">
        <v>872</v>
      </c>
      <c r="H76" s="38" t="s">
        <v>873</v>
      </c>
      <c r="I76" s="38" t="s">
        <v>874</v>
      </c>
      <c r="J76" s="38" t="s">
        <v>875</v>
      </c>
      <c r="K76" s="38" t="s">
        <v>876</v>
      </c>
      <c r="L76" s="38" t="s">
        <v>877</v>
      </c>
      <c r="M76" s="38" t="s">
        <v>878</v>
      </c>
      <c r="N76" s="38" t="s">
        <v>879</v>
      </c>
      <c r="O76" s="38" t="s">
        <v>880</v>
      </c>
      <c r="P76" s="38" t="s">
        <v>881</v>
      </c>
      <c r="Q76" s="38" t="s">
        <v>882</v>
      </c>
      <c r="R76" s="38" t="s">
        <v>883</v>
      </c>
      <c r="S76" s="38" t="s">
        <v>884</v>
      </c>
      <c r="T76" s="127" t="s">
        <v>886</v>
      </c>
      <c r="U76" s="64"/>
      <c r="V76" s="64"/>
      <c r="W76" s="124" t="s">
        <v>843</v>
      </c>
      <c r="X76" s="126" t="s">
        <v>1001</v>
      </c>
      <c r="Y76" s="38" t="s">
        <v>869</v>
      </c>
      <c r="Z76" s="38" t="s">
        <v>870</v>
      </c>
      <c r="AA76" s="38" t="s">
        <v>871</v>
      </c>
      <c r="AB76" s="38" t="s">
        <v>872</v>
      </c>
      <c r="AC76" s="38" t="s">
        <v>873</v>
      </c>
      <c r="AD76" s="38" t="s">
        <v>874</v>
      </c>
      <c r="AE76" s="38" t="s">
        <v>875</v>
      </c>
      <c r="AF76" s="38" t="s">
        <v>876</v>
      </c>
      <c r="AG76" s="38" t="s">
        <v>877</v>
      </c>
      <c r="AH76" s="38" t="s">
        <v>878</v>
      </c>
      <c r="AI76" s="38" t="s">
        <v>879</v>
      </c>
      <c r="AJ76" s="38" t="s">
        <v>880</v>
      </c>
      <c r="AK76" s="38" t="s">
        <v>881</v>
      </c>
      <c r="AL76" s="38" t="s">
        <v>882</v>
      </c>
      <c r="AM76" s="38" t="s">
        <v>883</v>
      </c>
      <c r="AN76" s="38" t="s">
        <v>884</v>
      </c>
      <c r="AO76" s="38" t="s">
        <v>999</v>
      </c>
    </row>
    <row r="77" spans="2:41" x14ac:dyDescent="0.15">
      <c r="B77" s="477" t="s">
        <v>17</v>
      </c>
      <c r="C77" s="128" t="s">
        <v>1002</v>
      </c>
      <c r="D77" s="370" cm="1">
        <f t="array" ref="D77">SUM(SUMIFS('caseload data'!E:E,'caseload data'!$D:$D,"PO",'caseload data'!$A:$A,_xlfn.SINGLE('national caseload'!$B$77:$B$79),'caseload data'!$B:$B,{"licence","community"}))</f>
        <v>0</v>
      </c>
      <c r="E77" s="94" cm="1">
        <f t="array" ref="E77">SUM(SUMIFS('caseload data'!F:F,'caseload data'!$D:$D,"PO",'caseload data'!$A:$A,_xlfn.SINGLE('national caseload'!$B$77:$B$79),'caseload data'!$B:$B,{"licence","community"}))</f>
        <v>0</v>
      </c>
      <c r="F77" s="94" cm="1">
        <f t="array" ref="F77">SUM(SUMIFS('caseload data'!G:G,'caseload data'!$D:$D,"PO",'caseload data'!$A:$A,_xlfn.SINGLE('national caseload'!$B$77:$B$79),'caseload data'!$B:$B,{"licence","community"}))</f>
        <v>0</v>
      </c>
      <c r="G77" s="94" cm="1">
        <f t="array" ref="G77">SUM(SUMIFS('caseload data'!H:H,'caseload data'!$D:$D,"PO",'caseload data'!$A:$A,_xlfn.SINGLE('national caseload'!$B$77:$B$79),'caseload data'!$B:$B,{"licence","community"}))</f>
        <v>0</v>
      </c>
      <c r="H77" s="94" cm="1">
        <f t="array" ref="H77">SUM(SUMIFS('caseload data'!I:I,'caseload data'!$D:$D,"PO",'caseload data'!$A:$A,_xlfn.SINGLE('national caseload'!$B$77:$B$79),'caseload data'!$B:$B,{"licence","community"}))</f>
        <v>0</v>
      </c>
      <c r="I77" s="94" cm="1">
        <f t="array" ref="I77">SUM(SUMIFS('caseload data'!J:J,'caseload data'!$D:$D,"PO",'caseload data'!$A:$A,_xlfn.SINGLE('national caseload'!$B$77:$B$79),'caseload data'!$B:$B,{"licence","community"}))</f>
        <v>0</v>
      </c>
      <c r="J77" s="94" cm="1">
        <f t="array" ref="J77">SUM(SUMIFS('caseload data'!K:K,'caseload data'!$D:$D,"PO",'caseload data'!$A:$A,_xlfn.SINGLE('national caseload'!$B$77:$B$79),'caseload data'!$B:$B,{"licence","community"}))</f>
        <v>0</v>
      </c>
      <c r="K77" s="94" cm="1">
        <f t="array" ref="K77">SUM(SUMIFS('caseload data'!L:L,'caseload data'!$D:$D,"PO",'caseload data'!$A:$A,_xlfn.SINGLE('national caseload'!$B$77:$B$79),'caseload data'!$B:$B,{"licence","community"}))</f>
        <v>0</v>
      </c>
      <c r="L77" s="94" cm="1">
        <f t="array" ref="L77">SUM(SUMIFS('caseload data'!M:M,'caseload data'!$D:$D,"PO",'caseload data'!$A:$A,_xlfn.SINGLE('national caseload'!$B$77:$B$79),'caseload data'!$B:$B,{"licence","community"}))</f>
        <v>0</v>
      </c>
      <c r="M77" s="94" cm="1">
        <f t="array" ref="M77">SUM(SUMIFS('caseload data'!N:N,'caseload data'!$D:$D,"PO",'caseload data'!$A:$A,_xlfn.SINGLE('national caseload'!$B$77:$B$79),'caseload data'!$B:$B,{"licence","community"}))</f>
        <v>0</v>
      </c>
      <c r="N77" s="94" cm="1">
        <f t="array" ref="N77">SUM(SUMIFS('caseload data'!O:O,'caseload data'!$D:$D,"PO",'caseload data'!$A:$A,_xlfn.SINGLE('national caseload'!$B$77:$B$79),'caseload data'!$B:$B,{"licence","community"}))</f>
        <v>0</v>
      </c>
      <c r="O77" s="94" cm="1">
        <f t="array" ref="O77">SUM(SUMIFS('caseload data'!P:P,'caseload data'!$D:$D,"PO",'caseload data'!$A:$A,_xlfn.SINGLE('national caseload'!$B$77:$B$79),'caseload data'!$B:$B,{"licence","community"}))</f>
        <v>0</v>
      </c>
      <c r="P77" s="94" cm="1">
        <f t="array" ref="P77">SUM(SUMIFS('caseload data'!Q:Q,'caseload data'!$D:$D,"PO",'caseload data'!$A:$A,_xlfn.SINGLE('national caseload'!$B$77:$B$79),'caseload data'!$B:$B,{"licence","community"}))</f>
        <v>0</v>
      </c>
      <c r="Q77" s="94" cm="1">
        <f t="array" ref="Q77">SUM(SUMIFS('caseload data'!R:R,'caseload data'!$D:$D,"PO",'caseload data'!$A:$A,_xlfn.SINGLE('national caseload'!$B$77:$B$79),'caseload data'!$B:$B,{"licence","community"}))</f>
        <v>0</v>
      </c>
      <c r="R77" s="94" cm="1">
        <f t="array" ref="R77">SUM(SUMIFS('caseload data'!S:S,'caseload data'!$D:$D,"PO",'caseload data'!$A:$A,_xlfn.SINGLE('national caseload'!$B$77:$B$79),'caseload data'!$B:$B,{"licence","community"}))</f>
        <v>0</v>
      </c>
      <c r="S77" s="94" cm="1">
        <f t="array" ref="S77">SUM(SUMIFS('caseload data'!T:T,'caseload data'!$D:$D,"PO",'caseload data'!$A:$A,_xlfn.SINGLE('national caseload'!$B$77:$B$79),'caseload data'!$B:$B,{"licence","community"}))</f>
        <v>0</v>
      </c>
      <c r="T77" s="94">
        <f>SUM(SUMIFS('caseload data'!V:V,'caseload data'!D:D,"PO",'caseload data'!A:A,'national caseload'!B77:B79,'caseload data'!B:B,{"licence","community"}))</f>
        <v>0</v>
      </c>
      <c r="U77" s="64"/>
      <c r="V77" s="64"/>
      <c r="W77" s="471" t="s">
        <v>17</v>
      </c>
      <c r="X77" s="128" t="s">
        <v>1002</v>
      </c>
      <c r="Y77" s="167" t="e">
        <f t="shared" ref="Y77:AD77" si="45">SUM(D77)/SUM(D$77:D$81)</f>
        <v>#DIV/0!</v>
      </c>
      <c r="Z77" s="167" t="e">
        <f t="shared" si="45"/>
        <v>#DIV/0!</v>
      </c>
      <c r="AA77" s="167" t="e">
        <f t="shared" si="45"/>
        <v>#DIV/0!</v>
      </c>
      <c r="AB77" s="167" t="e">
        <f t="shared" si="45"/>
        <v>#DIV/0!</v>
      </c>
      <c r="AC77" s="167" t="e">
        <f t="shared" si="45"/>
        <v>#DIV/0!</v>
      </c>
      <c r="AD77" s="167" t="e">
        <f t="shared" si="45"/>
        <v>#DIV/0!</v>
      </c>
      <c r="AE77" s="167" t="e">
        <f t="shared" ref="AE77:AO81" si="46">SUM(J77)/SUM(J$77:J$81)</f>
        <v>#DIV/0!</v>
      </c>
      <c r="AF77" s="167" t="e">
        <f t="shared" si="46"/>
        <v>#DIV/0!</v>
      </c>
      <c r="AG77" s="167" t="e">
        <f t="shared" si="46"/>
        <v>#DIV/0!</v>
      </c>
      <c r="AH77" s="167" t="e">
        <f t="shared" si="46"/>
        <v>#DIV/0!</v>
      </c>
      <c r="AI77" s="167" t="e">
        <f t="shared" si="46"/>
        <v>#DIV/0!</v>
      </c>
      <c r="AJ77" s="167" t="e">
        <f t="shared" si="46"/>
        <v>#DIV/0!</v>
      </c>
      <c r="AK77" s="167" t="e">
        <f t="shared" si="46"/>
        <v>#DIV/0!</v>
      </c>
      <c r="AL77" s="167" t="e">
        <f t="shared" si="46"/>
        <v>#DIV/0!</v>
      </c>
      <c r="AM77" s="167" t="e">
        <f t="shared" si="46"/>
        <v>#DIV/0!</v>
      </c>
      <c r="AN77" s="167" t="e">
        <f t="shared" si="46"/>
        <v>#DIV/0!</v>
      </c>
      <c r="AO77" s="167" t="e">
        <f>SUM(T77)/SUM(T$77:T$81)</f>
        <v>#DIV/0!</v>
      </c>
    </row>
    <row r="78" spans="2:41" x14ac:dyDescent="0.15">
      <c r="B78" s="478"/>
      <c r="C78" s="129" t="s">
        <v>1007</v>
      </c>
      <c r="D78" s="370" cm="1">
        <f t="array" ref="D78">SUM(SUMIFS('caseload data'!E:E,'caseload data'!$D:$D,"PSO",'caseload data'!$A:$A,"East Midlands Region",'caseload data'!$B:$B,{"licence","community"}))</f>
        <v>0</v>
      </c>
      <c r="E78" s="94" cm="1">
        <f t="array" ref="E78">SUM(SUMIFS('caseload data'!F:F,'caseload data'!$D:$D,"PSO",'caseload data'!$A:$A,"East Midlands Region",'caseload data'!$B:$B,{"licence","community"}))</f>
        <v>0</v>
      </c>
      <c r="F78" s="94" cm="1">
        <f t="array" ref="F78">SUM(SUMIFS('caseload data'!G:G,'caseload data'!$D:$D,"PSO",'caseload data'!$A:$A,"East Midlands Region",'caseload data'!$B:$B,{"licence","community"}))</f>
        <v>0</v>
      </c>
      <c r="G78" s="94" cm="1">
        <f t="array" ref="G78">SUM(SUMIFS('caseload data'!H:H,'caseload data'!$D:$D,"PSO",'caseload data'!$A:$A,"East Midlands Region",'caseload data'!$B:$B,{"licence","community"}))</f>
        <v>0</v>
      </c>
      <c r="H78" s="94" cm="1">
        <f t="array" ref="H78">SUM(SUMIFS('caseload data'!I:I,'caseload data'!$D:$D,"PSO",'caseload data'!$A:$A,"East Midlands Region",'caseload data'!$B:$B,{"licence","community"}))</f>
        <v>0</v>
      </c>
      <c r="I78" s="94" cm="1">
        <f t="array" ref="I78">SUM(SUMIFS('caseload data'!J:J,'caseload data'!$D:$D,"PSO",'caseload data'!$A:$A,"East Midlands Region",'caseload data'!$B:$B,{"licence","community"}))</f>
        <v>0</v>
      </c>
      <c r="J78" s="94" cm="1">
        <f t="array" ref="J78">SUM(SUMIFS('caseload data'!K:K,'caseload data'!$D:$D,"PSO",'caseload data'!$A:$A,"East Midlands Region",'caseload data'!$B:$B,{"licence","community"}))</f>
        <v>0</v>
      </c>
      <c r="K78" s="94" cm="1">
        <f t="array" ref="K78">SUM(SUMIFS('caseload data'!L:L,'caseload data'!$D:$D,"PSO",'caseload data'!$A:$A,"East Midlands Region",'caseload data'!$B:$B,{"licence","community"}))</f>
        <v>0</v>
      </c>
      <c r="L78" s="94" cm="1">
        <f t="array" ref="L78">SUM(SUMIFS('caseload data'!M:M,'caseload data'!$D:$D,"PSO",'caseload data'!$A:$A,"East Midlands Region",'caseload data'!$B:$B,{"licence","community"}))</f>
        <v>0</v>
      </c>
      <c r="M78" s="94" cm="1">
        <f t="array" ref="M78">SUM(SUMIFS('caseload data'!N:N,'caseload data'!$D:$D,"PSO",'caseload data'!$A:$A,"East Midlands Region",'caseload data'!$B:$B,{"licence","community"}))</f>
        <v>0</v>
      </c>
      <c r="N78" s="94" cm="1">
        <f t="array" ref="N78">SUM(SUMIFS('caseload data'!O:O,'caseload data'!$D:$D,"PSO",'caseload data'!$A:$A,"East Midlands Region",'caseload data'!$B:$B,{"licence","community"}))</f>
        <v>0</v>
      </c>
      <c r="O78" s="94" cm="1">
        <f t="array" ref="O78">SUM(SUMIFS('caseload data'!P:P,'caseload data'!$D:$D,"PSO",'caseload data'!$A:$A,"East Midlands Region",'caseload data'!$B:$B,{"licence","community"}))</f>
        <v>0</v>
      </c>
      <c r="P78" s="94" cm="1">
        <f t="array" ref="P78">SUM(SUMIFS('caseload data'!Q:Q,'caseload data'!$D:$D,"PSO",'caseload data'!$A:$A,"East Midlands Region",'caseload data'!$B:$B,{"licence","community"}))</f>
        <v>0</v>
      </c>
      <c r="Q78" s="94" cm="1">
        <f t="array" ref="Q78">SUM(SUMIFS('caseload data'!R:R,'caseload data'!$D:$D,"PSO",'caseload data'!$A:$A,"East Midlands Region",'caseload data'!$B:$B,{"licence","community"}))</f>
        <v>0</v>
      </c>
      <c r="R78" s="94" cm="1">
        <f t="array" ref="R78">SUM(SUMIFS('caseload data'!S:S,'caseload data'!$D:$D,"PSO",'caseload data'!$A:$A,"East Midlands Region",'caseload data'!$B:$B,{"licence","community"}))</f>
        <v>0</v>
      </c>
      <c r="S78" s="94" cm="1">
        <f t="array" ref="S78">SUM(SUMIFS('caseload data'!T:T,'caseload data'!$D:$D,"PSO",'caseload data'!$A:$A,"East Midlands Region",'caseload data'!$B:$B,{"licence","community"}))</f>
        <v>0</v>
      </c>
      <c r="T78" s="94" cm="1">
        <f t="array" ref="T78">SUM(SUMIFS('caseload data'!V:V,'caseload data'!D:D,"PSO",'caseload data'!A:A,"East Midlands Region",'caseload data'!B:B,{"licence","community"}))</f>
        <v>0</v>
      </c>
      <c r="U78" s="64"/>
      <c r="V78" s="64"/>
      <c r="W78" s="472"/>
      <c r="X78" s="129" t="s">
        <v>1007</v>
      </c>
      <c r="Y78" s="167" t="e">
        <f t="shared" ref="Y78:AB81" si="47">SUM(D78)/SUM(D$77:D$81)</f>
        <v>#DIV/0!</v>
      </c>
      <c r="Z78" s="167" t="e">
        <f t="shared" si="47"/>
        <v>#DIV/0!</v>
      </c>
      <c r="AA78" s="167" t="e">
        <f t="shared" si="47"/>
        <v>#DIV/0!</v>
      </c>
      <c r="AB78" s="167" t="e">
        <f t="shared" si="47"/>
        <v>#DIV/0!</v>
      </c>
      <c r="AC78" s="167" t="e">
        <f t="shared" ref="AC78:AC81" si="48">SUM(H78)/SUM(H$77:H$81)</f>
        <v>#DIV/0!</v>
      </c>
      <c r="AD78" s="167" t="e">
        <f t="shared" ref="AD78:AD81" si="49">SUM(I78)/SUM(I$77:I$81)</f>
        <v>#DIV/0!</v>
      </c>
      <c r="AE78" s="167" t="e">
        <f t="shared" si="46"/>
        <v>#DIV/0!</v>
      </c>
      <c r="AF78" s="167" t="e">
        <f t="shared" si="46"/>
        <v>#DIV/0!</v>
      </c>
      <c r="AG78" s="167" t="e">
        <f t="shared" si="46"/>
        <v>#DIV/0!</v>
      </c>
      <c r="AH78" s="167" t="e">
        <f t="shared" si="46"/>
        <v>#DIV/0!</v>
      </c>
      <c r="AI78" s="167" t="e">
        <f t="shared" si="46"/>
        <v>#DIV/0!</v>
      </c>
      <c r="AJ78" s="167" t="e">
        <f t="shared" si="46"/>
        <v>#DIV/0!</v>
      </c>
      <c r="AK78" s="167" t="e">
        <f t="shared" si="46"/>
        <v>#DIV/0!</v>
      </c>
      <c r="AL78" s="167" t="e">
        <f t="shared" si="46"/>
        <v>#DIV/0!</v>
      </c>
      <c r="AM78" s="167" t="e">
        <f t="shared" si="46"/>
        <v>#DIV/0!</v>
      </c>
      <c r="AN78" s="167" t="e">
        <f t="shared" si="46"/>
        <v>#DIV/0!</v>
      </c>
      <c r="AO78" s="167" t="e">
        <f t="shared" si="46"/>
        <v>#DIV/0!</v>
      </c>
    </row>
    <row r="79" spans="2:41" x14ac:dyDescent="0.15">
      <c r="B79" s="478"/>
      <c r="C79" s="129" t="s">
        <v>1008</v>
      </c>
      <c r="D79" s="370" cm="1">
        <f t="array" ref="D79">SUM(SUMIFS('caseload data'!E:E,'caseload data'!$D:$D,"TPO",'caseload data'!$A:$A,"East Midlands Region",'caseload data'!$B:$B,{"licence","community"}))</f>
        <v>0</v>
      </c>
      <c r="E79" s="94" cm="1">
        <f t="array" ref="E79">SUM(SUMIFS('caseload data'!F:F,'caseload data'!$D:$D,"TPO",'caseload data'!$A:$A,"East Midlands Region",'caseload data'!$B:$B,{"licence","community"}))</f>
        <v>0</v>
      </c>
      <c r="F79" s="94" cm="1">
        <f t="array" ref="F79">SUM(SUMIFS('caseload data'!G:G,'caseload data'!$D:$D,"TPO",'caseload data'!$A:$A,"East Midlands Region",'caseload data'!$B:$B,{"licence","community"}))</f>
        <v>0</v>
      </c>
      <c r="G79" s="94" cm="1">
        <f t="array" ref="G79">SUM(SUMIFS('caseload data'!H:H,'caseload data'!$D:$D,"TPO",'caseload data'!$A:$A,"East Midlands Region",'caseload data'!$B:$B,{"licence","community"}))</f>
        <v>0</v>
      </c>
      <c r="H79" s="94" cm="1">
        <f t="array" ref="H79">SUM(SUMIFS('caseload data'!I:I,'caseload data'!$D:$D,"TPO",'caseload data'!$A:$A,"East Midlands Region",'caseload data'!$B:$B,{"licence","community"}))</f>
        <v>0</v>
      </c>
      <c r="I79" s="94" cm="1">
        <f t="array" ref="I79">SUM(SUMIFS('caseload data'!J:J,'caseload data'!$D:$D,"TPO",'caseload data'!$A:$A,"East Midlands Region",'caseload data'!$B:$B,{"licence","community"}))</f>
        <v>0</v>
      </c>
      <c r="J79" s="94" cm="1">
        <f t="array" ref="J79">SUM(SUMIFS('caseload data'!K:K,'caseload data'!$D:$D,"TPO",'caseload data'!$A:$A,"East Midlands Region",'caseload data'!$B:$B,{"licence","community"}))</f>
        <v>0</v>
      </c>
      <c r="K79" s="94" cm="1">
        <f t="array" ref="K79">SUM(SUMIFS('caseload data'!L:L,'caseload data'!$D:$D,"TPO",'caseload data'!$A:$A,"East Midlands Region",'caseload data'!$B:$B,{"licence","community"}))</f>
        <v>0</v>
      </c>
      <c r="L79" s="94" cm="1">
        <f t="array" ref="L79">SUM(SUMIFS('caseload data'!M:M,'caseload data'!$D:$D,"TPO",'caseload data'!$A:$A,"East Midlands Region",'caseload data'!$B:$B,{"licence","community"}))</f>
        <v>0</v>
      </c>
      <c r="M79" s="94" cm="1">
        <f t="array" ref="M79">SUM(SUMIFS('caseload data'!N:N,'caseload data'!$D:$D,"TPO",'caseload data'!$A:$A,"East Midlands Region",'caseload data'!$B:$B,{"licence","community"}))</f>
        <v>0</v>
      </c>
      <c r="N79" s="94" cm="1">
        <f t="array" ref="N79">SUM(SUMIFS('caseload data'!O:O,'caseload data'!$D:$D,"TPO",'caseload data'!$A:$A,"East Midlands Region",'caseload data'!$B:$B,{"licence","community"}))</f>
        <v>0</v>
      </c>
      <c r="O79" s="94" cm="1">
        <f t="array" ref="O79">SUM(SUMIFS('caseload data'!P:P,'caseload data'!$D:$D,"TPO",'caseload data'!$A:$A,"East Midlands Region",'caseload data'!$B:$B,{"licence","community"}))</f>
        <v>0</v>
      </c>
      <c r="P79" s="94" cm="1">
        <f t="array" ref="P79">SUM(SUMIFS('caseload data'!Q:Q,'caseload data'!$D:$D,"TPO",'caseload data'!$A:$A,"East Midlands Region",'caseload data'!$B:$B,{"licence","community"}))</f>
        <v>0</v>
      </c>
      <c r="Q79" s="94" cm="1">
        <f t="array" ref="Q79">SUM(SUMIFS('caseload data'!R:R,'caseload data'!$D:$D,"TPO",'caseload data'!$A:$A,"East Midlands Region",'caseload data'!$B:$B,{"licence","community"}))</f>
        <v>0</v>
      </c>
      <c r="R79" s="94" cm="1">
        <f t="array" ref="R79">SUM(SUMIFS('caseload data'!S:S,'caseload data'!$D:$D,"TPO",'caseload data'!$A:$A,"East Midlands Region",'caseload data'!$B:$B,{"licence","community"}))</f>
        <v>0</v>
      </c>
      <c r="S79" s="94" cm="1">
        <f t="array" ref="S79">SUM(SUMIFS('caseload data'!T:T,'caseload data'!$D:$D,"TPO",'caseload data'!$A:$A,"East Midlands Region",'caseload data'!$B:$B,{"licence","community"}))</f>
        <v>0</v>
      </c>
      <c r="T79" s="94" cm="1">
        <f t="array" ref="T79">SUM(SUMIFS('caseload data'!V:V,'caseload data'!D:D,"TPO",'caseload data'!A:A,"East Midlands Region",'caseload data'!B:B,{"licence","community"}))</f>
        <v>0</v>
      </c>
      <c r="U79" s="64"/>
      <c r="V79" s="64"/>
      <c r="W79" s="472"/>
      <c r="X79" s="129" t="s">
        <v>1008</v>
      </c>
      <c r="Y79" s="167" t="e">
        <f t="shared" si="47"/>
        <v>#DIV/0!</v>
      </c>
      <c r="Z79" s="167" t="e">
        <f t="shared" si="47"/>
        <v>#DIV/0!</v>
      </c>
      <c r="AA79" s="167" t="e">
        <f t="shared" si="47"/>
        <v>#DIV/0!</v>
      </c>
      <c r="AB79" s="167" t="e">
        <f t="shared" si="47"/>
        <v>#DIV/0!</v>
      </c>
      <c r="AC79" s="167" t="e">
        <f t="shared" si="48"/>
        <v>#DIV/0!</v>
      </c>
      <c r="AD79" s="167" t="e">
        <f t="shared" si="49"/>
        <v>#DIV/0!</v>
      </c>
      <c r="AE79" s="167" t="e">
        <f t="shared" si="46"/>
        <v>#DIV/0!</v>
      </c>
      <c r="AF79" s="167" t="e">
        <f t="shared" si="46"/>
        <v>#DIV/0!</v>
      </c>
      <c r="AG79" s="167" t="e">
        <f t="shared" si="46"/>
        <v>#DIV/0!</v>
      </c>
      <c r="AH79" s="167" t="e">
        <f t="shared" si="46"/>
        <v>#DIV/0!</v>
      </c>
      <c r="AI79" s="167" t="e">
        <f t="shared" si="46"/>
        <v>#DIV/0!</v>
      </c>
      <c r="AJ79" s="167" t="e">
        <f t="shared" si="46"/>
        <v>#DIV/0!</v>
      </c>
      <c r="AK79" s="167" t="e">
        <f t="shared" si="46"/>
        <v>#DIV/0!</v>
      </c>
      <c r="AL79" s="167" t="e">
        <f t="shared" si="46"/>
        <v>#DIV/0!</v>
      </c>
      <c r="AM79" s="167" t="e">
        <f t="shared" si="46"/>
        <v>#DIV/0!</v>
      </c>
      <c r="AN79" s="167" t="e">
        <f t="shared" si="46"/>
        <v>#DIV/0!</v>
      </c>
      <c r="AO79" s="167" t="e">
        <f t="shared" si="46"/>
        <v>#DIV/0!</v>
      </c>
    </row>
    <row r="80" spans="2:41" x14ac:dyDescent="0.15">
      <c r="B80" s="478"/>
      <c r="C80" s="129" t="s">
        <v>1009</v>
      </c>
      <c r="D80" s="370" cm="1">
        <f t="array" ref="D80">SUM(SUMIFS('caseload data'!E:E,'caseload data'!$D:$D,"SPO",'caseload data'!$A:$A,"East Midlands Region",'caseload data'!$B:$B,{"licence","community"}))</f>
        <v>0</v>
      </c>
      <c r="E80" s="94" cm="1">
        <f t="array" ref="E80">SUM(SUMIFS('caseload data'!F:F,'caseload data'!$D:$D,"SPO",'caseload data'!$A:$A,"East Midlands Region",'caseload data'!$B:$B,{"licence","community"}))</f>
        <v>0</v>
      </c>
      <c r="F80" s="94" cm="1">
        <f t="array" ref="F80">SUM(SUMIFS('caseload data'!G:G,'caseload data'!$D:$D,"SPO",'caseload data'!$A:$A,"East Midlands Region",'caseload data'!$B:$B,{"licence","community"}))</f>
        <v>0</v>
      </c>
      <c r="G80" s="94" cm="1">
        <f t="array" ref="G80">SUM(SUMIFS('caseload data'!H:H,'caseload data'!$D:$D,"SPO",'caseload data'!$A:$A,"East Midlands Region",'caseload data'!$B:$B,{"licence","community"}))</f>
        <v>0</v>
      </c>
      <c r="H80" s="94" cm="1">
        <f t="array" ref="H80">SUM(SUMIFS('caseload data'!I:I,'caseload data'!$D:$D,"SPO",'caseload data'!$A:$A,"East Midlands Region",'caseload data'!$B:$B,{"licence","community"}))</f>
        <v>0</v>
      </c>
      <c r="I80" s="94" cm="1">
        <f t="array" ref="I80">SUM(SUMIFS('caseload data'!J:J,'caseload data'!$D:$D,"SPO",'caseload data'!$A:$A,"East Midlands Region",'caseload data'!$B:$B,{"licence","community"}))</f>
        <v>0</v>
      </c>
      <c r="J80" s="94" cm="1">
        <f t="array" ref="J80">SUM(SUMIFS('caseload data'!K:K,'caseload data'!$D:$D,"SPO",'caseload data'!$A:$A,"East Midlands Region",'caseload data'!$B:$B,{"licence","community"}))</f>
        <v>0</v>
      </c>
      <c r="K80" s="94" cm="1">
        <f t="array" ref="K80">SUM(SUMIFS('caseload data'!L:L,'caseload data'!$D:$D,"SPO",'caseload data'!$A:$A,"East Midlands Region",'caseload data'!$B:$B,{"licence","community"}))</f>
        <v>0</v>
      </c>
      <c r="L80" s="94" cm="1">
        <f t="array" ref="L80">SUM(SUMIFS('caseload data'!M:M,'caseload data'!$D:$D,"SPO",'caseload data'!$A:$A,"East Midlands Region",'caseload data'!$B:$B,{"licence","community"}))</f>
        <v>0</v>
      </c>
      <c r="M80" s="94" cm="1">
        <f t="array" ref="M80">SUM(SUMIFS('caseload data'!N:N,'caseload data'!$D:$D,"SPO",'caseload data'!$A:$A,"East Midlands Region",'caseload data'!$B:$B,{"licence","community"}))</f>
        <v>0</v>
      </c>
      <c r="N80" s="94" cm="1">
        <f t="array" ref="N80">SUM(SUMIFS('caseload data'!O:O,'caseload data'!$D:$D,"SPO",'caseload data'!$A:$A,"East Midlands Region",'caseload data'!$B:$B,{"licence","community"}))</f>
        <v>0</v>
      </c>
      <c r="O80" s="94" cm="1">
        <f t="array" ref="O80">SUM(SUMIFS('caseload data'!P:P,'caseload data'!$D:$D,"SPO",'caseload data'!$A:$A,"East Midlands Region",'caseload data'!$B:$B,{"licence","community"}))</f>
        <v>0</v>
      </c>
      <c r="P80" s="94" cm="1">
        <f t="array" ref="P80">SUM(SUMIFS('caseload data'!Q:Q,'caseload data'!$D:$D,"SPO",'caseload data'!$A:$A,"East Midlands Region",'caseload data'!$B:$B,{"licence","community"}))</f>
        <v>0</v>
      </c>
      <c r="Q80" s="94" cm="1">
        <f t="array" ref="Q80">SUM(SUMIFS('caseload data'!R:R,'caseload data'!$D:$D,"SPO",'caseload data'!$A:$A,"East Midlands Region",'caseload data'!$B:$B,{"licence","community"}))</f>
        <v>0</v>
      </c>
      <c r="R80" s="94" cm="1">
        <f t="array" ref="R80">SUM(SUMIFS('caseload data'!S:S,'caseload data'!$D:$D,"SPO",'caseload data'!$A:$A,"East Midlands Region",'caseload data'!$B:$B,{"licence","community"}))</f>
        <v>0</v>
      </c>
      <c r="S80" s="94" cm="1">
        <f t="array" ref="S80">SUM(SUMIFS('caseload data'!T:T,'caseload data'!$D:$D,"SPO",'caseload data'!$A:$A,"East Midlands Region",'caseload data'!$B:$B,{"licence","community"}))</f>
        <v>0</v>
      </c>
      <c r="T80" s="94" cm="1">
        <f t="array" ref="T80">SUM(SUMIFS('caseload data'!V:V,'caseload data'!$D:$D,"SPO",'caseload data'!$A:$A,"East Midlands Region",'caseload data'!$B:$B,{"licence","community"}))</f>
        <v>0</v>
      </c>
      <c r="U80" s="64"/>
      <c r="V80" s="64"/>
      <c r="W80" s="472"/>
      <c r="X80" s="129" t="s">
        <v>1009</v>
      </c>
      <c r="Y80" s="167" t="e">
        <f t="shared" si="47"/>
        <v>#DIV/0!</v>
      </c>
      <c r="Z80" s="167" t="e">
        <f t="shared" si="47"/>
        <v>#DIV/0!</v>
      </c>
      <c r="AA80" s="167" t="e">
        <f t="shared" si="47"/>
        <v>#DIV/0!</v>
      </c>
      <c r="AB80" s="167" t="e">
        <f t="shared" si="47"/>
        <v>#DIV/0!</v>
      </c>
      <c r="AC80" s="167" t="e">
        <f t="shared" si="48"/>
        <v>#DIV/0!</v>
      </c>
      <c r="AD80" s="167" t="e">
        <f t="shared" si="49"/>
        <v>#DIV/0!</v>
      </c>
      <c r="AE80" s="167" t="e">
        <f t="shared" si="46"/>
        <v>#DIV/0!</v>
      </c>
      <c r="AF80" s="167" t="e">
        <f t="shared" si="46"/>
        <v>#DIV/0!</v>
      </c>
      <c r="AG80" s="167" t="e">
        <f t="shared" si="46"/>
        <v>#DIV/0!</v>
      </c>
      <c r="AH80" s="167" t="e">
        <f t="shared" si="46"/>
        <v>#DIV/0!</v>
      </c>
      <c r="AI80" s="167" t="e">
        <f t="shared" si="46"/>
        <v>#DIV/0!</v>
      </c>
      <c r="AJ80" s="167" t="e">
        <f t="shared" si="46"/>
        <v>#DIV/0!</v>
      </c>
      <c r="AK80" s="167" t="e">
        <f t="shared" si="46"/>
        <v>#DIV/0!</v>
      </c>
      <c r="AL80" s="167" t="e">
        <f t="shared" si="46"/>
        <v>#DIV/0!</v>
      </c>
      <c r="AM80" s="167" t="e">
        <f t="shared" si="46"/>
        <v>#DIV/0!</v>
      </c>
      <c r="AN80" s="167" t="e">
        <f t="shared" si="46"/>
        <v>#DIV/0!</v>
      </c>
      <c r="AO80" s="167" t="e">
        <f t="shared" si="46"/>
        <v>#DIV/0!</v>
      </c>
    </row>
    <row r="81" spans="2:41" x14ac:dyDescent="0.15">
      <c r="B81" s="479"/>
      <c r="C81" s="130" t="s">
        <v>1344</v>
      </c>
      <c r="D81" s="370" cm="1">
        <f t="array" ref="D81">SUM(SUMIFS('caseload data'!E:E,'caseload data'!$D:$D,"DMY",'caseload data'!$A:$A,"East Midlands Region",'caseload data'!$B:$B,{"licence","community"}))</f>
        <v>0</v>
      </c>
      <c r="E81" s="370" cm="1">
        <f t="array" ref="E81">SUM(SUMIFS('caseload data'!F:F,'caseload data'!$D:$D,"DMY",'caseload data'!$A:$A,"East Midlands Region",'caseload data'!$B:$B,{"licence","community"}))</f>
        <v>0</v>
      </c>
      <c r="F81" s="370" cm="1">
        <f t="array" ref="F81">SUM(SUMIFS('caseload data'!G:G,'caseload data'!$D:$D,"DMY",'caseload data'!$A:$A,"East Midlands Region",'caseload data'!$B:$B,{"licence","community"}))</f>
        <v>0</v>
      </c>
      <c r="G81" s="370" cm="1">
        <f t="array" ref="G81">SUM(SUMIFS('caseload data'!H:H,'caseload data'!$D:$D,"DMY",'caseload data'!$A:$A,"East Midlands Region",'caseload data'!$B:$B,{"licence","community"}))</f>
        <v>0</v>
      </c>
      <c r="H81" s="370" cm="1">
        <f t="array" ref="H81">SUM(SUMIFS('caseload data'!I:I,'caseload data'!$D:$D,"DMY",'caseload data'!$A:$A,"East Midlands Region",'caseload data'!$B:$B,{"licence","community"}))</f>
        <v>0</v>
      </c>
      <c r="I81" s="370" cm="1">
        <f t="array" ref="I81">SUM(SUMIFS('caseload data'!J:J,'caseload data'!$D:$D,"DMY",'caseload data'!$A:$A,"East Midlands Region",'caseload data'!$B:$B,{"licence","community"}))</f>
        <v>0</v>
      </c>
      <c r="J81" s="370" cm="1">
        <f t="array" ref="J81">SUM(SUMIFS('caseload data'!K:K,'caseload data'!$D:$D,"DMY",'caseload data'!$A:$A,"East Midlands Region",'caseload data'!$B:$B,{"licence","community"}))</f>
        <v>0</v>
      </c>
      <c r="K81" s="370" cm="1">
        <f t="array" ref="K81">SUM(SUMIFS('caseload data'!L:L,'caseload data'!$D:$D,"DMY",'caseload data'!$A:$A,"East Midlands Region",'caseload data'!$B:$B,{"licence","community"}))</f>
        <v>0</v>
      </c>
      <c r="L81" s="370" cm="1">
        <f t="array" ref="L81">SUM(SUMIFS('caseload data'!M:M,'caseload data'!$D:$D,"DMY",'caseload data'!$A:$A,"East Midlands Region",'caseload data'!$B:$B,{"licence","community"}))</f>
        <v>0</v>
      </c>
      <c r="M81" s="370" cm="1">
        <f t="array" ref="M81">SUM(SUMIFS('caseload data'!N:N,'caseload data'!$D:$D,"DMY",'caseload data'!$A:$A,"East Midlands Region",'caseload data'!$B:$B,{"licence","community"}))</f>
        <v>0</v>
      </c>
      <c r="N81" s="370" cm="1">
        <f t="array" ref="N81">SUM(SUMIFS('caseload data'!O:O,'caseload data'!$D:$D,"DMY",'caseload data'!$A:$A,"East Midlands Region",'caseload data'!$B:$B,{"licence","community"}))</f>
        <v>0</v>
      </c>
      <c r="O81" s="370" cm="1">
        <f t="array" ref="O81">SUM(SUMIFS('caseload data'!P:P,'caseload data'!$D:$D,"DMY",'caseload data'!$A:$A,"East Midlands Region",'caseload data'!$B:$B,{"licence","community"}))</f>
        <v>0</v>
      </c>
      <c r="P81" s="370" cm="1">
        <f t="array" ref="P81">SUM(SUMIFS('caseload data'!Q:Q,'caseload data'!$D:$D,"DMY",'caseload data'!$A:$A,"East Midlands Region",'caseload data'!$B:$B,{"licence","community"}))</f>
        <v>0</v>
      </c>
      <c r="Q81" s="370" cm="1">
        <f t="array" ref="Q81">SUM(SUMIFS('caseload data'!R:R,'caseload data'!$D:$D,"DMY",'caseload data'!$A:$A,"East Midlands Region",'caseload data'!$B:$B,{"licence","community"}))</f>
        <v>0</v>
      </c>
      <c r="R81" s="370" cm="1">
        <f t="array" ref="R81">SUM(SUMIFS('caseload data'!S:S,'caseload data'!$D:$D,"DMY",'caseload data'!$A:$A,"East Midlands Region",'caseload data'!$B:$B,{"licence","community"}))</f>
        <v>0</v>
      </c>
      <c r="S81" s="370" cm="1">
        <f t="array" ref="S81">SUM(SUMIFS('caseload data'!T:T,'caseload data'!$D:$D,"DMY",'caseload data'!$A:$A,"East Midlands Region",'caseload data'!$B:$B,{"licence","community"}))</f>
        <v>0</v>
      </c>
      <c r="T81" s="94" cm="1">
        <f t="array" ref="T81">SUM(SUMIFS('caseload data'!V:V,'caseload data'!$D:$D,"DMY",'caseload data'!$A:$A,"East Midlands Region",'caseload data'!$B:$B,{"licence","community"}))</f>
        <v>0</v>
      </c>
      <c r="U81" s="64"/>
      <c r="V81" s="64"/>
      <c r="W81" s="473"/>
      <c r="X81" s="130" t="s">
        <v>1344</v>
      </c>
      <c r="Y81" s="167" t="e">
        <f t="shared" si="47"/>
        <v>#DIV/0!</v>
      </c>
      <c r="Z81" s="167" t="e">
        <f t="shared" si="47"/>
        <v>#DIV/0!</v>
      </c>
      <c r="AA81" s="167" t="e">
        <f t="shared" si="47"/>
        <v>#DIV/0!</v>
      </c>
      <c r="AB81" s="167" t="e">
        <f t="shared" si="47"/>
        <v>#DIV/0!</v>
      </c>
      <c r="AC81" s="167" t="e">
        <f t="shared" si="48"/>
        <v>#DIV/0!</v>
      </c>
      <c r="AD81" s="167" t="e">
        <f t="shared" si="49"/>
        <v>#DIV/0!</v>
      </c>
      <c r="AE81" s="167" t="e">
        <f t="shared" si="46"/>
        <v>#DIV/0!</v>
      </c>
      <c r="AF81" s="167" t="e">
        <f t="shared" si="46"/>
        <v>#DIV/0!</v>
      </c>
      <c r="AG81" s="167" t="e">
        <f t="shared" si="46"/>
        <v>#DIV/0!</v>
      </c>
      <c r="AH81" s="167" t="e">
        <f t="shared" si="46"/>
        <v>#DIV/0!</v>
      </c>
      <c r="AI81" s="167" t="e">
        <f t="shared" si="46"/>
        <v>#DIV/0!</v>
      </c>
      <c r="AJ81" s="167" t="e">
        <f t="shared" si="46"/>
        <v>#DIV/0!</v>
      </c>
      <c r="AK81" s="167" t="e">
        <f t="shared" si="46"/>
        <v>#DIV/0!</v>
      </c>
      <c r="AL81" s="167" t="e">
        <f t="shared" si="46"/>
        <v>#DIV/0!</v>
      </c>
      <c r="AM81" s="167" t="e">
        <f t="shared" si="46"/>
        <v>#DIV/0!</v>
      </c>
      <c r="AN81" s="167" t="e">
        <f t="shared" si="46"/>
        <v>#DIV/0!</v>
      </c>
      <c r="AO81" s="167" t="e">
        <f t="shared" si="46"/>
        <v>#DIV/0!</v>
      </c>
    </row>
    <row r="82" spans="2:41" x14ac:dyDescent="0.15">
      <c r="B82" s="471" t="s">
        <v>18</v>
      </c>
      <c r="C82" s="128" t="s">
        <v>1002</v>
      </c>
      <c r="D82" s="94" cm="1">
        <f t="array" ref="D82">SUM(SUMIFS('caseload data'!E:E,'caseload data'!$D:$D,"PO",'caseload data'!$A:$A,_xlfn.SINGLE('national caseload'!$B$82:$B$84),'caseload data'!$B:$B,{"licence","community"}))</f>
        <v>0</v>
      </c>
      <c r="E82" s="94" cm="1">
        <f t="array" ref="E82">SUM(SUMIFS('caseload data'!F:F,'caseload data'!$D:$D,"PO",'caseload data'!$A:$A,_xlfn.SINGLE('national caseload'!$B$82:$B$84),'caseload data'!$B:$B,{"licence","community"}))</f>
        <v>0</v>
      </c>
      <c r="F82" s="94" cm="1">
        <f t="array" ref="F82">SUM(SUMIFS('caseload data'!G:G,'caseload data'!$D:$D,"PO",'caseload data'!$A:$A,_xlfn.SINGLE('national caseload'!$B$82:$B$84),'caseload data'!$B:$B,{"licence","community"}))</f>
        <v>0</v>
      </c>
      <c r="G82" s="94" cm="1">
        <f t="array" ref="G82">SUM(SUMIFS('caseload data'!H:H,'caseload data'!$D:$D,"PO",'caseload data'!$A:$A,_xlfn.SINGLE('national caseload'!$B$82:$B$84),'caseload data'!$B:$B,{"licence","community"}))</f>
        <v>0</v>
      </c>
      <c r="H82" s="94" cm="1">
        <f t="array" ref="H82">SUM(SUMIFS('caseload data'!I:I,'caseload data'!$D:$D,"PO",'caseload data'!$A:$A,_xlfn.SINGLE('national caseload'!$B$82:$B$84),'caseload data'!$B:$B,{"licence","community"}))</f>
        <v>0</v>
      </c>
      <c r="I82" s="94" cm="1">
        <f t="array" ref="I82">SUM(SUMIFS('caseload data'!J:J,'caseload data'!$D:$D,"PO",'caseload data'!$A:$A,_xlfn.SINGLE('national caseload'!$B$82:$B$84),'caseload data'!$B:$B,{"licence","community"}))</f>
        <v>0</v>
      </c>
      <c r="J82" s="94" cm="1">
        <f t="array" ref="J82">SUM(SUMIFS('caseload data'!K:K,'caseload data'!$D:$D,"PO",'caseload data'!$A:$A,_xlfn.SINGLE('national caseload'!$B$82:$B$84),'caseload data'!$B:$B,{"licence","community"}))</f>
        <v>0</v>
      </c>
      <c r="K82" s="94" cm="1">
        <f t="array" ref="K82">SUM(SUMIFS('caseload data'!L:L,'caseload data'!$D:$D,"PO",'caseload data'!$A:$A,_xlfn.SINGLE('national caseload'!$B$82:$B$84),'caseload data'!$B:$B,{"licence","community"}))</f>
        <v>0</v>
      </c>
      <c r="L82" s="94" cm="1">
        <f t="array" ref="L82">SUM(SUMIFS('caseload data'!M:M,'caseload data'!$D:$D,"PO",'caseload data'!$A:$A,_xlfn.SINGLE('national caseload'!$B$82:$B$84),'caseload data'!$B:$B,{"licence","community"}))</f>
        <v>0</v>
      </c>
      <c r="M82" s="94" cm="1">
        <f t="array" ref="M82">SUM(SUMIFS('caseload data'!N:N,'caseload data'!$D:$D,"PO",'caseload data'!$A:$A,_xlfn.SINGLE('national caseload'!$B$82:$B$84),'caseload data'!$B:$B,{"licence","community"}))</f>
        <v>0</v>
      </c>
      <c r="N82" s="94" cm="1">
        <f t="array" ref="N82">SUM(SUMIFS('caseload data'!O:O,'caseload data'!$D:$D,"PO",'caseload data'!$A:$A,_xlfn.SINGLE('national caseload'!$B$82:$B$84),'caseload data'!$B:$B,{"licence","community"}))</f>
        <v>0</v>
      </c>
      <c r="O82" s="94" cm="1">
        <f t="array" ref="O82">SUM(SUMIFS('caseload data'!P:P,'caseload data'!$D:$D,"PO",'caseload data'!$A:$A,_xlfn.SINGLE('national caseload'!$B$82:$B$84),'caseload data'!$B:$B,{"licence","community"}))</f>
        <v>0</v>
      </c>
      <c r="P82" s="94" cm="1">
        <f t="array" ref="P82">SUM(SUMIFS('caseload data'!Q:Q,'caseload data'!$D:$D,"PO",'caseload data'!$A:$A,_xlfn.SINGLE('national caseload'!$B$82:$B$84),'caseload data'!$B:$B,{"licence","community"}))</f>
        <v>0</v>
      </c>
      <c r="Q82" s="94" cm="1">
        <f t="array" ref="Q82">SUM(SUMIFS('caseload data'!R:R,'caseload data'!$D:$D,"PO",'caseload data'!$A:$A,_xlfn.SINGLE('national caseload'!$B$82:$B$84),'caseload data'!$B:$B,{"licence","community"}))</f>
        <v>0</v>
      </c>
      <c r="R82" s="94" cm="1">
        <f t="array" ref="R82">SUM(SUMIFS('caseload data'!S:S,'caseload data'!$D:$D,"PO",'caseload data'!$A:$A,_xlfn.SINGLE('national caseload'!$B$82:$B$84),'caseload data'!$B:$B,{"licence","community"}))</f>
        <v>0</v>
      </c>
      <c r="S82" s="94" cm="1">
        <f t="array" ref="S82">SUM(SUMIFS('caseload data'!T:T,'caseload data'!$D:$D,"PO",'caseload data'!$A:$A,_xlfn.SINGLE('national caseload'!$B$82:$B$84),'caseload data'!$B:$B,{"licence","community"}))</f>
        <v>0</v>
      </c>
      <c r="T82" s="94">
        <f>SUM(SUMIFS('caseload data'!V:V,'caseload data'!D:D,"PO",'caseload data'!A:A,'national caseload'!B82:B84,'caseload data'!B:B,{"licence","community"}))</f>
        <v>0</v>
      </c>
      <c r="U82" s="64"/>
      <c r="V82" s="64"/>
      <c r="W82" s="471" t="s">
        <v>18</v>
      </c>
      <c r="X82" s="128" t="s">
        <v>1002</v>
      </c>
      <c r="Y82" s="167" t="e">
        <f>SUM(D82)/SUM(D$82:D$86)</f>
        <v>#DIV/0!</v>
      </c>
      <c r="Z82" s="167" t="e">
        <f t="shared" ref="Z82:AO86" si="50">SUM(E82)/SUM(E$82:E$86)</f>
        <v>#DIV/0!</v>
      </c>
      <c r="AA82" s="167" t="e">
        <f t="shared" si="50"/>
        <v>#DIV/0!</v>
      </c>
      <c r="AB82" s="167" t="e">
        <f t="shared" si="50"/>
        <v>#DIV/0!</v>
      </c>
      <c r="AC82" s="167" t="e">
        <f t="shared" si="50"/>
        <v>#DIV/0!</v>
      </c>
      <c r="AD82" s="167" t="e">
        <f t="shared" si="50"/>
        <v>#DIV/0!</v>
      </c>
      <c r="AE82" s="167" t="e">
        <f t="shared" si="50"/>
        <v>#DIV/0!</v>
      </c>
      <c r="AF82" s="167" t="e">
        <f t="shared" si="50"/>
        <v>#DIV/0!</v>
      </c>
      <c r="AG82" s="167" t="e">
        <f t="shared" si="50"/>
        <v>#DIV/0!</v>
      </c>
      <c r="AH82" s="167" t="e">
        <f t="shared" si="50"/>
        <v>#DIV/0!</v>
      </c>
      <c r="AI82" s="167" t="e">
        <f t="shared" si="50"/>
        <v>#DIV/0!</v>
      </c>
      <c r="AJ82" s="167" t="e">
        <f t="shared" si="50"/>
        <v>#DIV/0!</v>
      </c>
      <c r="AK82" s="167" t="e">
        <f t="shared" si="50"/>
        <v>#DIV/0!</v>
      </c>
      <c r="AL82" s="167" t="e">
        <f t="shared" si="50"/>
        <v>#DIV/0!</v>
      </c>
      <c r="AM82" s="167" t="e">
        <f t="shared" si="50"/>
        <v>#DIV/0!</v>
      </c>
      <c r="AN82" s="167" t="e">
        <f t="shared" si="50"/>
        <v>#DIV/0!</v>
      </c>
      <c r="AO82" s="167" t="e">
        <f t="shared" si="50"/>
        <v>#DIV/0!</v>
      </c>
    </row>
    <row r="83" spans="2:41" x14ac:dyDescent="0.15">
      <c r="B83" s="472"/>
      <c r="C83" s="129" t="s">
        <v>1007</v>
      </c>
      <c r="D83" s="94" cm="1">
        <f t="array" ref="D83">SUM(SUMIFS('caseload data'!E:E,'caseload data'!$D:$D,"PSO",'caseload data'!$A:$A,"East of England",'caseload data'!$B:$B,{"licence","community"}))</f>
        <v>0</v>
      </c>
      <c r="E83" s="94" cm="1">
        <f t="array" ref="E83">SUM(SUMIFS('caseload data'!F:F,'caseload data'!$D:$D,"PSO",'caseload data'!$A:$A,"East of England",'caseload data'!$B:$B,{"licence","community"}))</f>
        <v>0</v>
      </c>
      <c r="F83" s="94" cm="1">
        <f t="array" ref="F83">SUM(SUMIFS('caseload data'!G:G,'caseload data'!$D:$D,"PSO",'caseload data'!$A:$A,"East of England",'caseload data'!$B:$B,{"licence","community"}))</f>
        <v>0</v>
      </c>
      <c r="G83" s="94" cm="1">
        <f t="array" ref="G83">SUM(SUMIFS('caseload data'!H:H,'caseload data'!$D:$D,"PSO",'caseload data'!$A:$A,"East of England",'caseload data'!$B:$B,{"licence","community"}))</f>
        <v>0</v>
      </c>
      <c r="H83" s="94" cm="1">
        <f t="array" ref="H83">SUM(SUMIFS('caseload data'!I:I,'caseload data'!$D:$D,"PSO",'caseload data'!$A:$A,"East of England",'caseload data'!$B:$B,{"licence","community"}))</f>
        <v>0</v>
      </c>
      <c r="I83" s="94" cm="1">
        <f t="array" ref="I83">SUM(SUMIFS('caseload data'!J:J,'caseload data'!$D:$D,"PSO",'caseload data'!$A:$A,"East of England",'caseload data'!$B:$B,{"licence","community"}))</f>
        <v>0</v>
      </c>
      <c r="J83" s="94" cm="1">
        <f t="array" ref="J83">SUM(SUMIFS('caseload data'!K:K,'caseload data'!$D:$D,"PSO",'caseload data'!$A:$A,"East of England",'caseload data'!$B:$B,{"licence","community"}))</f>
        <v>0</v>
      </c>
      <c r="K83" s="94" cm="1">
        <f t="array" ref="K83">SUM(SUMIFS('caseload data'!L:L,'caseload data'!$D:$D,"PSO",'caseload data'!$A:$A,"East of England",'caseload data'!$B:$B,{"licence","community"}))</f>
        <v>0</v>
      </c>
      <c r="L83" s="94" cm="1">
        <f t="array" ref="L83">SUM(SUMIFS('caseload data'!M:M,'caseload data'!$D:$D,"PSO",'caseload data'!$A:$A,"East of England",'caseload data'!$B:$B,{"licence","community"}))</f>
        <v>0</v>
      </c>
      <c r="M83" s="94" cm="1">
        <f t="array" ref="M83">SUM(SUMIFS('caseload data'!N:N,'caseload data'!$D:$D,"PSO",'caseload data'!$A:$A,"East of England",'caseload data'!$B:$B,{"licence","community"}))</f>
        <v>0</v>
      </c>
      <c r="N83" s="94" cm="1">
        <f t="array" ref="N83">SUM(SUMIFS('caseload data'!O:O,'caseload data'!$D:$D,"PSO",'caseload data'!$A:$A,"East of England",'caseload data'!$B:$B,{"licence","community"}))</f>
        <v>0</v>
      </c>
      <c r="O83" s="94" cm="1">
        <f t="array" ref="O83">SUM(SUMIFS('caseload data'!P:P,'caseload data'!$D:$D,"PSO",'caseload data'!$A:$A,"East of England",'caseload data'!$B:$B,{"licence","community"}))</f>
        <v>0</v>
      </c>
      <c r="P83" s="94" cm="1">
        <f t="array" ref="P83">SUM(SUMIFS('caseload data'!Q:Q,'caseload data'!$D:$D,"PSO",'caseload data'!$A:$A,"East of England",'caseload data'!$B:$B,{"licence","community"}))</f>
        <v>0</v>
      </c>
      <c r="Q83" s="94" cm="1">
        <f t="array" ref="Q83">SUM(SUMIFS('caseload data'!R:R,'caseload data'!$D:$D,"PSO",'caseload data'!$A:$A,"East of England",'caseload data'!$B:$B,{"licence","community"}))</f>
        <v>0</v>
      </c>
      <c r="R83" s="94" cm="1">
        <f t="array" ref="R83">SUM(SUMIFS('caseload data'!S:S,'caseload data'!$D:$D,"PSO",'caseload data'!$A:$A,"East of England",'caseload data'!$B:$B,{"licence","community"}))</f>
        <v>0</v>
      </c>
      <c r="S83" s="94" cm="1">
        <f t="array" ref="S83">SUM(SUMIFS('caseload data'!T:T,'caseload data'!$D:$D,"PSO",'caseload data'!$A:$A,"East of England",'caseload data'!$B:$B,{"licence","community"}))</f>
        <v>0</v>
      </c>
      <c r="T83" s="94" cm="1">
        <f t="array" ref="T83">SUM(SUMIFS('caseload data'!V:V,'caseload data'!D:D,"PSO",'caseload data'!A:A,"East of England",'caseload data'!B:B,{"licence","community"}))</f>
        <v>0</v>
      </c>
      <c r="U83" s="64"/>
      <c r="V83" s="64"/>
      <c r="W83" s="472"/>
      <c r="X83" s="129" t="s">
        <v>1007</v>
      </c>
      <c r="Y83" s="167" t="e">
        <f t="shared" ref="Y83:Y86" si="51">SUM(D83)/SUM(D$82:D$86)</f>
        <v>#DIV/0!</v>
      </c>
      <c r="Z83" s="167" t="e">
        <f t="shared" si="50"/>
        <v>#DIV/0!</v>
      </c>
      <c r="AA83" s="167" t="e">
        <f t="shared" si="50"/>
        <v>#DIV/0!</v>
      </c>
      <c r="AB83" s="167" t="e">
        <f t="shared" si="50"/>
        <v>#DIV/0!</v>
      </c>
      <c r="AC83" s="167" t="e">
        <f t="shared" si="50"/>
        <v>#DIV/0!</v>
      </c>
      <c r="AD83" s="167" t="e">
        <f t="shared" si="50"/>
        <v>#DIV/0!</v>
      </c>
      <c r="AE83" s="167" t="e">
        <f t="shared" si="50"/>
        <v>#DIV/0!</v>
      </c>
      <c r="AF83" s="167" t="e">
        <f t="shared" si="50"/>
        <v>#DIV/0!</v>
      </c>
      <c r="AG83" s="167" t="e">
        <f t="shared" si="50"/>
        <v>#DIV/0!</v>
      </c>
      <c r="AH83" s="167" t="e">
        <f t="shared" si="50"/>
        <v>#DIV/0!</v>
      </c>
      <c r="AI83" s="167" t="e">
        <f t="shared" si="50"/>
        <v>#DIV/0!</v>
      </c>
      <c r="AJ83" s="167" t="e">
        <f t="shared" si="50"/>
        <v>#DIV/0!</v>
      </c>
      <c r="AK83" s="167" t="e">
        <f t="shared" si="50"/>
        <v>#DIV/0!</v>
      </c>
      <c r="AL83" s="167" t="e">
        <f t="shared" si="50"/>
        <v>#DIV/0!</v>
      </c>
      <c r="AM83" s="167" t="e">
        <f t="shared" si="50"/>
        <v>#DIV/0!</v>
      </c>
      <c r="AN83" s="167" t="e">
        <f t="shared" si="50"/>
        <v>#DIV/0!</v>
      </c>
      <c r="AO83" s="167" t="e">
        <f t="shared" si="50"/>
        <v>#DIV/0!</v>
      </c>
    </row>
    <row r="84" spans="2:41" x14ac:dyDescent="0.15">
      <c r="B84" s="472"/>
      <c r="C84" s="129" t="s">
        <v>1008</v>
      </c>
      <c r="D84" s="94" cm="1">
        <f t="array" ref="D84">SUM(SUMIFS('caseload data'!E:E,'caseload data'!$D:$D,"TPO",'caseload data'!$A:$A,"East of England",'caseload data'!$B:$B,{"licence","community"}))</f>
        <v>0</v>
      </c>
      <c r="E84" s="94" cm="1">
        <f t="array" ref="E84">SUM(SUMIFS('caseload data'!F:F,'caseload data'!$D:$D,"TPO",'caseload data'!$A:$A,"East of England",'caseload data'!$B:$B,{"licence","community"}))</f>
        <v>0</v>
      </c>
      <c r="F84" s="94" cm="1">
        <f t="array" ref="F84">SUM(SUMIFS('caseload data'!G:G,'caseload data'!$D:$D,"TPO",'caseload data'!$A:$A,"East of England",'caseload data'!$B:$B,{"licence","community"}))</f>
        <v>0</v>
      </c>
      <c r="G84" s="94" cm="1">
        <f t="array" ref="G84">SUM(SUMIFS('caseload data'!H:H,'caseload data'!$D:$D,"TPO",'caseload data'!$A:$A,"East of England",'caseload data'!$B:$B,{"licence","community"}))</f>
        <v>0</v>
      </c>
      <c r="H84" s="94" cm="1">
        <f t="array" ref="H84">SUM(SUMIFS('caseload data'!I:I,'caseload data'!$D:$D,"TPO",'caseload data'!$A:$A,"East of England",'caseload data'!$B:$B,{"licence","community"}))</f>
        <v>0</v>
      </c>
      <c r="I84" s="94" cm="1">
        <f t="array" ref="I84">SUM(SUMIFS('caseload data'!J:J,'caseload data'!$D:$D,"TPO",'caseload data'!$A:$A,"East of England",'caseload data'!$B:$B,{"licence","community"}))</f>
        <v>0</v>
      </c>
      <c r="J84" s="94" cm="1">
        <f t="array" ref="J84">SUM(SUMIFS('caseload data'!K:K,'caseload data'!$D:$D,"TPO",'caseload data'!$A:$A,"East of England",'caseload data'!$B:$B,{"licence","community"}))</f>
        <v>0</v>
      </c>
      <c r="K84" s="94" cm="1">
        <f t="array" ref="K84">SUM(SUMIFS('caseload data'!L:L,'caseload data'!$D:$D,"TPO",'caseload data'!$A:$A,"East of England",'caseload data'!$B:$B,{"licence","community"}))</f>
        <v>0</v>
      </c>
      <c r="L84" s="94" cm="1">
        <f t="array" ref="L84">SUM(SUMIFS('caseload data'!M:M,'caseload data'!$D:$D,"TPO",'caseload data'!$A:$A,"East of England",'caseload data'!$B:$B,{"licence","community"}))</f>
        <v>0</v>
      </c>
      <c r="M84" s="94" cm="1">
        <f t="array" ref="M84">SUM(SUMIFS('caseload data'!N:N,'caseload data'!$D:$D,"TPO",'caseload data'!$A:$A,"East of England",'caseload data'!$B:$B,{"licence","community"}))</f>
        <v>0</v>
      </c>
      <c r="N84" s="94" cm="1">
        <f t="array" ref="N84">SUM(SUMIFS('caseload data'!O:O,'caseload data'!$D:$D,"TPO",'caseload data'!$A:$A,"East of England",'caseload data'!$B:$B,{"licence","community"}))</f>
        <v>0</v>
      </c>
      <c r="O84" s="94" cm="1">
        <f t="array" ref="O84">SUM(SUMIFS('caseload data'!P:P,'caseload data'!$D:$D,"TPO",'caseload data'!$A:$A,"East of England",'caseload data'!$B:$B,{"licence","community"}))</f>
        <v>0</v>
      </c>
      <c r="P84" s="94" cm="1">
        <f t="array" ref="P84">SUM(SUMIFS('caseload data'!Q:Q,'caseload data'!$D:$D,"TPO",'caseload data'!$A:$A,"East of England",'caseload data'!$B:$B,{"licence","community"}))</f>
        <v>0</v>
      </c>
      <c r="Q84" s="94" cm="1">
        <f t="array" ref="Q84">SUM(SUMIFS('caseload data'!R:R,'caseload data'!$D:$D,"TPO",'caseload data'!$A:$A,"East of England",'caseload data'!$B:$B,{"licence","community"}))</f>
        <v>0</v>
      </c>
      <c r="R84" s="94" cm="1">
        <f t="array" ref="R84">SUM(SUMIFS('caseload data'!S:S,'caseload data'!$D:$D,"TPO",'caseload data'!$A:$A,"East of England",'caseload data'!$B:$B,{"licence","community"}))</f>
        <v>0</v>
      </c>
      <c r="S84" s="94" cm="1">
        <f t="array" ref="S84">SUM(SUMIFS('caseload data'!T:T,'caseload data'!$D:$D,"TPO",'caseload data'!$A:$A,"East of England",'caseload data'!$B:$B,{"licence","community"}))</f>
        <v>0</v>
      </c>
      <c r="T84" s="94" cm="1">
        <f t="array" ref="T84">SUM(SUMIFS('caseload data'!V:V,'caseload data'!D:D,"TPO",'caseload data'!A:A,"East of England",'caseload data'!B:B,{"licence","community"}))</f>
        <v>0</v>
      </c>
      <c r="U84" s="64"/>
      <c r="V84" s="64"/>
      <c r="W84" s="472"/>
      <c r="X84" s="129" t="s">
        <v>1008</v>
      </c>
      <c r="Y84" s="167" t="e">
        <f t="shared" si="51"/>
        <v>#DIV/0!</v>
      </c>
      <c r="Z84" s="167" t="e">
        <f t="shared" si="50"/>
        <v>#DIV/0!</v>
      </c>
      <c r="AA84" s="167" t="e">
        <f t="shared" si="50"/>
        <v>#DIV/0!</v>
      </c>
      <c r="AB84" s="167" t="e">
        <f t="shared" si="50"/>
        <v>#DIV/0!</v>
      </c>
      <c r="AC84" s="167" t="e">
        <f t="shared" si="50"/>
        <v>#DIV/0!</v>
      </c>
      <c r="AD84" s="167" t="e">
        <f t="shared" si="50"/>
        <v>#DIV/0!</v>
      </c>
      <c r="AE84" s="167" t="e">
        <f t="shared" si="50"/>
        <v>#DIV/0!</v>
      </c>
      <c r="AF84" s="167" t="e">
        <f t="shared" si="50"/>
        <v>#DIV/0!</v>
      </c>
      <c r="AG84" s="167" t="e">
        <f t="shared" si="50"/>
        <v>#DIV/0!</v>
      </c>
      <c r="AH84" s="167" t="e">
        <f t="shared" si="50"/>
        <v>#DIV/0!</v>
      </c>
      <c r="AI84" s="167" t="e">
        <f t="shared" si="50"/>
        <v>#DIV/0!</v>
      </c>
      <c r="AJ84" s="167" t="e">
        <f t="shared" si="50"/>
        <v>#DIV/0!</v>
      </c>
      <c r="AK84" s="167" t="e">
        <f t="shared" si="50"/>
        <v>#DIV/0!</v>
      </c>
      <c r="AL84" s="167" t="e">
        <f t="shared" si="50"/>
        <v>#DIV/0!</v>
      </c>
      <c r="AM84" s="167" t="e">
        <f t="shared" si="50"/>
        <v>#DIV/0!</v>
      </c>
      <c r="AN84" s="167" t="e">
        <f t="shared" si="50"/>
        <v>#DIV/0!</v>
      </c>
      <c r="AO84" s="167" t="e">
        <f t="shared" si="50"/>
        <v>#DIV/0!</v>
      </c>
    </row>
    <row r="85" spans="2:41" x14ac:dyDescent="0.15">
      <c r="B85" s="472"/>
      <c r="C85" s="129" t="s">
        <v>1009</v>
      </c>
      <c r="D85" s="94" cm="1">
        <f t="array" ref="D85">SUM(SUMIFS('caseload data'!E:E,'caseload data'!$D:$D,"SPO",'caseload data'!$A:$A,"East of England",'caseload data'!$B:$B,{"licence","community"}))</f>
        <v>0</v>
      </c>
      <c r="E85" s="94" cm="1">
        <f t="array" ref="E85">SUM(SUMIFS('caseload data'!F:F,'caseload data'!$D:$D,"SPO",'caseload data'!$A:$A,"East of England",'caseload data'!$B:$B,{"licence","community"}))</f>
        <v>0</v>
      </c>
      <c r="F85" s="94" cm="1">
        <f t="array" ref="F85">SUM(SUMIFS('caseload data'!G:G,'caseload data'!$D:$D,"SPO",'caseload data'!$A:$A,"East of England",'caseload data'!$B:$B,{"licence","community"}))</f>
        <v>0</v>
      </c>
      <c r="G85" s="94" cm="1">
        <f t="array" ref="G85">SUM(SUMIFS('caseload data'!H:H,'caseload data'!$D:$D,"SPO",'caseload data'!$A:$A,"East of England",'caseload data'!$B:$B,{"licence","community"}))</f>
        <v>0</v>
      </c>
      <c r="H85" s="94" cm="1">
        <f t="array" ref="H85">SUM(SUMIFS('caseload data'!I:I,'caseload data'!$D:$D,"SPO",'caseload data'!$A:$A,"East of England",'caseload data'!$B:$B,{"licence","community"}))</f>
        <v>0</v>
      </c>
      <c r="I85" s="94" cm="1">
        <f t="array" ref="I85">SUM(SUMIFS('caseload data'!J:J,'caseload data'!$D:$D,"SPO",'caseload data'!$A:$A,"East of England",'caseload data'!$B:$B,{"licence","community"}))</f>
        <v>0</v>
      </c>
      <c r="J85" s="94" cm="1">
        <f t="array" ref="J85">SUM(SUMIFS('caseload data'!K:K,'caseload data'!$D:$D,"SPO",'caseload data'!$A:$A,"East of England",'caseload data'!$B:$B,{"licence","community"}))</f>
        <v>0</v>
      </c>
      <c r="K85" s="94" cm="1">
        <f t="array" ref="K85">SUM(SUMIFS('caseload data'!L:L,'caseload data'!$D:$D,"SPO",'caseload data'!$A:$A,"East of England",'caseload data'!$B:$B,{"licence","community"}))</f>
        <v>0</v>
      </c>
      <c r="L85" s="94" cm="1">
        <f t="array" ref="L85">SUM(SUMIFS('caseload data'!M:M,'caseload data'!$D:$D,"SPO",'caseload data'!$A:$A,"East of England",'caseload data'!$B:$B,{"licence","community"}))</f>
        <v>0</v>
      </c>
      <c r="M85" s="94" cm="1">
        <f t="array" ref="M85">SUM(SUMIFS('caseload data'!N:N,'caseload data'!$D:$D,"SPO",'caseload data'!$A:$A,"East of England",'caseload data'!$B:$B,{"licence","community"}))</f>
        <v>0</v>
      </c>
      <c r="N85" s="94" cm="1">
        <f t="array" ref="N85">SUM(SUMIFS('caseload data'!O:O,'caseload data'!$D:$D,"SPO",'caseload data'!$A:$A,"East of England",'caseload data'!$B:$B,{"licence","community"}))</f>
        <v>0</v>
      </c>
      <c r="O85" s="94" cm="1">
        <f t="array" ref="O85">SUM(SUMIFS('caseload data'!P:P,'caseload data'!$D:$D,"SPO",'caseload data'!$A:$A,"East of England",'caseload data'!$B:$B,{"licence","community"}))</f>
        <v>0</v>
      </c>
      <c r="P85" s="94" cm="1">
        <f t="array" ref="P85">SUM(SUMIFS('caseload data'!Q:Q,'caseload data'!$D:$D,"SPO",'caseload data'!$A:$A,"East of England",'caseload data'!$B:$B,{"licence","community"}))</f>
        <v>0</v>
      </c>
      <c r="Q85" s="94" cm="1">
        <f t="array" ref="Q85">SUM(SUMIFS('caseload data'!R:R,'caseload data'!$D:$D,"SPO",'caseload data'!$A:$A,"East of England",'caseload data'!$B:$B,{"licence","community"}))</f>
        <v>0</v>
      </c>
      <c r="R85" s="94" cm="1">
        <f t="array" ref="R85">SUM(SUMIFS('caseload data'!S:S,'caseload data'!$D:$D,"SPO",'caseload data'!$A:$A,"East of England",'caseload data'!$B:$B,{"licence","community"}))</f>
        <v>0</v>
      </c>
      <c r="S85" s="94" cm="1">
        <f t="array" ref="S85">SUM(SUMIFS('caseload data'!T:T,'caseload data'!$D:$D,"SPO",'caseload data'!$A:$A,"East of England",'caseload data'!$B:$B,{"licence","community"}))</f>
        <v>0</v>
      </c>
      <c r="T85" s="94" cm="1">
        <f t="array" ref="T85">SUM(SUMIFS('caseload data'!V:V,'caseload data'!$D:$D,"SPO",'caseload data'!$A:$A,"East of England",'caseload data'!$B:$B,{"licence","community"}))</f>
        <v>0</v>
      </c>
      <c r="U85" s="64"/>
      <c r="V85" s="64"/>
      <c r="W85" s="472"/>
      <c r="X85" s="129" t="s">
        <v>1009</v>
      </c>
      <c r="Y85" s="167" t="e">
        <f t="shared" si="51"/>
        <v>#DIV/0!</v>
      </c>
      <c r="Z85" s="167" t="e">
        <f t="shared" si="50"/>
        <v>#DIV/0!</v>
      </c>
      <c r="AA85" s="167" t="e">
        <f t="shared" si="50"/>
        <v>#DIV/0!</v>
      </c>
      <c r="AB85" s="167" t="e">
        <f t="shared" si="50"/>
        <v>#DIV/0!</v>
      </c>
      <c r="AC85" s="167" t="e">
        <f t="shared" si="50"/>
        <v>#DIV/0!</v>
      </c>
      <c r="AD85" s="167" t="e">
        <f t="shared" si="50"/>
        <v>#DIV/0!</v>
      </c>
      <c r="AE85" s="167" t="e">
        <f t="shared" si="50"/>
        <v>#DIV/0!</v>
      </c>
      <c r="AF85" s="167" t="e">
        <f t="shared" si="50"/>
        <v>#DIV/0!</v>
      </c>
      <c r="AG85" s="167" t="e">
        <f t="shared" si="50"/>
        <v>#DIV/0!</v>
      </c>
      <c r="AH85" s="167" t="e">
        <f t="shared" si="50"/>
        <v>#DIV/0!</v>
      </c>
      <c r="AI85" s="167" t="e">
        <f t="shared" si="50"/>
        <v>#DIV/0!</v>
      </c>
      <c r="AJ85" s="167" t="e">
        <f t="shared" si="50"/>
        <v>#DIV/0!</v>
      </c>
      <c r="AK85" s="167" t="e">
        <f t="shared" si="50"/>
        <v>#DIV/0!</v>
      </c>
      <c r="AL85" s="167" t="e">
        <f t="shared" si="50"/>
        <v>#DIV/0!</v>
      </c>
      <c r="AM85" s="167" t="e">
        <f t="shared" si="50"/>
        <v>#DIV/0!</v>
      </c>
      <c r="AN85" s="167" t="e">
        <f t="shared" si="50"/>
        <v>#DIV/0!</v>
      </c>
      <c r="AO85" s="167" t="e">
        <f t="shared" si="50"/>
        <v>#DIV/0!</v>
      </c>
    </row>
    <row r="86" spans="2:41" x14ac:dyDescent="0.15">
      <c r="B86" s="473"/>
      <c r="C86" s="130" t="s">
        <v>1344</v>
      </c>
      <c r="D86" s="94" cm="1">
        <f t="array" ref="D86">SUM(SUMIFS('caseload data'!E:E,'caseload data'!$D:$D,"DMY",'caseload data'!$A:$A,"East of England",'caseload data'!$B:$B,{"licence","community"}))</f>
        <v>0</v>
      </c>
      <c r="E86" s="94" cm="1">
        <f t="array" ref="E86">SUM(SUMIFS('caseload data'!F:F,'caseload data'!$D:$D,"DMY",'caseload data'!$A:$A,"East of England",'caseload data'!$B:$B,{"licence","community"}))</f>
        <v>0</v>
      </c>
      <c r="F86" s="94" cm="1">
        <f t="array" ref="F86">SUM(SUMIFS('caseload data'!G:G,'caseload data'!$D:$D,"DMY",'caseload data'!$A:$A,"East of England",'caseload data'!$B:$B,{"licence","community"}))</f>
        <v>0</v>
      </c>
      <c r="G86" s="94" cm="1">
        <f t="array" ref="G86">SUM(SUMIFS('caseload data'!H:H,'caseload data'!$D:$D,"DMY",'caseload data'!$A:$A,"East of England",'caseload data'!$B:$B,{"licence","community"}))</f>
        <v>0</v>
      </c>
      <c r="H86" s="94" cm="1">
        <f t="array" ref="H86">SUM(SUMIFS('caseload data'!I:I,'caseload data'!$D:$D,"DMY",'caseload data'!$A:$A,"East of England",'caseload data'!$B:$B,{"licence","community"}))</f>
        <v>0</v>
      </c>
      <c r="I86" s="94" cm="1">
        <f t="array" ref="I86">SUM(SUMIFS('caseload data'!J:J,'caseload data'!$D:$D,"DMY",'caseload data'!$A:$A,"East of England",'caseload data'!$B:$B,{"licence","community"}))</f>
        <v>0</v>
      </c>
      <c r="J86" s="94" cm="1">
        <f t="array" ref="J86">SUM(SUMIFS('caseload data'!K:K,'caseload data'!$D:$D,"DMY",'caseload data'!$A:$A,"East of England",'caseload data'!$B:$B,{"licence","community"}))</f>
        <v>0</v>
      </c>
      <c r="K86" s="94" cm="1">
        <f t="array" ref="K86">SUM(SUMIFS('caseload data'!L:L,'caseload data'!$D:$D,"DMY",'caseload data'!$A:$A,"East of England",'caseload data'!$B:$B,{"licence","community"}))</f>
        <v>0</v>
      </c>
      <c r="L86" s="94" cm="1">
        <f t="array" ref="L86">SUM(SUMIFS('caseload data'!M:M,'caseload data'!$D:$D,"DMY",'caseload data'!$A:$A,"East of England",'caseload data'!$B:$B,{"licence","community"}))</f>
        <v>0</v>
      </c>
      <c r="M86" s="94" cm="1">
        <f t="array" ref="M86">SUM(SUMIFS('caseload data'!N:N,'caseload data'!$D:$D,"DMY",'caseload data'!$A:$A,"East of England",'caseload data'!$B:$B,{"licence","community"}))</f>
        <v>0</v>
      </c>
      <c r="N86" s="94" cm="1">
        <f t="array" ref="N86">SUM(SUMIFS('caseload data'!O:O,'caseload data'!$D:$D,"DMY",'caseload data'!$A:$A,"East of England",'caseload data'!$B:$B,{"licence","community"}))</f>
        <v>0</v>
      </c>
      <c r="O86" s="94" cm="1">
        <f t="array" ref="O86">SUM(SUMIFS('caseload data'!P:P,'caseload data'!$D:$D,"DMY",'caseload data'!$A:$A,"East of England",'caseload data'!$B:$B,{"licence","community"}))</f>
        <v>0</v>
      </c>
      <c r="P86" s="94" cm="1">
        <f t="array" ref="P86">SUM(SUMIFS('caseload data'!Q:Q,'caseload data'!$D:$D,"DMY",'caseload data'!$A:$A,"East of England",'caseload data'!$B:$B,{"licence","community"}))</f>
        <v>0</v>
      </c>
      <c r="Q86" s="94" cm="1">
        <f t="array" ref="Q86">SUM(SUMIFS('caseload data'!R:R,'caseload data'!$D:$D,"DMY",'caseload data'!$A:$A,"East of England",'caseload data'!$B:$B,{"licence","community"}))</f>
        <v>0</v>
      </c>
      <c r="R86" s="94" cm="1">
        <f t="array" ref="R86">SUM(SUMIFS('caseload data'!S:S,'caseload data'!$D:$D,"DMY",'caseload data'!$A:$A,"East of England",'caseload data'!$B:$B,{"licence","community"}))</f>
        <v>0</v>
      </c>
      <c r="S86" s="94" cm="1">
        <f t="array" ref="S86">SUM(SUMIFS('caseload data'!T:T,'caseload data'!$D:$D,"DMY",'caseload data'!$A:$A,"East of England",'caseload data'!$B:$B,{"licence","community"}))</f>
        <v>0</v>
      </c>
      <c r="T86" s="94" cm="1">
        <f t="array" ref="T86">SUM(SUMIFS('caseload data'!V:V,'caseload data'!$D:$D,"DMY",'caseload data'!$A:$A,"East of England",'caseload data'!$B:$B,{"licence","community"}))</f>
        <v>0</v>
      </c>
      <c r="U86" s="64"/>
      <c r="V86" s="64"/>
      <c r="W86" s="473"/>
      <c r="X86" s="130" t="s">
        <v>1344</v>
      </c>
      <c r="Y86" s="167" t="e">
        <f t="shared" si="51"/>
        <v>#DIV/0!</v>
      </c>
      <c r="Z86" s="167" t="e">
        <f t="shared" si="50"/>
        <v>#DIV/0!</v>
      </c>
      <c r="AA86" s="167" t="e">
        <f t="shared" si="50"/>
        <v>#DIV/0!</v>
      </c>
      <c r="AB86" s="167" t="e">
        <f t="shared" si="50"/>
        <v>#DIV/0!</v>
      </c>
      <c r="AC86" s="167" t="e">
        <f t="shared" si="50"/>
        <v>#DIV/0!</v>
      </c>
      <c r="AD86" s="167" t="e">
        <f t="shared" si="50"/>
        <v>#DIV/0!</v>
      </c>
      <c r="AE86" s="167" t="e">
        <f t="shared" si="50"/>
        <v>#DIV/0!</v>
      </c>
      <c r="AF86" s="167" t="e">
        <f t="shared" si="50"/>
        <v>#DIV/0!</v>
      </c>
      <c r="AG86" s="167" t="e">
        <f t="shared" si="50"/>
        <v>#DIV/0!</v>
      </c>
      <c r="AH86" s="167" t="e">
        <f t="shared" si="50"/>
        <v>#DIV/0!</v>
      </c>
      <c r="AI86" s="167" t="e">
        <f t="shared" si="50"/>
        <v>#DIV/0!</v>
      </c>
      <c r="AJ86" s="167" t="e">
        <f t="shared" si="50"/>
        <v>#DIV/0!</v>
      </c>
      <c r="AK86" s="167" t="e">
        <f t="shared" si="50"/>
        <v>#DIV/0!</v>
      </c>
      <c r="AL86" s="167" t="e">
        <f t="shared" si="50"/>
        <v>#DIV/0!</v>
      </c>
      <c r="AM86" s="167" t="e">
        <f t="shared" si="50"/>
        <v>#DIV/0!</v>
      </c>
      <c r="AN86" s="167" t="e">
        <f t="shared" si="50"/>
        <v>#DIV/0!</v>
      </c>
      <c r="AO86" s="167" t="e">
        <f t="shared" si="50"/>
        <v>#DIV/0!</v>
      </c>
    </row>
    <row r="87" spans="2:41" x14ac:dyDescent="0.15">
      <c r="B87" s="471" t="s">
        <v>19</v>
      </c>
      <c r="C87" s="128" t="s">
        <v>1002</v>
      </c>
      <c r="D87" s="94" cm="1">
        <f t="array" ref="D87">SUM(SUMIFS('caseload data'!E:E,'caseload data'!$D:$D,"PO",'caseload data'!$A:$A,_xlfn.SINGLE('national caseload'!$B$87:$B$89),'caseload data'!$B:$B,{"licence","community"}))</f>
        <v>0</v>
      </c>
      <c r="E87" s="94" cm="1">
        <f t="array" ref="E87">SUM(SUMIFS('caseload data'!F:F,'caseload data'!$D:$D,"PO",'caseload data'!$A:$A,_xlfn.SINGLE('national caseload'!$B$87:$B$89),'caseload data'!$B:$B,{"licence","community"}))</f>
        <v>0</v>
      </c>
      <c r="F87" s="94" cm="1">
        <f t="array" ref="F87">SUM(SUMIFS('caseload data'!G:G,'caseload data'!$D:$D,"PO",'caseload data'!$A:$A,_xlfn.SINGLE('national caseload'!$B$87:$B$89),'caseload data'!$B:$B,{"licence","community"}))</f>
        <v>0</v>
      </c>
      <c r="G87" s="94" cm="1">
        <f t="array" ref="G87">SUM(SUMIFS('caseload data'!H:H,'caseload data'!$D:$D,"PO",'caseload data'!$A:$A,_xlfn.SINGLE('national caseload'!$B$87:$B$89),'caseload data'!$B:$B,{"licence","community"}))</f>
        <v>0</v>
      </c>
      <c r="H87" s="94" cm="1">
        <f t="array" ref="H87">SUM(SUMIFS('caseload data'!I:I,'caseload data'!$D:$D,"PO",'caseload data'!$A:$A,_xlfn.SINGLE('national caseload'!$B$87:$B$89),'caseload data'!$B:$B,{"licence","community"}))</f>
        <v>0</v>
      </c>
      <c r="I87" s="94" cm="1">
        <f t="array" ref="I87">SUM(SUMIFS('caseload data'!J:J,'caseload data'!$D:$D,"PO",'caseload data'!$A:$A,_xlfn.SINGLE('national caseload'!$B$87:$B$89),'caseload data'!$B:$B,{"licence","community"}))</f>
        <v>0</v>
      </c>
      <c r="J87" s="94" cm="1">
        <f t="array" ref="J87">SUM(SUMIFS('caseload data'!K:K,'caseload data'!$D:$D,"PO",'caseload data'!$A:$A,_xlfn.SINGLE('national caseload'!$B$87:$B$89),'caseload data'!$B:$B,{"licence","community"}))</f>
        <v>0</v>
      </c>
      <c r="K87" s="94" cm="1">
        <f t="array" ref="K87">SUM(SUMIFS('caseload data'!L:L,'caseload data'!$D:$D,"PO",'caseload data'!$A:$A,_xlfn.SINGLE('national caseload'!$B$87:$B$89),'caseload data'!$B:$B,{"licence","community"}))</f>
        <v>0</v>
      </c>
      <c r="L87" s="94" cm="1">
        <f t="array" ref="L87">SUM(SUMIFS('caseload data'!M:M,'caseload data'!$D:$D,"PO",'caseload data'!$A:$A,_xlfn.SINGLE('national caseload'!$B$87:$B$89),'caseload data'!$B:$B,{"licence","community"}))</f>
        <v>0</v>
      </c>
      <c r="M87" s="94" cm="1">
        <f t="array" ref="M87">SUM(SUMIFS('caseload data'!N:N,'caseload data'!$D:$D,"PO",'caseload data'!$A:$A,_xlfn.SINGLE('national caseload'!$B$87:$B$89),'caseload data'!$B:$B,{"licence","community"}))</f>
        <v>0</v>
      </c>
      <c r="N87" s="94" cm="1">
        <f t="array" ref="N87">SUM(SUMIFS('caseload data'!O:O,'caseload data'!$D:$D,"PO",'caseload data'!$A:$A,_xlfn.SINGLE('national caseload'!$B$87:$B$89),'caseload data'!$B:$B,{"licence","community"}))</f>
        <v>0</v>
      </c>
      <c r="O87" s="94" cm="1">
        <f t="array" ref="O87">SUM(SUMIFS('caseload data'!P:P,'caseload data'!$D:$D,"PO",'caseload data'!$A:$A,_xlfn.SINGLE('national caseload'!$B$87:$B$89),'caseload data'!$B:$B,{"licence","community"}))</f>
        <v>0</v>
      </c>
      <c r="P87" s="94" cm="1">
        <f t="array" ref="P87">SUM(SUMIFS('caseload data'!Q:Q,'caseload data'!$D:$D,"PO",'caseload data'!$A:$A,_xlfn.SINGLE('national caseload'!$B$87:$B$89),'caseload data'!$B:$B,{"licence","community"}))</f>
        <v>0</v>
      </c>
      <c r="Q87" s="94" cm="1">
        <f t="array" ref="Q87">SUM(SUMIFS('caseload data'!R:R,'caseload data'!$D:$D,"PO",'caseload data'!$A:$A,_xlfn.SINGLE('national caseload'!$B$87:$B$89),'caseload data'!$B:$B,{"licence","community"}))</f>
        <v>0</v>
      </c>
      <c r="R87" s="94" cm="1">
        <f t="array" ref="R87">SUM(SUMIFS('caseload data'!S:S,'caseload data'!$D:$D,"PO",'caseload data'!$A:$A,_xlfn.SINGLE('national caseload'!$B$87:$B$89),'caseload data'!$B:$B,{"licence","community"}))</f>
        <v>0</v>
      </c>
      <c r="S87" s="94" cm="1">
        <f t="array" ref="S87">SUM(SUMIFS('caseload data'!T:T,'caseload data'!$D:$D,"PO",'caseload data'!$A:$A,_xlfn.SINGLE('national caseload'!$B$87:$B$89),'caseload data'!$B:$B,{"licence","community"}))</f>
        <v>0</v>
      </c>
      <c r="T87" s="94">
        <f>SUM(SUMIFS('caseload data'!V:V,'caseload data'!D:D,"PO",'caseload data'!A:A,'national caseload'!B87:B89,'caseload data'!B:B,{"licence","community"}))</f>
        <v>0</v>
      </c>
      <c r="U87" s="64"/>
      <c r="V87" s="64"/>
      <c r="W87" s="471" t="s">
        <v>19</v>
      </c>
      <c r="X87" s="128" t="s">
        <v>1002</v>
      </c>
      <c r="Y87" s="167" t="e">
        <f>SUM(D87)/SUM(D$87:D$91)</f>
        <v>#DIV/0!</v>
      </c>
      <c r="Z87" s="167" t="e">
        <f t="shared" ref="Z87:AO91" si="52">SUM(E87)/SUM(E$87:E$91)</f>
        <v>#DIV/0!</v>
      </c>
      <c r="AA87" s="167" t="e">
        <f t="shared" si="52"/>
        <v>#DIV/0!</v>
      </c>
      <c r="AB87" s="167" t="e">
        <f t="shared" si="52"/>
        <v>#DIV/0!</v>
      </c>
      <c r="AC87" s="167" t="e">
        <f t="shared" si="52"/>
        <v>#DIV/0!</v>
      </c>
      <c r="AD87" s="167" t="e">
        <f t="shared" si="52"/>
        <v>#DIV/0!</v>
      </c>
      <c r="AE87" s="167" t="e">
        <f t="shared" si="52"/>
        <v>#DIV/0!</v>
      </c>
      <c r="AF87" s="167" t="e">
        <f t="shared" si="52"/>
        <v>#DIV/0!</v>
      </c>
      <c r="AG87" s="167" t="e">
        <f t="shared" si="52"/>
        <v>#DIV/0!</v>
      </c>
      <c r="AH87" s="167" t="e">
        <f t="shared" si="52"/>
        <v>#DIV/0!</v>
      </c>
      <c r="AI87" s="167" t="e">
        <f t="shared" si="52"/>
        <v>#DIV/0!</v>
      </c>
      <c r="AJ87" s="167" t="e">
        <f t="shared" si="52"/>
        <v>#DIV/0!</v>
      </c>
      <c r="AK87" s="167" t="e">
        <f t="shared" si="52"/>
        <v>#DIV/0!</v>
      </c>
      <c r="AL87" s="167" t="e">
        <f t="shared" si="52"/>
        <v>#DIV/0!</v>
      </c>
      <c r="AM87" s="167" t="e">
        <f t="shared" si="52"/>
        <v>#DIV/0!</v>
      </c>
      <c r="AN87" s="167" t="e">
        <f t="shared" si="52"/>
        <v>#DIV/0!</v>
      </c>
      <c r="AO87" s="167" t="e">
        <f t="shared" si="52"/>
        <v>#DIV/0!</v>
      </c>
    </row>
    <row r="88" spans="2:41" x14ac:dyDescent="0.15">
      <c r="B88" s="472"/>
      <c r="C88" s="129" t="s">
        <v>1007</v>
      </c>
      <c r="D88" s="94" cm="1">
        <f t="array" ref="D88">SUM(SUMIFS('caseload data'!E:E,'caseload data'!$D:$D,"PSO",'caseload data'!$A:$A,"Greater Manchester",'caseload data'!$B:$B,{"licence","community"}))</f>
        <v>0</v>
      </c>
      <c r="E88" s="94" cm="1">
        <f t="array" ref="E88">SUM(SUMIFS('caseload data'!F:F,'caseload data'!$D:$D,"PSO",'caseload data'!$A:$A,"Greater Manchester",'caseload data'!$B:$B,{"licence","community"}))</f>
        <v>0</v>
      </c>
      <c r="F88" s="94" cm="1">
        <f t="array" ref="F88">SUM(SUMIFS('caseload data'!G:G,'caseload data'!$D:$D,"PSO",'caseload data'!$A:$A,"Greater Manchester",'caseload data'!$B:$B,{"licence","community"}))</f>
        <v>0</v>
      </c>
      <c r="G88" s="94" cm="1">
        <f t="array" ref="G88">SUM(SUMIFS('caseload data'!H:H,'caseload data'!$D:$D,"PSO",'caseload data'!$A:$A,"Greater Manchester",'caseload data'!$B:$B,{"licence","community"}))</f>
        <v>0</v>
      </c>
      <c r="H88" s="94" cm="1">
        <f t="array" ref="H88">SUM(SUMIFS('caseload data'!I:I,'caseload data'!$D:$D,"PSO",'caseload data'!$A:$A,"Greater Manchester",'caseload data'!$B:$B,{"licence","community"}))</f>
        <v>0</v>
      </c>
      <c r="I88" s="94" cm="1">
        <f t="array" ref="I88">SUM(SUMIFS('caseload data'!J:J,'caseload data'!$D:$D,"PSO",'caseload data'!$A:$A,"Greater Manchester",'caseload data'!$B:$B,{"licence","community"}))</f>
        <v>0</v>
      </c>
      <c r="J88" s="94" cm="1">
        <f t="array" ref="J88">SUM(SUMIFS('caseload data'!K:K,'caseload data'!$D:$D,"PSO",'caseload data'!$A:$A,"Greater Manchester",'caseload data'!$B:$B,{"licence","community"}))</f>
        <v>0</v>
      </c>
      <c r="K88" s="94" cm="1">
        <f t="array" ref="K88">SUM(SUMIFS('caseload data'!L:L,'caseload data'!$D:$D,"PSO",'caseload data'!$A:$A,"Greater Manchester",'caseload data'!$B:$B,{"licence","community"}))</f>
        <v>0</v>
      </c>
      <c r="L88" s="94" cm="1">
        <f t="array" ref="L88">SUM(SUMIFS('caseload data'!M:M,'caseload data'!$D:$D,"PSO",'caseload data'!$A:$A,"Greater Manchester",'caseload data'!$B:$B,{"licence","community"}))</f>
        <v>0</v>
      </c>
      <c r="M88" s="94" cm="1">
        <f t="array" ref="M88">SUM(SUMIFS('caseload data'!N:N,'caseload data'!$D:$D,"PSO",'caseload data'!$A:$A,"Greater Manchester",'caseload data'!$B:$B,{"licence","community"}))</f>
        <v>0</v>
      </c>
      <c r="N88" s="94" cm="1">
        <f t="array" ref="N88">SUM(SUMIFS('caseload data'!O:O,'caseload data'!$D:$D,"PSO",'caseload data'!$A:$A,"Greater Manchester",'caseload data'!$B:$B,{"licence","community"}))</f>
        <v>0</v>
      </c>
      <c r="O88" s="94" cm="1">
        <f t="array" ref="O88">SUM(SUMIFS('caseload data'!P:P,'caseload data'!$D:$D,"PSO",'caseload data'!$A:$A,"Greater Manchester",'caseload data'!$B:$B,{"licence","community"}))</f>
        <v>0</v>
      </c>
      <c r="P88" s="94" cm="1">
        <f t="array" ref="P88">SUM(SUMIFS('caseload data'!Q:Q,'caseload data'!$D:$D,"PSO",'caseload data'!$A:$A,"Greater Manchester",'caseload data'!$B:$B,{"licence","community"}))</f>
        <v>0</v>
      </c>
      <c r="Q88" s="94" cm="1">
        <f t="array" ref="Q88">SUM(SUMIFS('caseload data'!R:R,'caseload data'!$D:$D,"PSO",'caseload data'!$A:$A,"Greater Manchester",'caseload data'!$B:$B,{"licence","community"}))</f>
        <v>0</v>
      </c>
      <c r="R88" s="94" cm="1">
        <f t="array" ref="R88">SUM(SUMIFS('caseload data'!S:S,'caseload data'!$D:$D,"PSO",'caseload data'!$A:$A,"Greater Manchester",'caseload data'!$B:$B,{"licence","community"}))</f>
        <v>0</v>
      </c>
      <c r="S88" s="94" cm="1">
        <f t="array" ref="S88">SUM(SUMIFS('caseload data'!T:T,'caseload data'!$D:$D,"PSO",'caseload data'!$A:$A,"Greater Manchester",'caseload data'!$B:$B,{"licence","community"}))</f>
        <v>0</v>
      </c>
      <c r="T88" s="94" cm="1">
        <f t="array" ref="T88">SUM(SUMIFS('caseload data'!V:V,'caseload data'!D:D,"PSO",'caseload data'!A:A,"Greater Manchester",'caseload data'!B:B,{"licence","community"}))</f>
        <v>0</v>
      </c>
      <c r="U88" s="64"/>
      <c r="V88" s="64"/>
      <c r="W88" s="472"/>
      <c r="X88" s="129" t="s">
        <v>1007</v>
      </c>
      <c r="Y88" s="167" t="e">
        <f t="shared" ref="Y88:Y91" si="53">SUM(D88)/SUM(D$87:D$91)</f>
        <v>#DIV/0!</v>
      </c>
      <c r="Z88" s="167" t="e">
        <f t="shared" si="52"/>
        <v>#DIV/0!</v>
      </c>
      <c r="AA88" s="167" t="e">
        <f t="shared" si="52"/>
        <v>#DIV/0!</v>
      </c>
      <c r="AB88" s="167" t="e">
        <f t="shared" si="52"/>
        <v>#DIV/0!</v>
      </c>
      <c r="AC88" s="167" t="e">
        <f t="shared" si="52"/>
        <v>#DIV/0!</v>
      </c>
      <c r="AD88" s="167" t="e">
        <f t="shared" si="52"/>
        <v>#DIV/0!</v>
      </c>
      <c r="AE88" s="167" t="e">
        <f t="shared" si="52"/>
        <v>#DIV/0!</v>
      </c>
      <c r="AF88" s="167" t="e">
        <f t="shared" si="52"/>
        <v>#DIV/0!</v>
      </c>
      <c r="AG88" s="167" t="e">
        <f t="shared" si="52"/>
        <v>#DIV/0!</v>
      </c>
      <c r="AH88" s="167" t="e">
        <f t="shared" si="52"/>
        <v>#DIV/0!</v>
      </c>
      <c r="AI88" s="167" t="e">
        <f t="shared" si="52"/>
        <v>#DIV/0!</v>
      </c>
      <c r="AJ88" s="167" t="e">
        <f t="shared" si="52"/>
        <v>#DIV/0!</v>
      </c>
      <c r="AK88" s="167" t="e">
        <f t="shared" si="52"/>
        <v>#DIV/0!</v>
      </c>
      <c r="AL88" s="167" t="e">
        <f t="shared" si="52"/>
        <v>#DIV/0!</v>
      </c>
      <c r="AM88" s="167" t="e">
        <f t="shared" si="52"/>
        <v>#DIV/0!</v>
      </c>
      <c r="AN88" s="167" t="e">
        <f t="shared" si="52"/>
        <v>#DIV/0!</v>
      </c>
      <c r="AO88" s="167" t="e">
        <f t="shared" si="52"/>
        <v>#DIV/0!</v>
      </c>
    </row>
    <row r="89" spans="2:41" x14ac:dyDescent="0.15">
      <c r="B89" s="472"/>
      <c r="C89" s="129" t="s">
        <v>1008</v>
      </c>
      <c r="D89" s="94" cm="1">
        <f t="array" ref="D89">SUM(SUMIFS('caseload data'!E:E,'caseload data'!$D:$D,"TPO",'caseload data'!$A:$A,"Greater Manchester",'caseload data'!$B:$B,{"licence","community"}))</f>
        <v>0</v>
      </c>
      <c r="E89" s="94" cm="1">
        <f t="array" ref="E89">SUM(SUMIFS('caseload data'!F:F,'caseload data'!$D:$D,"TPO",'caseload data'!$A:$A,"Greater Manchester",'caseload data'!$B:$B,{"licence","community"}))</f>
        <v>0</v>
      </c>
      <c r="F89" s="94" cm="1">
        <f t="array" ref="F89">SUM(SUMIFS('caseload data'!G:G,'caseload data'!$D:$D,"TPO",'caseload data'!$A:$A,"Greater Manchester",'caseload data'!$B:$B,{"licence","community"}))</f>
        <v>0</v>
      </c>
      <c r="G89" s="94" cm="1">
        <f t="array" ref="G89">SUM(SUMIFS('caseload data'!H:H,'caseload data'!$D:$D,"TPO",'caseload data'!$A:$A,"Greater Manchester",'caseload data'!$B:$B,{"licence","community"}))</f>
        <v>0</v>
      </c>
      <c r="H89" s="94" cm="1">
        <f t="array" ref="H89">SUM(SUMIFS('caseload data'!I:I,'caseload data'!$D:$D,"TPO",'caseload data'!$A:$A,"Greater Manchester",'caseload data'!$B:$B,{"licence","community"}))</f>
        <v>0</v>
      </c>
      <c r="I89" s="94" cm="1">
        <f t="array" ref="I89">SUM(SUMIFS('caseload data'!J:J,'caseload data'!$D:$D,"TPO",'caseload data'!$A:$A,"Greater Manchester",'caseload data'!$B:$B,{"licence","community"}))</f>
        <v>0</v>
      </c>
      <c r="J89" s="94" cm="1">
        <f t="array" ref="J89">SUM(SUMIFS('caseload data'!K:K,'caseload data'!$D:$D,"TPO",'caseload data'!$A:$A,"Greater Manchester",'caseload data'!$B:$B,{"licence","community"}))</f>
        <v>0</v>
      </c>
      <c r="K89" s="94" cm="1">
        <f t="array" ref="K89">SUM(SUMIFS('caseload data'!L:L,'caseload data'!$D:$D,"TPO",'caseload data'!$A:$A,"Greater Manchester",'caseload data'!$B:$B,{"licence","community"}))</f>
        <v>0</v>
      </c>
      <c r="L89" s="94" cm="1">
        <f t="array" ref="L89">SUM(SUMIFS('caseload data'!M:M,'caseload data'!$D:$D,"TPO",'caseload data'!$A:$A,"Greater Manchester",'caseload data'!$B:$B,{"licence","community"}))</f>
        <v>0</v>
      </c>
      <c r="M89" s="94" cm="1">
        <f t="array" ref="M89">SUM(SUMIFS('caseload data'!N:N,'caseload data'!$D:$D,"TPO",'caseload data'!$A:$A,"Greater Manchester",'caseload data'!$B:$B,{"licence","community"}))</f>
        <v>0</v>
      </c>
      <c r="N89" s="94" cm="1">
        <f t="array" ref="N89">SUM(SUMIFS('caseload data'!O:O,'caseload data'!$D:$D,"TPO",'caseload data'!$A:$A,"Greater Manchester",'caseload data'!$B:$B,{"licence","community"}))</f>
        <v>0</v>
      </c>
      <c r="O89" s="94" cm="1">
        <f t="array" ref="O89">SUM(SUMIFS('caseload data'!P:P,'caseload data'!$D:$D,"TPO",'caseload data'!$A:$A,"Greater Manchester",'caseload data'!$B:$B,{"licence","community"}))</f>
        <v>0</v>
      </c>
      <c r="P89" s="94" cm="1">
        <f t="array" ref="P89">SUM(SUMIFS('caseload data'!Q:Q,'caseload data'!$D:$D,"TPO",'caseload data'!$A:$A,"Greater Manchester",'caseload data'!$B:$B,{"licence","community"}))</f>
        <v>0</v>
      </c>
      <c r="Q89" s="94" cm="1">
        <f t="array" ref="Q89">SUM(SUMIFS('caseload data'!R:R,'caseload data'!$D:$D,"TPO",'caseload data'!$A:$A,"Greater Manchester",'caseload data'!$B:$B,{"licence","community"}))</f>
        <v>0</v>
      </c>
      <c r="R89" s="94" cm="1">
        <f t="array" ref="R89">SUM(SUMIFS('caseload data'!S:S,'caseload data'!$D:$D,"TPO",'caseload data'!$A:$A,"Greater Manchester",'caseload data'!$B:$B,{"licence","community"}))</f>
        <v>0</v>
      </c>
      <c r="S89" s="94" cm="1">
        <f t="array" ref="S89">SUM(SUMIFS('caseload data'!T:T,'caseload data'!$D:$D,"TPO",'caseload data'!$A:$A,"Greater Manchester",'caseload data'!$B:$B,{"licence","community"}))</f>
        <v>0</v>
      </c>
      <c r="T89" s="94" cm="1">
        <f t="array" ref="T89">SUM(SUMIFS('caseload data'!V:V,'caseload data'!D:D,"TPO",'caseload data'!A:A,"Greater Manchester",'caseload data'!B:B,{"licence","community"}))</f>
        <v>0</v>
      </c>
      <c r="U89" s="64"/>
      <c r="V89" s="64"/>
      <c r="W89" s="472"/>
      <c r="X89" s="129" t="s">
        <v>1008</v>
      </c>
      <c r="Y89" s="167" t="e">
        <f t="shared" si="53"/>
        <v>#DIV/0!</v>
      </c>
      <c r="Z89" s="167" t="e">
        <f t="shared" si="52"/>
        <v>#DIV/0!</v>
      </c>
      <c r="AA89" s="167" t="e">
        <f t="shared" si="52"/>
        <v>#DIV/0!</v>
      </c>
      <c r="AB89" s="167" t="e">
        <f t="shared" si="52"/>
        <v>#DIV/0!</v>
      </c>
      <c r="AC89" s="167" t="e">
        <f t="shared" si="52"/>
        <v>#DIV/0!</v>
      </c>
      <c r="AD89" s="167" t="e">
        <f t="shared" si="52"/>
        <v>#DIV/0!</v>
      </c>
      <c r="AE89" s="167" t="e">
        <f t="shared" si="52"/>
        <v>#DIV/0!</v>
      </c>
      <c r="AF89" s="167" t="e">
        <f t="shared" si="52"/>
        <v>#DIV/0!</v>
      </c>
      <c r="AG89" s="167" t="e">
        <f t="shared" si="52"/>
        <v>#DIV/0!</v>
      </c>
      <c r="AH89" s="167" t="e">
        <f t="shared" si="52"/>
        <v>#DIV/0!</v>
      </c>
      <c r="AI89" s="167" t="e">
        <f t="shared" si="52"/>
        <v>#DIV/0!</v>
      </c>
      <c r="AJ89" s="167" t="e">
        <f t="shared" si="52"/>
        <v>#DIV/0!</v>
      </c>
      <c r="AK89" s="167" t="e">
        <f t="shared" si="52"/>
        <v>#DIV/0!</v>
      </c>
      <c r="AL89" s="167" t="e">
        <f t="shared" si="52"/>
        <v>#DIV/0!</v>
      </c>
      <c r="AM89" s="167" t="e">
        <f t="shared" si="52"/>
        <v>#DIV/0!</v>
      </c>
      <c r="AN89" s="167" t="e">
        <f t="shared" si="52"/>
        <v>#DIV/0!</v>
      </c>
      <c r="AO89" s="167" t="e">
        <f t="shared" si="52"/>
        <v>#DIV/0!</v>
      </c>
    </row>
    <row r="90" spans="2:41" x14ac:dyDescent="0.15">
      <c r="B90" s="472"/>
      <c r="C90" s="129" t="s">
        <v>1009</v>
      </c>
      <c r="D90" s="94" cm="1">
        <f t="array" ref="D90">SUM(SUMIFS('caseload data'!E:E,'caseload data'!$D:$D,"SPO",'caseload data'!$A:$A,"Greater Manchester",'caseload data'!$B:$B,{"licence","community"}))</f>
        <v>0</v>
      </c>
      <c r="E90" s="94" cm="1">
        <f t="array" ref="E90">SUM(SUMIFS('caseload data'!F:F,'caseload data'!$D:$D,"SPO",'caseload data'!$A:$A,"Greater Manchester",'caseload data'!$B:$B,{"licence","community"}))</f>
        <v>0</v>
      </c>
      <c r="F90" s="94" cm="1">
        <f t="array" ref="F90">SUM(SUMIFS('caseload data'!G:G,'caseload data'!$D:$D,"SPO",'caseload data'!$A:$A,"Greater Manchester",'caseload data'!$B:$B,{"licence","community"}))</f>
        <v>0</v>
      </c>
      <c r="G90" s="94" cm="1">
        <f t="array" ref="G90">SUM(SUMIFS('caseload data'!H:H,'caseload data'!$D:$D,"SPO",'caseload data'!$A:$A,"Greater Manchester",'caseload data'!$B:$B,{"licence","community"}))</f>
        <v>0</v>
      </c>
      <c r="H90" s="94" cm="1">
        <f t="array" ref="H90">SUM(SUMIFS('caseload data'!I:I,'caseload data'!$D:$D,"SPO",'caseload data'!$A:$A,"Greater Manchester",'caseload data'!$B:$B,{"licence","community"}))</f>
        <v>0</v>
      </c>
      <c r="I90" s="94" cm="1">
        <f t="array" ref="I90">SUM(SUMIFS('caseload data'!J:J,'caseload data'!$D:$D,"SPO",'caseload data'!$A:$A,"Greater Manchester",'caseload data'!$B:$B,{"licence","community"}))</f>
        <v>0</v>
      </c>
      <c r="J90" s="94" cm="1">
        <f t="array" ref="J90">SUM(SUMIFS('caseload data'!K:K,'caseload data'!$D:$D,"SPO",'caseload data'!$A:$A,"Greater Manchester",'caseload data'!$B:$B,{"licence","community"}))</f>
        <v>0</v>
      </c>
      <c r="K90" s="94" cm="1">
        <f t="array" ref="K90">SUM(SUMIFS('caseload data'!L:L,'caseload data'!$D:$D,"SPO",'caseload data'!$A:$A,"Greater Manchester",'caseload data'!$B:$B,{"licence","community"}))</f>
        <v>0</v>
      </c>
      <c r="L90" s="94" cm="1">
        <f t="array" ref="L90">SUM(SUMIFS('caseload data'!M:M,'caseload data'!$D:$D,"SPO",'caseload data'!$A:$A,"Greater Manchester",'caseload data'!$B:$B,{"licence","community"}))</f>
        <v>0</v>
      </c>
      <c r="M90" s="94" cm="1">
        <f t="array" ref="M90">SUM(SUMIFS('caseload data'!N:N,'caseload data'!$D:$D,"SPO",'caseload data'!$A:$A,"Greater Manchester",'caseload data'!$B:$B,{"licence","community"}))</f>
        <v>0</v>
      </c>
      <c r="N90" s="94" cm="1">
        <f t="array" ref="N90">SUM(SUMIFS('caseload data'!O:O,'caseload data'!$D:$D,"SPO",'caseload data'!$A:$A,"Greater Manchester",'caseload data'!$B:$B,{"licence","community"}))</f>
        <v>0</v>
      </c>
      <c r="O90" s="94" cm="1">
        <f t="array" ref="O90">SUM(SUMIFS('caseload data'!P:P,'caseload data'!$D:$D,"SPO",'caseload data'!$A:$A,"Greater Manchester",'caseload data'!$B:$B,{"licence","community"}))</f>
        <v>0</v>
      </c>
      <c r="P90" s="94" cm="1">
        <f t="array" ref="P90">SUM(SUMIFS('caseload data'!Q:Q,'caseload data'!$D:$D,"SPO",'caseload data'!$A:$A,"Greater Manchester",'caseload data'!$B:$B,{"licence","community"}))</f>
        <v>0</v>
      </c>
      <c r="Q90" s="94" cm="1">
        <f t="array" ref="Q90">SUM(SUMIFS('caseload data'!R:R,'caseload data'!$D:$D,"SPO",'caseload data'!$A:$A,"Greater Manchester",'caseload data'!$B:$B,{"licence","community"}))</f>
        <v>0</v>
      </c>
      <c r="R90" s="94" cm="1">
        <f t="array" ref="R90">SUM(SUMIFS('caseload data'!S:S,'caseload data'!$D:$D,"SPO",'caseload data'!$A:$A,"Greater Manchester",'caseload data'!$B:$B,{"licence","community"}))</f>
        <v>0</v>
      </c>
      <c r="S90" s="94" cm="1">
        <f t="array" ref="S90">SUM(SUMIFS('caseload data'!T:T,'caseload data'!$D:$D,"SPO",'caseload data'!$A:$A,"Greater Manchester",'caseload data'!$B:$B,{"licence","community"}))</f>
        <v>0</v>
      </c>
      <c r="T90" s="94" cm="1">
        <f t="array" ref="T90">SUM(SUMIFS('caseload data'!V:V,'caseload data'!$D:$D,"SPO",'caseload data'!$A:$A,"Greater Manchester",'caseload data'!$B:$B,{"licence","community"}))</f>
        <v>0</v>
      </c>
      <c r="U90" s="64"/>
      <c r="V90" s="64"/>
      <c r="W90" s="472"/>
      <c r="X90" s="129" t="s">
        <v>1009</v>
      </c>
      <c r="Y90" s="167" t="e">
        <f t="shared" si="53"/>
        <v>#DIV/0!</v>
      </c>
      <c r="Z90" s="167" t="e">
        <f t="shared" si="52"/>
        <v>#DIV/0!</v>
      </c>
      <c r="AA90" s="167" t="e">
        <f t="shared" si="52"/>
        <v>#DIV/0!</v>
      </c>
      <c r="AB90" s="167" t="e">
        <f t="shared" si="52"/>
        <v>#DIV/0!</v>
      </c>
      <c r="AC90" s="167" t="e">
        <f t="shared" si="52"/>
        <v>#DIV/0!</v>
      </c>
      <c r="AD90" s="167" t="e">
        <f t="shared" si="52"/>
        <v>#DIV/0!</v>
      </c>
      <c r="AE90" s="167" t="e">
        <f t="shared" si="52"/>
        <v>#DIV/0!</v>
      </c>
      <c r="AF90" s="167" t="e">
        <f t="shared" si="52"/>
        <v>#DIV/0!</v>
      </c>
      <c r="AG90" s="167" t="e">
        <f t="shared" si="52"/>
        <v>#DIV/0!</v>
      </c>
      <c r="AH90" s="167" t="e">
        <f t="shared" si="52"/>
        <v>#DIV/0!</v>
      </c>
      <c r="AI90" s="167" t="e">
        <f t="shared" si="52"/>
        <v>#DIV/0!</v>
      </c>
      <c r="AJ90" s="167" t="e">
        <f t="shared" si="52"/>
        <v>#DIV/0!</v>
      </c>
      <c r="AK90" s="167" t="e">
        <f t="shared" si="52"/>
        <v>#DIV/0!</v>
      </c>
      <c r="AL90" s="167" t="e">
        <f t="shared" si="52"/>
        <v>#DIV/0!</v>
      </c>
      <c r="AM90" s="167" t="e">
        <f t="shared" si="52"/>
        <v>#DIV/0!</v>
      </c>
      <c r="AN90" s="167" t="e">
        <f t="shared" si="52"/>
        <v>#DIV/0!</v>
      </c>
      <c r="AO90" s="167" t="e">
        <f t="shared" si="52"/>
        <v>#DIV/0!</v>
      </c>
    </row>
    <row r="91" spans="2:41" x14ac:dyDescent="0.15">
      <c r="B91" s="473"/>
      <c r="C91" s="130" t="s">
        <v>1344</v>
      </c>
      <c r="D91" s="94" cm="1">
        <f t="array" ref="D91">SUM(SUMIFS('caseload data'!E:E,'caseload data'!$D:$D,"DMY",'caseload data'!$A:$A,"Greater Manchester",'caseload data'!$B:$B,{"licence","community"}))</f>
        <v>0</v>
      </c>
      <c r="E91" s="94" cm="1">
        <f t="array" ref="E91">SUM(SUMIFS('caseload data'!F:F,'caseload data'!$D:$D,"DMY",'caseload data'!$A:$A,"Greater Manchester",'caseload data'!$B:$B,{"licence","community"}))</f>
        <v>0</v>
      </c>
      <c r="F91" s="94" cm="1">
        <f t="array" ref="F91">SUM(SUMIFS('caseload data'!G:G,'caseload data'!$D:$D,"DMY",'caseload data'!$A:$A,"Greater Manchester",'caseload data'!$B:$B,{"licence","community"}))</f>
        <v>0</v>
      </c>
      <c r="G91" s="94" cm="1">
        <f t="array" ref="G91">SUM(SUMIFS('caseload data'!H:H,'caseload data'!$D:$D,"DMY",'caseload data'!$A:$A,"Greater Manchester",'caseload data'!$B:$B,{"licence","community"}))</f>
        <v>0</v>
      </c>
      <c r="H91" s="94" cm="1">
        <f t="array" ref="H91">SUM(SUMIFS('caseload data'!I:I,'caseload data'!$D:$D,"DMY",'caseload data'!$A:$A,"Greater Manchester",'caseload data'!$B:$B,{"licence","community"}))</f>
        <v>0</v>
      </c>
      <c r="I91" s="94" cm="1">
        <f t="array" ref="I91">SUM(SUMIFS('caseload data'!J:J,'caseload data'!$D:$D,"DMY",'caseload data'!$A:$A,"Greater Manchester",'caseload data'!$B:$B,{"licence","community"}))</f>
        <v>0</v>
      </c>
      <c r="J91" s="94" cm="1">
        <f t="array" ref="J91">SUM(SUMIFS('caseload data'!K:K,'caseload data'!$D:$D,"DMY",'caseload data'!$A:$A,"Greater Manchester",'caseload data'!$B:$B,{"licence","community"}))</f>
        <v>0</v>
      </c>
      <c r="K91" s="94" cm="1">
        <f t="array" ref="K91">SUM(SUMIFS('caseload data'!L:L,'caseload data'!$D:$D,"DMY",'caseload data'!$A:$A,"Greater Manchester",'caseload data'!$B:$B,{"licence","community"}))</f>
        <v>0</v>
      </c>
      <c r="L91" s="94" cm="1">
        <f t="array" ref="L91">SUM(SUMIFS('caseload data'!M:M,'caseload data'!$D:$D,"DMY",'caseload data'!$A:$A,"Greater Manchester",'caseload data'!$B:$B,{"licence","community"}))</f>
        <v>0</v>
      </c>
      <c r="M91" s="94" cm="1">
        <f t="array" ref="M91">SUM(SUMIFS('caseload data'!N:N,'caseload data'!$D:$D,"DMY",'caseload data'!$A:$A,"Greater Manchester",'caseload data'!$B:$B,{"licence","community"}))</f>
        <v>0</v>
      </c>
      <c r="N91" s="94" cm="1">
        <f t="array" ref="N91">SUM(SUMIFS('caseload data'!O:O,'caseload data'!$D:$D,"DMY",'caseload data'!$A:$A,"Greater Manchester",'caseload data'!$B:$B,{"licence","community"}))</f>
        <v>0</v>
      </c>
      <c r="O91" s="94" cm="1">
        <f t="array" ref="O91">SUM(SUMIFS('caseload data'!P:P,'caseload data'!$D:$D,"DMY",'caseload data'!$A:$A,"Greater Manchester",'caseload data'!$B:$B,{"licence","community"}))</f>
        <v>0</v>
      </c>
      <c r="P91" s="94" cm="1">
        <f t="array" ref="P91">SUM(SUMIFS('caseload data'!Q:Q,'caseload data'!$D:$D,"DMY",'caseload data'!$A:$A,"Greater Manchester",'caseload data'!$B:$B,{"licence","community"}))</f>
        <v>0</v>
      </c>
      <c r="Q91" s="94" cm="1">
        <f t="array" ref="Q91">SUM(SUMIFS('caseload data'!R:R,'caseload data'!$D:$D,"DMY",'caseload data'!$A:$A,"Greater Manchester",'caseload data'!$B:$B,{"licence","community"}))</f>
        <v>0</v>
      </c>
      <c r="R91" s="94" cm="1">
        <f t="array" ref="R91">SUM(SUMIFS('caseload data'!S:S,'caseload data'!$D:$D,"DMY",'caseload data'!$A:$A,"Greater Manchester",'caseload data'!$B:$B,{"licence","community"}))</f>
        <v>0</v>
      </c>
      <c r="S91" s="94" cm="1">
        <f t="array" ref="S91">SUM(SUMIFS('caseload data'!T:T,'caseload data'!$D:$D,"DMY",'caseload data'!$A:$A,"Greater Manchester",'caseload data'!$B:$B,{"licence","community"}))</f>
        <v>0</v>
      </c>
      <c r="T91" s="94" cm="1">
        <f t="array" ref="T91">SUM(SUMIFS('caseload data'!V:V,'caseload data'!$D:$D,"DMY",'caseload data'!$A:$A,"Greater Manchester",'caseload data'!$B:$B,{"licence","community"}))</f>
        <v>0</v>
      </c>
      <c r="U91" s="64"/>
      <c r="V91" s="64"/>
      <c r="W91" s="473"/>
      <c r="X91" s="130" t="s">
        <v>1344</v>
      </c>
      <c r="Y91" s="167" t="e">
        <f t="shared" si="53"/>
        <v>#DIV/0!</v>
      </c>
      <c r="Z91" s="167" t="e">
        <f t="shared" si="52"/>
        <v>#DIV/0!</v>
      </c>
      <c r="AA91" s="167" t="e">
        <f t="shared" si="52"/>
        <v>#DIV/0!</v>
      </c>
      <c r="AB91" s="167" t="e">
        <f t="shared" si="52"/>
        <v>#DIV/0!</v>
      </c>
      <c r="AC91" s="167" t="e">
        <f t="shared" si="52"/>
        <v>#DIV/0!</v>
      </c>
      <c r="AD91" s="167" t="e">
        <f t="shared" si="52"/>
        <v>#DIV/0!</v>
      </c>
      <c r="AE91" s="167" t="e">
        <f t="shared" si="52"/>
        <v>#DIV/0!</v>
      </c>
      <c r="AF91" s="167" t="e">
        <f t="shared" si="52"/>
        <v>#DIV/0!</v>
      </c>
      <c r="AG91" s="167" t="e">
        <f t="shared" si="52"/>
        <v>#DIV/0!</v>
      </c>
      <c r="AH91" s="167" t="e">
        <f t="shared" si="52"/>
        <v>#DIV/0!</v>
      </c>
      <c r="AI91" s="167" t="e">
        <f t="shared" si="52"/>
        <v>#DIV/0!</v>
      </c>
      <c r="AJ91" s="167" t="e">
        <f t="shared" si="52"/>
        <v>#DIV/0!</v>
      </c>
      <c r="AK91" s="167" t="e">
        <f t="shared" si="52"/>
        <v>#DIV/0!</v>
      </c>
      <c r="AL91" s="167" t="e">
        <f t="shared" si="52"/>
        <v>#DIV/0!</v>
      </c>
      <c r="AM91" s="167" t="e">
        <f t="shared" si="52"/>
        <v>#DIV/0!</v>
      </c>
      <c r="AN91" s="167" t="e">
        <f t="shared" si="52"/>
        <v>#DIV/0!</v>
      </c>
      <c r="AO91" s="167" t="e">
        <f t="shared" si="52"/>
        <v>#DIV/0!</v>
      </c>
    </row>
    <row r="92" spans="2:41" x14ac:dyDescent="0.15">
      <c r="B92" s="471" t="s">
        <v>20</v>
      </c>
      <c r="C92" s="128" t="s">
        <v>1002</v>
      </c>
      <c r="D92" s="94" cm="1">
        <f t="array" ref="D92">SUM(SUMIFS('caseload data'!E:E,'caseload data'!$D:$D,"PO",'caseload data'!$A:$A,_xlfn.SINGLE('national caseload'!$B$92:$B$94),'caseload data'!$B:$B,{"licence","community"}))</f>
        <v>0</v>
      </c>
      <c r="E92" s="94" cm="1">
        <f t="array" ref="E92">SUM(SUMIFS('caseload data'!F:F,'caseload data'!$D:$D,"PO",'caseload data'!$A:$A,_xlfn.SINGLE('national caseload'!$B$92:$B$94),'caseload data'!$B:$B,{"licence","community"}))</f>
        <v>0</v>
      </c>
      <c r="F92" s="94" cm="1">
        <f t="array" ref="F92">SUM(SUMIFS('caseload data'!G:G,'caseload data'!$D:$D,"PO",'caseload data'!$A:$A,_xlfn.SINGLE('national caseload'!$B$92:$B$94),'caseload data'!$B:$B,{"licence","community"}))</f>
        <v>0</v>
      </c>
      <c r="G92" s="94" cm="1">
        <f t="array" ref="G92">SUM(SUMIFS('caseload data'!H:H,'caseload data'!$D:$D,"PO",'caseload data'!$A:$A,_xlfn.SINGLE('national caseload'!$B$92:$B$94),'caseload data'!$B:$B,{"licence","community"}))</f>
        <v>0</v>
      </c>
      <c r="H92" s="94" cm="1">
        <f t="array" ref="H92">SUM(SUMIFS('caseload data'!I:I,'caseload data'!$D:$D,"PO",'caseload data'!$A:$A,_xlfn.SINGLE('national caseload'!$B$92:$B$94),'caseload data'!$B:$B,{"licence","community"}))</f>
        <v>0</v>
      </c>
      <c r="I92" s="94" cm="1">
        <f t="array" ref="I92">SUM(SUMIFS('caseload data'!J:J,'caseload data'!$D:$D,"PO",'caseload data'!$A:$A,_xlfn.SINGLE('national caseload'!$B$92:$B$94),'caseload data'!$B:$B,{"licence","community"}))</f>
        <v>0</v>
      </c>
      <c r="J92" s="94" cm="1">
        <f t="array" ref="J92">SUM(SUMIFS('caseload data'!K:K,'caseload data'!$D:$D,"PO",'caseload data'!$A:$A,_xlfn.SINGLE('national caseload'!$B$92:$B$94),'caseload data'!$B:$B,{"licence","community"}))</f>
        <v>0</v>
      </c>
      <c r="K92" s="94" cm="1">
        <f t="array" ref="K92">SUM(SUMIFS('caseload data'!L:L,'caseload data'!$D:$D,"PO",'caseload data'!$A:$A,_xlfn.SINGLE('national caseload'!$B$92:$B$94),'caseload data'!$B:$B,{"licence","community"}))</f>
        <v>0</v>
      </c>
      <c r="L92" s="94" cm="1">
        <f t="array" ref="L92">SUM(SUMIFS('caseload data'!M:M,'caseload data'!$D:$D,"PO",'caseload data'!$A:$A,_xlfn.SINGLE('national caseload'!$B$92:$B$94),'caseload data'!$B:$B,{"licence","community"}))</f>
        <v>0</v>
      </c>
      <c r="M92" s="94" cm="1">
        <f t="array" ref="M92">SUM(SUMIFS('caseload data'!N:N,'caseload data'!$D:$D,"PO",'caseload data'!$A:$A,_xlfn.SINGLE('national caseload'!$B$92:$B$94),'caseload data'!$B:$B,{"licence","community"}))</f>
        <v>0</v>
      </c>
      <c r="N92" s="94" cm="1">
        <f t="array" ref="N92">SUM(SUMIFS('caseload data'!O:O,'caseload data'!$D:$D,"PO",'caseload data'!$A:$A,_xlfn.SINGLE('national caseload'!$B$92:$B$94),'caseload data'!$B:$B,{"licence","community"}))</f>
        <v>0</v>
      </c>
      <c r="O92" s="94" cm="1">
        <f t="array" ref="O92">SUM(SUMIFS('caseload data'!P:P,'caseload data'!$D:$D,"PO",'caseload data'!$A:$A,_xlfn.SINGLE('national caseload'!$B$92:$B$94),'caseload data'!$B:$B,{"licence","community"}))</f>
        <v>0</v>
      </c>
      <c r="P92" s="94" cm="1">
        <f t="array" ref="P92">SUM(SUMIFS('caseload data'!Q:Q,'caseload data'!$D:$D,"PO",'caseload data'!$A:$A,_xlfn.SINGLE('national caseload'!$B$92:$B$94),'caseload data'!$B:$B,{"licence","community"}))</f>
        <v>0</v>
      </c>
      <c r="Q92" s="94" cm="1">
        <f t="array" ref="Q92">SUM(SUMIFS('caseload data'!R:R,'caseload data'!$D:$D,"PO",'caseload data'!$A:$A,_xlfn.SINGLE('national caseload'!$B$92:$B$94),'caseload data'!$B:$B,{"licence","community"}))</f>
        <v>0</v>
      </c>
      <c r="R92" s="94" cm="1">
        <f t="array" ref="R92">SUM(SUMIFS('caseload data'!S:S,'caseload data'!$D:$D,"PO",'caseload data'!$A:$A,_xlfn.SINGLE('national caseload'!$B$92:$B$94),'caseload data'!$B:$B,{"licence","community"}))</f>
        <v>0</v>
      </c>
      <c r="S92" s="94" cm="1">
        <f t="array" ref="S92">SUM(SUMIFS('caseload data'!T:T,'caseload data'!$D:$D,"PO",'caseload data'!$A:$A,_xlfn.SINGLE('national caseload'!$B$92:$B$94),'caseload data'!$B:$B,{"licence","community"}))</f>
        <v>0</v>
      </c>
      <c r="T92" s="94">
        <f>SUM(SUMIFS('caseload data'!V:V,'caseload data'!D:D,"PO",'caseload data'!A:A,'national caseload'!B92:B94,'caseload data'!B:B,{"licence","community"}))</f>
        <v>0</v>
      </c>
      <c r="U92" s="64"/>
      <c r="V92" s="64"/>
      <c r="W92" s="471" t="s">
        <v>20</v>
      </c>
      <c r="X92" s="128" t="s">
        <v>1002</v>
      </c>
      <c r="Y92" s="167" t="e">
        <f>SUM(D92)/SUM(D$92:D$96)</f>
        <v>#DIV/0!</v>
      </c>
      <c r="Z92" s="167" t="e">
        <f t="shared" ref="Z92:AO96" si="54">SUM(E92)/SUM(E$92:E$96)</f>
        <v>#DIV/0!</v>
      </c>
      <c r="AA92" s="167" t="e">
        <f t="shared" si="54"/>
        <v>#DIV/0!</v>
      </c>
      <c r="AB92" s="167" t="e">
        <f t="shared" si="54"/>
        <v>#DIV/0!</v>
      </c>
      <c r="AC92" s="167" t="e">
        <f t="shared" si="54"/>
        <v>#DIV/0!</v>
      </c>
      <c r="AD92" s="167" t="e">
        <f t="shared" si="54"/>
        <v>#DIV/0!</v>
      </c>
      <c r="AE92" s="167" t="e">
        <f t="shared" si="54"/>
        <v>#DIV/0!</v>
      </c>
      <c r="AF92" s="167" t="e">
        <f t="shared" si="54"/>
        <v>#DIV/0!</v>
      </c>
      <c r="AG92" s="167" t="e">
        <f t="shared" si="54"/>
        <v>#DIV/0!</v>
      </c>
      <c r="AH92" s="167" t="e">
        <f t="shared" si="54"/>
        <v>#DIV/0!</v>
      </c>
      <c r="AI92" s="167" t="e">
        <f t="shared" si="54"/>
        <v>#DIV/0!</v>
      </c>
      <c r="AJ92" s="167" t="e">
        <f t="shared" si="54"/>
        <v>#DIV/0!</v>
      </c>
      <c r="AK92" s="167" t="e">
        <f t="shared" si="54"/>
        <v>#DIV/0!</v>
      </c>
      <c r="AL92" s="167" t="e">
        <f t="shared" si="54"/>
        <v>#DIV/0!</v>
      </c>
      <c r="AM92" s="167" t="e">
        <f t="shared" si="54"/>
        <v>#DIV/0!</v>
      </c>
      <c r="AN92" s="167" t="e">
        <f t="shared" si="54"/>
        <v>#DIV/0!</v>
      </c>
      <c r="AO92" s="167" t="e">
        <f t="shared" si="54"/>
        <v>#DIV/0!</v>
      </c>
    </row>
    <row r="93" spans="2:41" x14ac:dyDescent="0.15">
      <c r="B93" s="472"/>
      <c r="C93" s="129" t="s">
        <v>1007</v>
      </c>
      <c r="D93" s="94" cm="1">
        <f t="array" ref="D93">SUM(SUMIFS('caseload data'!E:E,'caseload data'!$D:$D,"PSO",'caseload data'!$A:$A,"Kent Surrey Sussex Region",'caseload data'!$B:$B,{"licence","community"}))</f>
        <v>0</v>
      </c>
      <c r="E93" s="94" cm="1">
        <f t="array" ref="E93">SUM(SUMIFS('caseload data'!F:F,'caseload data'!$D:$D,"PSO",'caseload data'!$A:$A,"Kent Surrey Sussex Region",'caseload data'!$B:$B,{"licence","community"}))</f>
        <v>0</v>
      </c>
      <c r="F93" s="94" cm="1">
        <f t="array" ref="F93">SUM(SUMIFS('caseload data'!G:G,'caseload data'!$D:$D,"PSO",'caseload data'!$A:$A,"Kent Surrey Sussex Region",'caseload data'!$B:$B,{"licence","community"}))</f>
        <v>0</v>
      </c>
      <c r="G93" s="94" cm="1">
        <f t="array" ref="G93">SUM(SUMIFS('caseload data'!H:H,'caseload data'!$D:$D,"PSO",'caseload data'!$A:$A,"Kent Surrey Sussex Region",'caseload data'!$B:$B,{"licence","community"}))</f>
        <v>0</v>
      </c>
      <c r="H93" s="94" cm="1">
        <f t="array" ref="H93">SUM(SUMIFS('caseload data'!I:I,'caseload data'!$D:$D,"PSO",'caseload data'!$A:$A,"Kent Surrey Sussex Region",'caseload data'!$B:$B,{"licence","community"}))</f>
        <v>0</v>
      </c>
      <c r="I93" s="94" cm="1">
        <f t="array" ref="I93">SUM(SUMIFS('caseload data'!J:J,'caseload data'!$D:$D,"PSO",'caseload data'!$A:$A,"Kent Surrey Sussex Region",'caseload data'!$B:$B,{"licence","community"}))</f>
        <v>0</v>
      </c>
      <c r="J93" s="94" cm="1">
        <f t="array" ref="J93">SUM(SUMIFS('caseload data'!K:K,'caseload data'!$D:$D,"PSO",'caseload data'!$A:$A,"Kent Surrey Sussex Region",'caseload data'!$B:$B,{"licence","community"}))</f>
        <v>0</v>
      </c>
      <c r="K93" s="94" cm="1">
        <f t="array" ref="K93">SUM(SUMIFS('caseload data'!L:L,'caseload data'!$D:$D,"PSO",'caseload data'!$A:$A,"Kent Surrey Sussex Region",'caseload data'!$B:$B,{"licence","community"}))</f>
        <v>0</v>
      </c>
      <c r="L93" s="94" cm="1">
        <f t="array" ref="L93">SUM(SUMIFS('caseload data'!M:M,'caseload data'!$D:$D,"PSO",'caseload data'!$A:$A,"Kent Surrey Sussex Region",'caseload data'!$B:$B,{"licence","community"}))</f>
        <v>0</v>
      </c>
      <c r="M93" s="94" cm="1">
        <f t="array" ref="M93">SUM(SUMIFS('caseload data'!N:N,'caseload data'!$D:$D,"PSO",'caseload data'!$A:$A,"Kent Surrey Sussex Region",'caseload data'!$B:$B,{"licence","community"}))</f>
        <v>0</v>
      </c>
      <c r="N93" s="94" cm="1">
        <f t="array" ref="N93">SUM(SUMIFS('caseload data'!O:O,'caseload data'!$D:$D,"PSO",'caseload data'!$A:$A,"Kent Surrey Sussex Region",'caseload data'!$B:$B,{"licence","community"}))</f>
        <v>0</v>
      </c>
      <c r="O93" s="94" cm="1">
        <f t="array" ref="O93">SUM(SUMIFS('caseload data'!P:P,'caseload data'!$D:$D,"PSO",'caseload data'!$A:$A,"Kent Surrey Sussex Region",'caseload data'!$B:$B,{"licence","community"}))</f>
        <v>0</v>
      </c>
      <c r="P93" s="94" cm="1">
        <f t="array" ref="P93">SUM(SUMIFS('caseload data'!Q:Q,'caseload data'!$D:$D,"PSO",'caseload data'!$A:$A,"Kent Surrey Sussex Region",'caseload data'!$B:$B,{"licence","community"}))</f>
        <v>0</v>
      </c>
      <c r="Q93" s="94" cm="1">
        <f t="array" ref="Q93">SUM(SUMIFS('caseload data'!R:R,'caseload data'!$D:$D,"PSO",'caseload data'!$A:$A,"Kent Surrey Sussex Region",'caseload data'!$B:$B,{"licence","community"}))</f>
        <v>0</v>
      </c>
      <c r="R93" s="94" cm="1">
        <f t="array" ref="R93">SUM(SUMIFS('caseload data'!S:S,'caseload data'!$D:$D,"PSO",'caseload data'!$A:$A,"Kent Surrey Sussex Region",'caseload data'!$B:$B,{"licence","community"}))</f>
        <v>0</v>
      </c>
      <c r="S93" s="94" cm="1">
        <f t="array" ref="S93">SUM(SUMIFS('caseload data'!T:T,'caseload data'!$D:$D,"PSO",'caseload data'!$A:$A,"Kent Surrey Sussex Region",'caseload data'!$B:$B,{"licence","community"}))</f>
        <v>0</v>
      </c>
      <c r="T93" s="94" cm="1">
        <f t="array" ref="T93">SUM(SUMIFS('caseload data'!V:V,'caseload data'!D:D,"PSO",'caseload data'!A:A,"Kent Surrey Sussex Region",'caseload data'!B:B,{"licence","community"}))</f>
        <v>0</v>
      </c>
      <c r="U93" s="64"/>
      <c r="V93" s="64"/>
      <c r="W93" s="472"/>
      <c r="X93" s="129" t="s">
        <v>1007</v>
      </c>
      <c r="Y93" s="167" t="e">
        <f t="shared" ref="Y93:Y96" si="55">SUM(D93)/SUM(D$92:D$96)</f>
        <v>#DIV/0!</v>
      </c>
      <c r="Z93" s="167" t="e">
        <f t="shared" si="54"/>
        <v>#DIV/0!</v>
      </c>
      <c r="AA93" s="167" t="e">
        <f t="shared" si="54"/>
        <v>#DIV/0!</v>
      </c>
      <c r="AB93" s="167" t="e">
        <f t="shared" si="54"/>
        <v>#DIV/0!</v>
      </c>
      <c r="AC93" s="167" t="e">
        <f t="shared" si="54"/>
        <v>#DIV/0!</v>
      </c>
      <c r="AD93" s="167" t="e">
        <f t="shared" si="54"/>
        <v>#DIV/0!</v>
      </c>
      <c r="AE93" s="167" t="e">
        <f t="shared" si="54"/>
        <v>#DIV/0!</v>
      </c>
      <c r="AF93" s="167" t="e">
        <f t="shared" si="54"/>
        <v>#DIV/0!</v>
      </c>
      <c r="AG93" s="167" t="e">
        <f t="shared" si="54"/>
        <v>#DIV/0!</v>
      </c>
      <c r="AH93" s="167" t="e">
        <f t="shared" si="54"/>
        <v>#DIV/0!</v>
      </c>
      <c r="AI93" s="167" t="e">
        <f t="shared" si="54"/>
        <v>#DIV/0!</v>
      </c>
      <c r="AJ93" s="167" t="e">
        <f t="shared" si="54"/>
        <v>#DIV/0!</v>
      </c>
      <c r="AK93" s="167" t="e">
        <f t="shared" si="54"/>
        <v>#DIV/0!</v>
      </c>
      <c r="AL93" s="167" t="e">
        <f t="shared" si="54"/>
        <v>#DIV/0!</v>
      </c>
      <c r="AM93" s="167" t="e">
        <f t="shared" si="54"/>
        <v>#DIV/0!</v>
      </c>
      <c r="AN93" s="167" t="e">
        <f t="shared" si="54"/>
        <v>#DIV/0!</v>
      </c>
      <c r="AO93" s="167" t="e">
        <f t="shared" si="54"/>
        <v>#DIV/0!</v>
      </c>
    </row>
    <row r="94" spans="2:41" x14ac:dyDescent="0.15">
      <c r="B94" s="472"/>
      <c r="C94" s="129" t="s">
        <v>1008</v>
      </c>
      <c r="D94" s="94" cm="1">
        <f t="array" ref="D94">SUM(SUMIFS('caseload data'!E:E,'caseload data'!$D:$D,"TPO",'caseload data'!$A:$A,"Kent Surrey Sussex Region",'caseload data'!$B:$B,{"licence","community"}))</f>
        <v>0</v>
      </c>
      <c r="E94" s="94" cm="1">
        <f t="array" ref="E94">SUM(SUMIFS('caseload data'!F:F,'caseload data'!$D:$D,"TPO",'caseload data'!$A:$A,"Kent Surrey Sussex Region",'caseload data'!$B:$B,{"licence","community"}))</f>
        <v>0</v>
      </c>
      <c r="F94" s="94" cm="1">
        <f t="array" ref="F94">SUM(SUMIFS('caseload data'!G:G,'caseload data'!$D:$D,"TPO",'caseload data'!$A:$A,"Kent Surrey Sussex Region",'caseload data'!$B:$B,{"licence","community"}))</f>
        <v>0</v>
      </c>
      <c r="G94" s="94" cm="1">
        <f t="array" ref="G94">SUM(SUMIFS('caseload data'!H:H,'caseload data'!$D:$D,"TPO",'caseload data'!$A:$A,"Kent Surrey Sussex Region",'caseload data'!$B:$B,{"licence","community"}))</f>
        <v>0</v>
      </c>
      <c r="H94" s="94" cm="1">
        <f t="array" ref="H94">SUM(SUMIFS('caseload data'!I:I,'caseload data'!$D:$D,"TPO",'caseload data'!$A:$A,"Kent Surrey Sussex Region",'caseload data'!$B:$B,{"licence","community"}))</f>
        <v>0</v>
      </c>
      <c r="I94" s="94" cm="1">
        <f t="array" ref="I94">SUM(SUMIFS('caseload data'!J:J,'caseload data'!$D:$D,"TPO",'caseload data'!$A:$A,"Kent Surrey Sussex Region",'caseload data'!$B:$B,{"licence","community"}))</f>
        <v>0</v>
      </c>
      <c r="J94" s="94" cm="1">
        <f t="array" ref="J94">SUM(SUMIFS('caseload data'!K:K,'caseload data'!$D:$D,"TPO",'caseload data'!$A:$A,"Kent Surrey Sussex Region",'caseload data'!$B:$B,{"licence","community"}))</f>
        <v>0</v>
      </c>
      <c r="K94" s="94" cm="1">
        <f t="array" ref="K94">SUM(SUMIFS('caseload data'!L:L,'caseload data'!$D:$D,"TPO",'caseload data'!$A:$A,"Kent Surrey Sussex Region",'caseload data'!$B:$B,{"licence","community"}))</f>
        <v>0</v>
      </c>
      <c r="L94" s="94" cm="1">
        <f t="array" ref="L94">SUM(SUMIFS('caseload data'!M:M,'caseload data'!$D:$D,"TPO",'caseload data'!$A:$A,"Kent Surrey Sussex Region",'caseload data'!$B:$B,{"licence","community"}))</f>
        <v>0</v>
      </c>
      <c r="M94" s="94" cm="1">
        <f t="array" ref="M94">SUM(SUMIFS('caseload data'!N:N,'caseload data'!$D:$D,"TPO",'caseload data'!$A:$A,"Kent Surrey Sussex Region",'caseload data'!$B:$B,{"licence","community"}))</f>
        <v>0</v>
      </c>
      <c r="N94" s="94" cm="1">
        <f t="array" ref="N94">SUM(SUMIFS('caseload data'!O:O,'caseload data'!$D:$D,"TPO",'caseload data'!$A:$A,"Kent Surrey Sussex Region",'caseload data'!$B:$B,{"licence","community"}))</f>
        <v>0</v>
      </c>
      <c r="O94" s="94" cm="1">
        <f t="array" ref="O94">SUM(SUMIFS('caseload data'!P:P,'caseload data'!$D:$D,"TPO",'caseload data'!$A:$A,"Kent Surrey Sussex Region",'caseload data'!$B:$B,{"licence","community"}))</f>
        <v>0</v>
      </c>
      <c r="P94" s="94" cm="1">
        <f t="array" ref="P94">SUM(SUMIFS('caseload data'!Q:Q,'caseload data'!$D:$D,"TPO",'caseload data'!$A:$A,"Kent Surrey Sussex Region",'caseload data'!$B:$B,{"licence","community"}))</f>
        <v>0</v>
      </c>
      <c r="Q94" s="94" cm="1">
        <f t="array" ref="Q94">SUM(SUMIFS('caseload data'!R:R,'caseload data'!$D:$D,"TPO",'caseload data'!$A:$A,"Kent Surrey Sussex Region",'caseload data'!$B:$B,{"licence","community"}))</f>
        <v>0</v>
      </c>
      <c r="R94" s="94" cm="1">
        <f t="array" ref="R94">SUM(SUMIFS('caseload data'!S:S,'caseload data'!$D:$D,"TPO",'caseload data'!$A:$A,"Kent Surrey Sussex Region",'caseload data'!$B:$B,{"licence","community"}))</f>
        <v>0</v>
      </c>
      <c r="S94" s="94" cm="1">
        <f t="array" ref="S94">SUM(SUMIFS('caseload data'!T:T,'caseload data'!$D:$D,"TPO",'caseload data'!$A:$A,"Kent Surrey Sussex Region",'caseload data'!$B:$B,{"licence","community"}))</f>
        <v>0</v>
      </c>
      <c r="T94" s="94" cm="1">
        <f t="array" ref="T94">SUM(SUMIFS('caseload data'!V:V,'caseload data'!D:D,"TPO",'caseload data'!A:A,"Kent Surrey Sussex Region",'caseload data'!B:B,{"licence","community"}))</f>
        <v>0</v>
      </c>
      <c r="U94" s="64"/>
      <c r="V94" s="64"/>
      <c r="W94" s="472"/>
      <c r="X94" s="129" t="s">
        <v>1008</v>
      </c>
      <c r="Y94" s="167" t="e">
        <f t="shared" si="55"/>
        <v>#DIV/0!</v>
      </c>
      <c r="Z94" s="167" t="e">
        <f t="shared" si="54"/>
        <v>#DIV/0!</v>
      </c>
      <c r="AA94" s="167" t="e">
        <f t="shared" si="54"/>
        <v>#DIV/0!</v>
      </c>
      <c r="AB94" s="167" t="e">
        <f t="shared" si="54"/>
        <v>#DIV/0!</v>
      </c>
      <c r="AC94" s="167" t="e">
        <f t="shared" si="54"/>
        <v>#DIV/0!</v>
      </c>
      <c r="AD94" s="167" t="e">
        <f t="shared" si="54"/>
        <v>#DIV/0!</v>
      </c>
      <c r="AE94" s="167" t="e">
        <f t="shared" si="54"/>
        <v>#DIV/0!</v>
      </c>
      <c r="AF94" s="167" t="e">
        <f t="shared" si="54"/>
        <v>#DIV/0!</v>
      </c>
      <c r="AG94" s="167" t="e">
        <f t="shared" si="54"/>
        <v>#DIV/0!</v>
      </c>
      <c r="AH94" s="167" t="e">
        <f t="shared" si="54"/>
        <v>#DIV/0!</v>
      </c>
      <c r="AI94" s="167" t="e">
        <f t="shared" si="54"/>
        <v>#DIV/0!</v>
      </c>
      <c r="AJ94" s="167" t="e">
        <f t="shared" si="54"/>
        <v>#DIV/0!</v>
      </c>
      <c r="AK94" s="167" t="e">
        <f t="shared" si="54"/>
        <v>#DIV/0!</v>
      </c>
      <c r="AL94" s="167" t="e">
        <f t="shared" si="54"/>
        <v>#DIV/0!</v>
      </c>
      <c r="AM94" s="167" t="e">
        <f t="shared" si="54"/>
        <v>#DIV/0!</v>
      </c>
      <c r="AN94" s="167" t="e">
        <f t="shared" si="54"/>
        <v>#DIV/0!</v>
      </c>
      <c r="AO94" s="167" t="e">
        <f t="shared" si="54"/>
        <v>#DIV/0!</v>
      </c>
    </row>
    <row r="95" spans="2:41" x14ac:dyDescent="0.15">
      <c r="B95" s="472"/>
      <c r="C95" s="129" t="s">
        <v>1009</v>
      </c>
      <c r="D95" s="94" cm="1">
        <f t="array" ref="D95">SUM(SUMIFS('caseload data'!E:E,'caseload data'!$D:$D,"SPO",'caseload data'!$A:$A,"Kent Surrey Sussex Region",'caseload data'!$B:$B,{"licence","community"}))</f>
        <v>0</v>
      </c>
      <c r="E95" s="94" cm="1">
        <f t="array" ref="E95">SUM(SUMIFS('caseload data'!F:F,'caseload data'!$D:$D,"SPO",'caseload data'!$A:$A,"Kent Surrey Sussex Region",'caseload data'!$B:$B,{"licence","community"}))</f>
        <v>0</v>
      </c>
      <c r="F95" s="94" cm="1">
        <f t="array" ref="F95">SUM(SUMIFS('caseload data'!G:G,'caseload data'!$D:$D,"SPO",'caseload data'!$A:$A,"Kent Surrey Sussex Region",'caseload data'!$B:$B,{"licence","community"}))</f>
        <v>0</v>
      </c>
      <c r="G95" s="94" cm="1">
        <f t="array" ref="G95">SUM(SUMIFS('caseload data'!H:H,'caseload data'!$D:$D,"SPO",'caseload data'!$A:$A,"Kent Surrey Sussex Region",'caseload data'!$B:$B,{"licence","community"}))</f>
        <v>0</v>
      </c>
      <c r="H95" s="94" cm="1">
        <f t="array" ref="H95">SUM(SUMIFS('caseload data'!I:I,'caseload data'!$D:$D,"SPO",'caseload data'!$A:$A,"Kent Surrey Sussex Region",'caseload data'!$B:$B,{"licence","community"}))</f>
        <v>0</v>
      </c>
      <c r="I95" s="94" cm="1">
        <f t="array" ref="I95">SUM(SUMIFS('caseload data'!J:J,'caseload data'!$D:$D,"SPO",'caseload data'!$A:$A,"Kent Surrey Sussex Region",'caseload data'!$B:$B,{"licence","community"}))</f>
        <v>0</v>
      </c>
      <c r="J95" s="94" cm="1">
        <f t="array" ref="J95">SUM(SUMIFS('caseload data'!K:K,'caseload data'!$D:$D,"SPO",'caseload data'!$A:$A,"Kent Surrey Sussex Region",'caseload data'!$B:$B,{"licence","community"}))</f>
        <v>0</v>
      </c>
      <c r="K95" s="94" cm="1">
        <f t="array" ref="K95">SUM(SUMIFS('caseload data'!L:L,'caseload data'!$D:$D,"SPO",'caseload data'!$A:$A,"Kent Surrey Sussex Region",'caseload data'!$B:$B,{"licence","community"}))</f>
        <v>0</v>
      </c>
      <c r="L95" s="94" cm="1">
        <f t="array" ref="L95">SUM(SUMIFS('caseload data'!M:M,'caseload data'!$D:$D,"SPO",'caseload data'!$A:$A,"Kent Surrey Sussex Region",'caseload data'!$B:$B,{"licence","community"}))</f>
        <v>0</v>
      </c>
      <c r="M95" s="94" cm="1">
        <f t="array" ref="M95">SUM(SUMIFS('caseload data'!N:N,'caseload data'!$D:$D,"SPO",'caseload data'!$A:$A,"Kent Surrey Sussex Region",'caseload data'!$B:$B,{"licence","community"}))</f>
        <v>0</v>
      </c>
      <c r="N95" s="94" cm="1">
        <f t="array" ref="N95">SUM(SUMIFS('caseload data'!O:O,'caseload data'!$D:$D,"SPO",'caseload data'!$A:$A,"Kent Surrey Sussex Region",'caseload data'!$B:$B,{"licence","community"}))</f>
        <v>0</v>
      </c>
      <c r="O95" s="94" cm="1">
        <f t="array" ref="O95">SUM(SUMIFS('caseload data'!P:P,'caseload data'!$D:$D,"SPO",'caseload data'!$A:$A,"Kent Surrey Sussex Region",'caseload data'!$B:$B,{"licence","community"}))</f>
        <v>0</v>
      </c>
      <c r="P95" s="94" cm="1">
        <f t="array" ref="P95">SUM(SUMIFS('caseload data'!Q:Q,'caseload data'!$D:$D,"SPO",'caseload data'!$A:$A,"Kent Surrey Sussex Region",'caseload data'!$B:$B,{"licence","community"}))</f>
        <v>0</v>
      </c>
      <c r="Q95" s="94" cm="1">
        <f t="array" ref="Q95">SUM(SUMIFS('caseload data'!R:R,'caseload data'!$D:$D,"SPO",'caseload data'!$A:$A,"Kent Surrey Sussex Region",'caseload data'!$B:$B,{"licence","community"}))</f>
        <v>0</v>
      </c>
      <c r="R95" s="94" cm="1">
        <f t="array" ref="R95">SUM(SUMIFS('caseload data'!S:S,'caseload data'!$D:$D,"SPO",'caseload data'!$A:$A,"Kent Surrey Sussex Region",'caseload data'!$B:$B,{"licence","community"}))</f>
        <v>0</v>
      </c>
      <c r="S95" s="94" cm="1">
        <f t="array" ref="S95">SUM(SUMIFS('caseload data'!T:T,'caseload data'!$D:$D,"SPO",'caseload data'!$A:$A,"Kent Surrey Sussex Region",'caseload data'!$B:$B,{"licence","community"}))</f>
        <v>0</v>
      </c>
      <c r="T95" s="94" cm="1">
        <f t="array" ref="T95">SUM(SUMIFS('caseload data'!V:V,'caseload data'!$D:$D,"SPO",'caseload data'!$A:$A,"Kent Surrey Sussex Region",'caseload data'!$B:$B,{"licence","community"}))</f>
        <v>0</v>
      </c>
      <c r="U95" s="64"/>
      <c r="V95" s="64"/>
      <c r="W95" s="472"/>
      <c r="X95" s="129" t="s">
        <v>1009</v>
      </c>
      <c r="Y95" s="167" t="e">
        <f t="shared" si="55"/>
        <v>#DIV/0!</v>
      </c>
      <c r="Z95" s="167" t="e">
        <f t="shared" si="54"/>
        <v>#DIV/0!</v>
      </c>
      <c r="AA95" s="167" t="e">
        <f t="shared" si="54"/>
        <v>#DIV/0!</v>
      </c>
      <c r="AB95" s="167" t="e">
        <f t="shared" si="54"/>
        <v>#DIV/0!</v>
      </c>
      <c r="AC95" s="167" t="e">
        <f t="shared" si="54"/>
        <v>#DIV/0!</v>
      </c>
      <c r="AD95" s="167" t="e">
        <f t="shared" si="54"/>
        <v>#DIV/0!</v>
      </c>
      <c r="AE95" s="167" t="e">
        <f t="shared" si="54"/>
        <v>#DIV/0!</v>
      </c>
      <c r="AF95" s="167" t="e">
        <f t="shared" si="54"/>
        <v>#DIV/0!</v>
      </c>
      <c r="AG95" s="167" t="e">
        <f t="shared" si="54"/>
        <v>#DIV/0!</v>
      </c>
      <c r="AH95" s="167" t="e">
        <f t="shared" si="54"/>
        <v>#DIV/0!</v>
      </c>
      <c r="AI95" s="167" t="e">
        <f t="shared" si="54"/>
        <v>#DIV/0!</v>
      </c>
      <c r="AJ95" s="167" t="e">
        <f t="shared" si="54"/>
        <v>#DIV/0!</v>
      </c>
      <c r="AK95" s="167" t="e">
        <f t="shared" si="54"/>
        <v>#DIV/0!</v>
      </c>
      <c r="AL95" s="167" t="e">
        <f t="shared" si="54"/>
        <v>#DIV/0!</v>
      </c>
      <c r="AM95" s="167" t="e">
        <f t="shared" si="54"/>
        <v>#DIV/0!</v>
      </c>
      <c r="AN95" s="167" t="e">
        <f t="shared" si="54"/>
        <v>#DIV/0!</v>
      </c>
      <c r="AO95" s="167" t="e">
        <f t="shared" si="54"/>
        <v>#DIV/0!</v>
      </c>
    </row>
    <row r="96" spans="2:41" x14ac:dyDescent="0.15">
      <c r="B96" s="473"/>
      <c r="C96" s="130" t="s">
        <v>1344</v>
      </c>
      <c r="D96" s="94" cm="1">
        <f t="array" ref="D96">SUM(SUMIFS('caseload data'!E:E,'caseload data'!$D:$D,"DMY",'caseload data'!$A:$A,"Kent Surrey Sussex Region",'caseload data'!$B:$B,{"licence","community"}))</f>
        <v>0</v>
      </c>
      <c r="E96" s="94" cm="1">
        <f t="array" ref="E96">SUM(SUMIFS('caseload data'!F:F,'caseload data'!$D:$D,"DMY",'caseload data'!$A:$A,"Kent Surrey Sussex Region",'caseload data'!$B:$B,{"licence","community"}))</f>
        <v>0</v>
      </c>
      <c r="F96" s="94" cm="1">
        <f t="array" ref="F96">SUM(SUMIFS('caseload data'!G:G,'caseload data'!$D:$D,"DMY",'caseload data'!$A:$A,"Kent Surrey Sussex Region",'caseload data'!$B:$B,{"licence","community"}))</f>
        <v>0</v>
      </c>
      <c r="G96" s="94" cm="1">
        <f t="array" ref="G96">SUM(SUMIFS('caseload data'!H:H,'caseload data'!$D:$D,"DMY",'caseload data'!$A:$A,"Kent Surrey Sussex Region",'caseload data'!$B:$B,{"licence","community"}))</f>
        <v>0</v>
      </c>
      <c r="H96" s="94" cm="1">
        <f t="array" ref="H96">SUM(SUMIFS('caseload data'!I:I,'caseload data'!$D:$D,"DMY",'caseload data'!$A:$A,"Kent Surrey Sussex Region",'caseload data'!$B:$B,{"licence","community"}))</f>
        <v>0</v>
      </c>
      <c r="I96" s="94" cm="1">
        <f t="array" ref="I96">SUM(SUMIFS('caseload data'!J:J,'caseload data'!$D:$D,"DMY",'caseload data'!$A:$A,"Kent Surrey Sussex Region",'caseload data'!$B:$B,{"licence","community"}))</f>
        <v>0</v>
      </c>
      <c r="J96" s="94" cm="1">
        <f t="array" ref="J96">SUM(SUMIFS('caseload data'!K:K,'caseload data'!$D:$D,"DMY",'caseload data'!$A:$A,"Kent Surrey Sussex Region",'caseload data'!$B:$B,{"licence","community"}))</f>
        <v>0</v>
      </c>
      <c r="K96" s="94" cm="1">
        <f t="array" ref="K96">SUM(SUMIFS('caseload data'!L:L,'caseload data'!$D:$D,"DMY",'caseload data'!$A:$A,"Kent Surrey Sussex Region",'caseload data'!$B:$B,{"licence","community"}))</f>
        <v>0</v>
      </c>
      <c r="L96" s="94" cm="1">
        <f t="array" ref="L96">SUM(SUMIFS('caseload data'!M:M,'caseload data'!$D:$D,"DMY",'caseload data'!$A:$A,"Kent Surrey Sussex Region",'caseload data'!$B:$B,{"licence","community"}))</f>
        <v>0</v>
      </c>
      <c r="M96" s="94" cm="1">
        <f t="array" ref="M96">SUM(SUMIFS('caseload data'!N:N,'caseload data'!$D:$D,"DMY",'caseload data'!$A:$A,"Kent Surrey Sussex Region",'caseload data'!$B:$B,{"licence","community"}))</f>
        <v>0</v>
      </c>
      <c r="N96" s="94" cm="1">
        <f t="array" ref="N96">SUM(SUMIFS('caseload data'!O:O,'caseload data'!$D:$D,"DMY",'caseload data'!$A:$A,"Kent Surrey Sussex Region",'caseload data'!$B:$B,{"licence","community"}))</f>
        <v>0</v>
      </c>
      <c r="O96" s="94" cm="1">
        <f t="array" ref="O96">SUM(SUMIFS('caseload data'!P:P,'caseload data'!$D:$D,"DMY",'caseload data'!$A:$A,"Kent Surrey Sussex Region",'caseload data'!$B:$B,{"licence","community"}))</f>
        <v>0</v>
      </c>
      <c r="P96" s="94" cm="1">
        <f t="array" ref="P96">SUM(SUMIFS('caseload data'!Q:Q,'caseload data'!$D:$D,"DMY",'caseload data'!$A:$A,"Kent Surrey Sussex Region",'caseload data'!$B:$B,{"licence","community"}))</f>
        <v>0</v>
      </c>
      <c r="Q96" s="94" cm="1">
        <f t="array" ref="Q96">SUM(SUMIFS('caseload data'!R:R,'caseload data'!$D:$D,"DMY",'caseload data'!$A:$A,"Kent Surrey Sussex Region",'caseload data'!$B:$B,{"licence","community"}))</f>
        <v>0</v>
      </c>
      <c r="R96" s="94" cm="1">
        <f t="array" ref="R96">SUM(SUMIFS('caseload data'!S:S,'caseload data'!$D:$D,"DMY",'caseload data'!$A:$A,"Kent Surrey Sussex Region",'caseload data'!$B:$B,{"licence","community"}))</f>
        <v>0</v>
      </c>
      <c r="S96" s="94" cm="1">
        <f t="array" ref="S96">SUM(SUMIFS('caseload data'!T:T,'caseload data'!$D:$D,"DMY",'caseload data'!$A:$A,"Kent Surrey Sussex Region",'caseload data'!$B:$B,{"licence","community"}))</f>
        <v>0</v>
      </c>
      <c r="T96" s="94" cm="1">
        <f t="array" ref="T96">SUM(SUMIFS('caseload data'!V:V,'caseload data'!$D:$D,"DMY",'caseload data'!$A:$A,"Kent Surrey Sussex Region",'caseload data'!$B:$B,{"licence","community"}))</f>
        <v>0</v>
      </c>
      <c r="U96" s="64"/>
      <c r="V96" s="64"/>
      <c r="W96" s="473"/>
      <c r="X96" s="130" t="s">
        <v>1344</v>
      </c>
      <c r="Y96" s="167" t="e">
        <f t="shared" si="55"/>
        <v>#DIV/0!</v>
      </c>
      <c r="Z96" s="167" t="e">
        <f t="shared" si="54"/>
        <v>#DIV/0!</v>
      </c>
      <c r="AA96" s="167" t="e">
        <f t="shared" si="54"/>
        <v>#DIV/0!</v>
      </c>
      <c r="AB96" s="167" t="e">
        <f t="shared" si="54"/>
        <v>#DIV/0!</v>
      </c>
      <c r="AC96" s="167" t="e">
        <f t="shared" si="54"/>
        <v>#DIV/0!</v>
      </c>
      <c r="AD96" s="167" t="e">
        <f t="shared" si="54"/>
        <v>#DIV/0!</v>
      </c>
      <c r="AE96" s="167" t="e">
        <f t="shared" si="54"/>
        <v>#DIV/0!</v>
      </c>
      <c r="AF96" s="167" t="e">
        <f t="shared" si="54"/>
        <v>#DIV/0!</v>
      </c>
      <c r="AG96" s="167" t="e">
        <f t="shared" si="54"/>
        <v>#DIV/0!</v>
      </c>
      <c r="AH96" s="167" t="e">
        <f t="shared" si="54"/>
        <v>#DIV/0!</v>
      </c>
      <c r="AI96" s="167" t="e">
        <f t="shared" si="54"/>
        <v>#DIV/0!</v>
      </c>
      <c r="AJ96" s="167" t="e">
        <f t="shared" si="54"/>
        <v>#DIV/0!</v>
      </c>
      <c r="AK96" s="167" t="e">
        <f t="shared" si="54"/>
        <v>#DIV/0!</v>
      </c>
      <c r="AL96" s="167" t="e">
        <f t="shared" si="54"/>
        <v>#DIV/0!</v>
      </c>
      <c r="AM96" s="167" t="e">
        <f t="shared" si="54"/>
        <v>#DIV/0!</v>
      </c>
      <c r="AN96" s="167" t="e">
        <f t="shared" si="54"/>
        <v>#DIV/0!</v>
      </c>
      <c r="AO96" s="167" t="e">
        <f t="shared" si="54"/>
        <v>#DIV/0!</v>
      </c>
    </row>
    <row r="97" spans="2:41" x14ac:dyDescent="0.15">
      <c r="B97" s="471" t="s">
        <v>21</v>
      </c>
      <c r="C97" s="128" t="s">
        <v>1002</v>
      </c>
      <c r="D97" s="94" cm="1">
        <f t="array" ref="D97">SUM(SUMIFS('caseload data'!E:E,'caseload data'!$D:$D,"PO",'caseload data'!$A:$A,_xlfn.SINGLE('national caseload'!$B$97:$B$99),'caseload data'!$B:$B,{"licence","community"}))</f>
        <v>0</v>
      </c>
      <c r="E97" s="94" cm="1">
        <f t="array" ref="E97">SUM(SUMIFS('caseload data'!F:F,'caseload data'!$D:$D,"PO",'caseload data'!$A:$A,_xlfn.SINGLE('national caseload'!$B$97:$B$99),'caseload data'!$B:$B,{"licence","community"}))</f>
        <v>0</v>
      </c>
      <c r="F97" s="94" cm="1">
        <f t="array" ref="F97">SUM(SUMIFS('caseload data'!G:G,'caseload data'!$D:$D,"PO",'caseload data'!$A:$A,_xlfn.SINGLE('national caseload'!$B$97:$B$99),'caseload data'!$B:$B,{"licence","community"}))</f>
        <v>0</v>
      </c>
      <c r="G97" s="94" cm="1">
        <f t="array" ref="G97">SUM(SUMIFS('caseload data'!H:H,'caseload data'!$D:$D,"PO",'caseload data'!$A:$A,_xlfn.SINGLE('national caseload'!$B$97:$B$99),'caseload data'!$B:$B,{"licence","community"}))</f>
        <v>0</v>
      </c>
      <c r="H97" s="94" cm="1">
        <f t="array" ref="H97">SUM(SUMIFS('caseload data'!I:I,'caseload data'!$D:$D,"PO",'caseload data'!$A:$A,_xlfn.SINGLE('national caseload'!$B$97:$B$99),'caseload data'!$B:$B,{"licence","community"}))</f>
        <v>0</v>
      </c>
      <c r="I97" s="94" cm="1">
        <f t="array" ref="I97">SUM(SUMIFS('caseload data'!J:J,'caseload data'!$D:$D,"PO",'caseload data'!$A:$A,_xlfn.SINGLE('national caseload'!$B$97:$B$99),'caseload data'!$B:$B,{"licence","community"}))</f>
        <v>0</v>
      </c>
      <c r="J97" s="94" cm="1">
        <f t="array" ref="J97">SUM(SUMIFS('caseload data'!K:K,'caseload data'!$D:$D,"PO",'caseload data'!$A:$A,_xlfn.SINGLE('national caseload'!$B$97:$B$99),'caseload data'!$B:$B,{"licence","community"}))</f>
        <v>0</v>
      </c>
      <c r="K97" s="94" cm="1">
        <f t="array" ref="K97">SUM(SUMIFS('caseload data'!L:L,'caseload data'!$D:$D,"PO",'caseload data'!$A:$A,_xlfn.SINGLE('national caseload'!$B$97:$B$99),'caseload data'!$B:$B,{"licence","community"}))</f>
        <v>0</v>
      </c>
      <c r="L97" s="94" cm="1">
        <f t="array" ref="L97">SUM(SUMIFS('caseload data'!M:M,'caseload data'!$D:$D,"PO",'caseload data'!$A:$A,_xlfn.SINGLE('national caseload'!$B$97:$B$99),'caseload data'!$B:$B,{"licence","community"}))</f>
        <v>0</v>
      </c>
      <c r="M97" s="94" cm="1">
        <f t="array" ref="M97">SUM(SUMIFS('caseload data'!N:N,'caseload data'!$D:$D,"PO",'caseload data'!$A:$A,_xlfn.SINGLE('national caseload'!$B$97:$B$99),'caseload data'!$B:$B,{"licence","community"}))</f>
        <v>0</v>
      </c>
      <c r="N97" s="94" cm="1">
        <f t="array" ref="N97">SUM(SUMIFS('caseload data'!O:O,'caseload data'!$D:$D,"PO",'caseload data'!$A:$A,_xlfn.SINGLE('national caseload'!$B$97:$B$99),'caseload data'!$B:$B,{"licence","community"}))</f>
        <v>0</v>
      </c>
      <c r="O97" s="94" cm="1">
        <f t="array" ref="O97">SUM(SUMIFS('caseload data'!P:P,'caseload data'!$D:$D,"PO",'caseload data'!$A:$A,_xlfn.SINGLE('national caseload'!$B$97:$B$99),'caseload data'!$B:$B,{"licence","community"}))</f>
        <v>0</v>
      </c>
      <c r="P97" s="94" cm="1">
        <f t="array" ref="P97">SUM(SUMIFS('caseload data'!Q:Q,'caseload data'!$D:$D,"PO",'caseload data'!$A:$A,_xlfn.SINGLE('national caseload'!$B$97:$B$99),'caseload data'!$B:$B,{"licence","community"}))</f>
        <v>0</v>
      </c>
      <c r="Q97" s="94" cm="1">
        <f t="array" ref="Q97">SUM(SUMIFS('caseload data'!R:R,'caseload data'!$D:$D,"PO",'caseload data'!$A:$A,_xlfn.SINGLE('national caseload'!$B$97:$B$99),'caseload data'!$B:$B,{"licence","community"}))</f>
        <v>0</v>
      </c>
      <c r="R97" s="94" cm="1">
        <f t="array" ref="R97">SUM(SUMIFS('caseload data'!S:S,'caseload data'!$D:$D,"PO",'caseload data'!$A:$A,_xlfn.SINGLE('national caseload'!$B$97:$B$99),'caseload data'!$B:$B,{"licence","community"}))</f>
        <v>0</v>
      </c>
      <c r="S97" s="94" cm="1">
        <f t="array" ref="S97">SUM(SUMIFS('caseload data'!T:T,'caseload data'!$D:$D,"PO",'caseload data'!$A:$A,_xlfn.SINGLE('national caseload'!$B$97:$B$99),'caseload data'!$B:$B,{"licence","community"}))</f>
        <v>0</v>
      </c>
      <c r="T97" s="94">
        <f>SUM(SUMIFS('caseload data'!V:V,'caseload data'!D:D,"PO",'caseload data'!A:A,'national caseload'!B97:B99,'caseload data'!B:B,{"licence","community"}))</f>
        <v>0</v>
      </c>
      <c r="U97" s="64"/>
      <c r="V97" s="64"/>
      <c r="W97" s="471" t="s">
        <v>21</v>
      </c>
      <c r="X97" s="128" t="s">
        <v>1002</v>
      </c>
      <c r="Y97" s="167" t="e">
        <f>SUM(D97)/SUM(D$97:D$101)</f>
        <v>#DIV/0!</v>
      </c>
      <c r="Z97" s="167" t="e">
        <f t="shared" ref="Z97:AO101" si="56">SUM(E97)/SUM(E$97:E$101)</f>
        <v>#DIV/0!</v>
      </c>
      <c r="AA97" s="167" t="e">
        <f t="shared" si="56"/>
        <v>#DIV/0!</v>
      </c>
      <c r="AB97" s="167" t="e">
        <f t="shared" si="56"/>
        <v>#DIV/0!</v>
      </c>
      <c r="AC97" s="167" t="e">
        <f t="shared" si="56"/>
        <v>#DIV/0!</v>
      </c>
      <c r="AD97" s="167" t="e">
        <f t="shared" si="56"/>
        <v>#DIV/0!</v>
      </c>
      <c r="AE97" s="167" t="e">
        <f t="shared" si="56"/>
        <v>#DIV/0!</v>
      </c>
      <c r="AF97" s="167" t="e">
        <f t="shared" si="56"/>
        <v>#DIV/0!</v>
      </c>
      <c r="AG97" s="167" t="e">
        <f t="shared" si="56"/>
        <v>#DIV/0!</v>
      </c>
      <c r="AH97" s="167" t="e">
        <f t="shared" si="56"/>
        <v>#DIV/0!</v>
      </c>
      <c r="AI97" s="167" t="e">
        <f t="shared" si="56"/>
        <v>#DIV/0!</v>
      </c>
      <c r="AJ97" s="167" t="e">
        <f t="shared" si="56"/>
        <v>#DIV/0!</v>
      </c>
      <c r="AK97" s="167" t="e">
        <f t="shared" si="56"/>
        <v>#DIV/0!</v>
      </c>
      <c r="AL97" s="167" t="e">
        <f t="shared" si="56"/>
        <v>#DIV/0!</v>
      </c>
      <c r="AM97" s="167" t="e">
        <f t="shared" si="56"/>
        <v>#DIV/0!</v>
      </c>
      <c r="AN97" s="167" t="e">
        <f t="shared" si="56"/>
        <v>#DIV/0!</v>
      </c>
      <c r="AO97" s="167" t="e">
        <f t="shared" si="56"/>
        <v>#DIV/0!</v>
      </c>
    </row>
    <row r="98" spans="2:41" x14ac:dyDescent="0.15">
      <c r="B98" s="472"/>
      <c r="C98" s="129" t="s">
        <v>1007</v>
      </c>
      <c r="D98" s="94" cm="1">
        <f t="array" ref="D98">SUM(SUMIFS('caseload data'!E:E,'caseload data'!$D:$D,"PSO",'caseload data'!$A:$A,"London",'caseload data'!$B:$B,{"licence","community"}))</f>
        <v>0</v>
      </c>
      <c r="E98" s="94" cm="1">
        <f t="array" ref="E98">SUM(SUMIFS('caseload data'!F:F,'caseload data'!$D:$D,"PSO",'caseload data'!$A:$A,"London",'caseload data'!$B:$B,{"licence","community"}))</f>
        <v>0</v>
      </c>
      <c r="F98" s="94" cm="1">
        <f t="array" ref="F98">SUM(SUMIFS('caseload data'!G:G,'caseload data'!$D:$D,"PSO",'caseload data'!$A:$A,"London",'caseload data'!$B:$B,{"licence","community"}))</f>
        <v>0</v>
      </c>
      <c r="G98" s="94" cm="1">
        <f t="array" ref="G98">SUM(SUMIFS('caseload data'!H:H,'caseload data'!$D:$D,"PSO",'caseload data'!$A:$A,"London",'caseload data'!$B:$B,{"licence","community"}))</f>
        <v>0</v>
      </c>
      <c r="H98" s="94" cm="1">
        <f t="array" ref="H98">SUM(SUMIFS('caseload data'!I:I,'caseload data'!$D:$D,"PSO",'caseload data'!$A:$A,"London",'caseload data'!$B:$B,{"licence","community"}))</f>
        <v>0</v>
      </c>
      <c r="I98" s="94" cm="1">
        <f t="array" ref="I98">SUM(SUMIFS('caseload data'!J:J,'caseload data'!$D:$D,"PSO",'caseload data'!$A:$A,"London",'caseload data'!$B:$B,{"licence","community"}))</f>
        <v>0</v>
      </c>
      <c r="J98" s="94" cm="1">
        <f t="array" ref="J98">SUM(SUMIFS('caseload data'!K:K,'caseload data'!$D:$D,"PSO",'caseload data'!$A:$A,"London",'caseload data'!$B:$B,{"licence","community"}))</f>
        <v>0</v>
      </c>
      <c r="K98" s="94" cm="1">
        <f t="array" ref="K98">SUM(SUMIFS('caseload data'!L:L,'caseload data'!$D:$D,"PSO",'caseload data'!$A:$A,"London",'caseload data'!$B:$B,{"licence","community"}))</f>
        <v>0</v>
      </c>
      <c r="L98" s="94" cm="1">
        <f t="array" ref="L98">SUM(SUMIFS('caseload data'!M:M,'caseload data'!$D:$D,"PSO",'caseload data'!$A:$A,"London",'caseload data'!$B:$B,{"licence","community"}))</f>
        <v>0</v>
      </c>
      <c r="M98" s="94" cm="1">
        <f t="array" ref="M98">SUM(SUMIFS('caseload data'!N:N,'caseload data'!$D:$D,"PSO",'caseload data'!$A:$A,"London",'caseload data'!$B:$B,{"licence","community"}))</f>
        <v>0</v>
      </c>
      <c r="N98" s="94" cm="1">
        <f t="array" ref="N98">SUM(SUMIFS('caseload data'!O:O,'caseload data'!$D:$D,"PSO",'caseload data'!$A:$A,"London",'caseload data'!$B:$B,{"licence","community"}))</f>
        <v>0</v>
      </c>
      <c r="O98" s="94" cm="1">
        <f t="array" ref="O98">SUM(SUMIFS('caseload data'!P:P,'caseload data'!$D:$D,"PSO",'caseload data'!$A:$A,"London",'caseload data'!$B:$B,{"licence","community"}))</f>
        <v>0</v>
      </c>
      <c r="P98" s="94" cm="1">
        <f t="array" ref="P98">SUM(SUMIFS('caseload data'!Q:Q,'caseload data'!$D:$D,"PSO",'caseload data'!$A:$A,"London",'caseload data'!$B:$B,{"licence","community"}))</f>
        <v>0</v>
      </c>
      <c r="Q98" s="94" cm="1">
        <f t="array" ref="Q98">SUM(SUMIFS('caseload data'!R:R,'caseload data'!$D:$D,"PSO",'caseload data'!$A:$A,"London",'caseload data'!$B:$B,{"licence","community"}))</f>
        <v>0</v>
      </c>
      <c r="R98" s="94" cm="1">
        <f t="array" ref="R98">SUM(SUMIFS('caseload data'!S:S,'caseload data'!$D:$D,"PSO",'caseload data'!$A:$A,"London",'caseload data'!$B:$B,{"licence","community"}))</f>
        <v>0</v>
      </c>
      <c r="S98" s="94" cm="1">
        <f t="array" ref="S98">SUM(SUMIFS('caseload data'!T:T,'caseload data'!$D:$D,"PSO",'caseload data'!$A:$A,"London",'caseload data'!$B:$B,{"licence","community"}))</f>
        <v>0</v>
      </c>
      <c r="T98" s="94" cm="1">
        <f t="array" ref="T98">SUM(SUMIFS('caseload data'!V:V,'caseload data'!D:D,"PSO",'caseload data'!A:A,"London",'caseload data'!B:B,{"licence","community"}))</f>
        <v>0</v>
      </c>
      <c r="U98" s="64"/>
      <c r="V98" s="64"/>
      <c r="W98" s="472"/>
      <c r="X98" s="129" t="s">
        <v>1007</v>
      </c>
      <c r="Y98" s="167" t="e">
        <f t="shared" ref="Y98:Y101" si="57">SUM(D98)/SUM(D$97:D$101)</f>
        <v>#DIV/0!</v>
      </c>
      <c r="Z98" s="167" t="e">
        <f t="shared" si="56"/>
        <v>#DIV/0!</v>
      </c>
      <c r="AA98" s="167" t="e">
        <f t="shared" si="56"/>
        <v>#DIV/0!</v>
      </c>
      <c r="AB98" s="167" t="e">
        <f t="shared" si="56"/>
        <v>#DIV/0!</v>
      </c>
      <c r="AC98" s="167" t="e">
        <f t="shared" si="56"/>
        <v>#DIV/0!</v>
      </c>
      <c r="AD98" s="167" t="e">
        <f t="shared" si="56"/>
        <v>#DIV/0!</v>
      </c>
      <c r="AE98" s="167" t="e">
        <f t="shared" si="56"/>
        <v>#DIV/0!</v>
      </c>
      <c r="AF98" s="167" t="e">
        <f t="shared" si="56"/>
        <v>#DIV/0!</v>
      </c>
      <c r="AG98" s="167" t="e">
        <f t="shared" si="56"/>
        <v>#DIV/0!</v>
      </c>
      <c r="AH98" s="167" t="e">
        <f t="shared" si="56"/>
        <v>#DIV/0!</v>
      </c>
      <c r="AI98" s="167" t="e">
        <f t="shared" si="56"/>
        <v>#DIV/0!</v>
      </c>
      <c r="AJ98" s="167" t="e">
        <f t="shared" si="56"/>
        <v>#DIV/0!</v>
      </c>
      <c r="AK98" s="167" t="e">
        <f t="shared" si="56"/>
        <v>#DIV/0!</v>
      </c>
      <c r="AL98" s="167" t="e">
        <f t="shared" si="56"/>
        <v>#DIV/0!</v>
      </c>
      <c r="AM98" s="167" t="e">
        <f t="shared" si="56"/>
        <v>#DIV/0!</v>
      </c>
      <c r="AN98" s="167" t="e">
        <f t="shared" si="56"/>
        <v>#DIV/0!</v>
      </c>
      <c r="AO98" s="167" t="e">
        <f t="shared" si="56"/>
        <v>#DIV/0!</v>
      </c>
    </row>
    <row r="99" spans="2:41" x14ac:dyDescent="0.15">
      <c r="B99" s="472"/>
      <c r="C99" s="129" t="s">
        <v>1008</v>
      </c>
      <c r="D99" s="94" cm="1">
        <f t="array" ref="D99">SUM(SUMIFS('caseload data'!E:E,'caseload data'!$D:$D,"TPO",'caseload data'!$A:$A,"London",'caseload data'!$B:$B,{"licence","community"}))</f>
        <v>0</v>
      </c>
      <c r="E99" s="94" cm="1">
        <f t="array" ref="E99">SUM(SUMIFS('caseload data'!F:F,'caseload data'!$D:$D,"TPO",'caseload data'!$A:$A,"London",'caseload data'!$B:$B,{"licence","community"}))</f>
        <v>0</v>
      </c>
      <c r="F99" s="94" cm="1">
        <f t="array" ref="F99">SUM(SUMIFS('caseload data'!G:G,'caseload data'!$D:$D,"TPO",'caseload data'!$A:$A,"London",'caseload data'!$B:$B,{"licence","community"}))</f>
        <v>0</v>
      </c>
      <c r="G99" s="94" cm="1">
        <f t="array" ref="G99">SUM(SUMIFS('caseload data'!H:H,'caseload data'!$D:$D,"TPO",'caseload data'!$A:$A,"London",'caseload data'!$B:$B,{"licence","community"}))</f>
        <v>0</v>
      </c>
      <c r="H99" s="94" cm="1">
        <f t="array" ref="H99">SUM(SUMIFS('caseload data'!I:I,'caseload data'!$D:$D,"TPO",'caseload data'!$A:$A,"London",'caseload data'!$B:$B,{"licence","community"}))</f>
        <v>0</v>
      </c>
      <c r="I99" s="94" cm="1">
        <f t="array" ref="I99">SUM(SUMIFS('caseload data'!J:J,'caseload data'!$D:$D,"TPO",'caseload data'!$A:$A,"London",'caseload data'!$B:$B,{"licence","community"}))</f>
        <v>0</v>
      </c>
      <c r="J99" s="94" cm="1">
        <f t="array" ref="J99">SUM(SUMIFS('caseload data'!K:K,'caseload data'!$D:$D,"TPO",'caseload data'!$A:$A,"London",'caseload data'!$B:$B,{"licence","community"}))</f>
        <v>0</v>
      </c>
      <c r="K99" s="94" cm="1">
        <f t="array" ref="K99">SUM(SUMIFS('caseload data'!L:L,'caseload data'!$D:$D,"TPO",'caseload data'!$A:$A,"London",'caseload data'!$B:$B,{"licence","community"}))</f>
        <v>0</v>
      </c>
      <c r="L99" s="94" cm="1">
        <f t="array" ref="L99">SUM(SUMIFS('caseload data'!M:M,'caseload data'!$D:$D,"TPO",'caseload data'!$A:$A,"London",'caseload data'!$B:$B,{"licence","community"}))</f>
        <v>0</v>
      </c>
      <c r="M99" s="94" cm="1">
        <f t="array" ref="M99">SUM(SUMIFS('caseload data'!N:N,'caseload data'!$D:$D,"TPO",'caseload data'!$A:$A,"London",'caseload data'!$B:$B,{"licence","community"}))</f>
        <v>0</v>
      </c>
      <c r="N99" s="94" cm="1">
        <f t="array" ref="N99">SUM(SUMIFS('caseload data'!O:O,'caseload data'!$D:$D,"TPO",'caseload data'!$A:$A,"London",'caseload data'!$B:$B,{"licence","community"}))</f>
        <v>0</v>
      </c>
      <c r="O99" s="94" cm="1">
        <f t="array" ref="O99">SUM(SUMIFS('caseload data'!P:P,'caseload data'!$D:$D,"TPO",'caseload data'!$A:$A,"London",'caseload data'!$B:$B,{"licence","community"}))</f>
        <v>0</v>
      </c>
      <c r="P99" s="94" cm="1">
        <f t="array" ref="P99">SUM(SUMIFS('caseload data'!Q:Q,'caseload data'!$D:$D,"TPO",'caseload data'!$A:$A,"London",'caseload data'!$B:$B,{"licence","community"}))</f>
        <v>0</v>
      </c>
      <c r="Q99" s="94" cm="1">
        <f t="array" ref="Q99">SUM(SUMIFS('caseload data'!R:R,'caseload data'!$D:$D,"TPO",'caseload data'!$A:$A,"London",'caseload data'!$B:$B,{"licence","community"}))</f>
        <v>0</v>
      </c>
      <c r="R99" s="94" cm="1">
        <f t="array" ref="R99">SUM(SUMIFS('caseload data'!S:S,'caseload data'!$D:$D,"TPO",'caseload data'!$A:$A,"London",'caseload data'!$B:$B,{"licence","community"}))</f>
        <v>0</v>
      </c>
      <c r="S99" s="94" cm="1">
        <f t="array" ref="S99">SUM(SUMIFS('caseload data'!T:T,'caseload data'!$D:$D,"TPO",'caseload data'!$A:$A,"London",'caseload data'!$B:$B,{"licence","community"}))</f>
        <v>0</v>
      </c>
      <c r="T99" s="94" cm="1">
        <f t="array" ref="T99">SUM(SUMIFS('caseload data'!V:V,'caseload data'!D:D,"TPO",'caseload data'!A:A,"London",'caseload data'!B:B,{"licence","community"}))</f>
        <v>0</v>
      </c>
      <c r="U99" s="64"/>
      <c r="V99" s="64"/>
      <c r="W99" s="472"/>
      <c r="X99" s="129" t="s">
        <v>1008</v>
      </c>
      <c r="Y99" s="167" t="e">
        <f t="shared" si="57"/>
        <v>#DIV/0!</v>
      </c>
      <c r="Z99" s="167" t="e">
        <f t="shared" si="56"/>
        <v>#DIV/0!</v>
      </c>
      <c r="AA99" s="167" t="e">
        <f t="shared" si="56"/>
        <v>#DIV/0!</v>
      </c>
      <c r="AB99" s="167" t="e">
        <f t="shared" si="56"/>
        <v>#DIV/0!</v>
      </c>
      <c r="AC99" s="167" t="e">
        <f t="shared" si="56"/>
        <v>#DIV/0!</v>
      </c>
      <c r="AD99" s="167" t="e">
        <f t="shared" si="56"/>
        <v>#DIV/0!</v>
      </c>
      <c r="AE99" s="167" t="e">
        <f t="shared" si="56"/>
        <v>#DIV/0!</v>
      </c>
      <c r="AF99" s="167" t="e">
        <f t="shared" si="56"/>
        <v>#DIV/0!</v>
      </c>
      <c r="AG99" s="167" t="e">
        <f t="shared" si="56"/>
        <v>#DIV/0!</v>
      </c>
      <c r="AH99" s="167" t="e">
        <f t="shared" si="56"/>
        <v>#DIV/0!</v>
      </c>
      <c r="AI99" s="167" t="e">
        <f t="shared" si="56"/>
        <v>#DIV/0!</v>
      </c>
      <c r="AJ99" s="167" t="e">
        <f t="shared" si="56"/>
        <v>#DIV/0!</v>
      </c>
      <c r="AK99" s="167" t="e">
        <f t="shared" si="56"/>
        <v>#DIV/0!</v>
      </c>
      <c r="AL99" s="167" t="e">
        <f t="shared" si="56"/>
        <v>#DIV/0!</v>
      </c>
      <c r="AM99" s="167" t="e">
        <f t="shared" si="56"/>
        <v>#DIV/0!</v>
      </c>
      <c r="AN99" s="167" t="e">
        <f t="shared" si="56"/>
        <v>#DIV/0!</v>
      </c>
      <c r="AO99" s="167" t="e">
        <f t="shared" si="56"/>
        <v>#DIV/0!</v>
      </c>
    </row>
    <row r="100" spans="2:41" x14ac:dyDescent="0.15">
      <c r="B100" s="472"/>
      <c r="C100" s="129" t="s">
        <v>1009</v>
      </c>
      <c r="D100" s="94" cm="1">
        <f t="array" ref="D100">SUM(SUMIFS('caseload data'!E:E,'caseload data'!$D:$D,"SPO",'caseload data'!$A:$A,"London",'caseload data'!$B:$B,{"licence","community"}))</f>
        <v>0</v>
      </c>
      <c r="E100" s="94" cm="1">
        <f t="array" ref="E100">SUM(SUMIFS('caseload data'!F:F,'caseload data'!$D:$D,"SPO",'caseload data'!$A:$A,"London",'caseload data'!$B:$B,{"licence","community"}))</f>
        <v>0</v>
      </c>
      <c r="F100" s="94" cm="1">
        <f t="array" ref="F100">SUM(SUMIFS('caseload data'!G:G,'caseload data'!$D:$D,"SPO",'caseload data'!$A:$A,"London",'caseload data'!$B:$B,{"licence","community"}))</f>
        <v>0</v>
      </c>
      <c r="G100" s="94" cm="1">
        <f t="array" ref="G100">SUM(SUMIFS('caseload data'!H:H,'caseload data'!$D:$D,"SPO",'caseload data'!$A:$A,"London",'caseload data'!$B:$B,{"licence","community"}))</f>
        <v>0</v>
      </c>
      <c r="H100" s="94" cm="1">
        <f t="array" ref="H100">SUM(SUMIFS('caseload data'!I:I,'caseload data'!$D:$D,"SPO",'caseload data'!$A:$A,"London",'caseload data'!$B:$B,{"licence","community"}))</f>
        <v>0</v>
      </c>
      <c r="I100" s="94" cm="1">
        <f t="array" ref="I100">SUM(SUMIFS('caseload data'!J:J,'caseload data'!$D:$D,"SPO",'caseload data'!$A:$A,"London",'caseload data'!$B:$B,{"licence","community"}))</f>
        <v>0</v>
      </c>
      <c r="J100" s="94" cm="1">
        <f t="array" ref="J100">SUM(SUMIFS('caseload data'!K:K,'caseload data'!$D:$D,"SPO",'caseload data'!$A:$A,"London",'caseload data'!$B:$B,{"licence","community"}))</f>
        <v>0</v>
      </c>
      <c r="K100" s="94" cm="1">
        <f t="array" ref="K100">SUM(SUMIFS('caseload data'!L:L,'caseload data'!$D:$D,"SPO",'caseload data'!$A:$A,"London",'caseload data'!$B:$B,{"licence","community"}))</f>
        <v>0</v>
      </c>
      <c r="L100" s="94" cm="1">
        <f t="array" ref="L100">SUM(SUMIFS('caseload data'!M:M,'caseload data'!$D:$D,"SPO",'caseload data'!$A:$A,"London",'caseload data'!$B:$B,{"licence","community"}))</f>
        <v>0</v>
      </c>
      <c r="M100" s="94" cm="1">
        <f t="array" ref="M100">SUM(SUMIFS('caseload data'!N:N,'caseload data'!$D:$D,"SPO",'caseload data'!$A:$A,"London",'caseload data'!$B:$B,{"licence","community"}))</f>
        <v>0</v>
      </c>
      <c r="N100" s="94" cm="1">
        <f t="array" ref="N100">SUM(SUMIFS('caseload data'!O:O,'caseload data'!$D:$D,"SPO",'caseload data'!$A:$A,"London",'caseload data'!$B:$B,{"licence","community"}))</f>
        <v>0</v>
      </c>
      <c r="O100" s="94" cm="1">
        <f t="array" ref="O100">SUM(SUMIFS('caseload data'!P:P,'caseload data'!$D:$D,"SPO",'caseload data'!$A:$A,"London",'caseload data'!$B:$B,{"licence","community"}))</f>
        <v>0</v>
      </c>
      <c r="P100" s="94" cm="1">
        <f t="array" ref="P100">SUM(SUMIFS('caseload data'!Q:Q,'caseload data'!$D:$D,"SPO",'caseload data'!$A:$A,"London",'caseload data'!$B:$B,{"licence","community"}))</f>
        <v>0</v>
      </c>
      <c r="Q100" s="94" cm="1">
        <f t="array" ref="Q100">SUM(SUMIFS('caseload data'!R:R,'caseload data'!$D:$D,"SPO",'caseload data'!$A:$A,"London",'caseload data'!$B:$B,{"licence","community"}))</f>
        <v>0</v>
      </c>
      <c r="R100" s="94" cm="1">
        <f t="array" ref="R100">SUM(SUMIFS('caseload data'!S:S,'caseload data'!$D:$D,"SPO",'caseload data'!$A:$A,"London",'caseload data'!$B:$B,{"licence","community"}))</f>
        <v>0</v>
      </c>
      <c r="S100" s="94" cm="1">
        <f t="array" ref="S100">SUM(SUMIFS('caseload data'!T:T,'caseload data'!$D:$D,"SPO",'caseload data'!$A:$A,"London",'caseload data'!$B:$B,{"licence","community"}))</f>
        <v>0</v>
      </c>
      <c r="T100" s="94" cm="1">
        <f t="array" ref="T100">SUM(SUMIFS('caseload data'!V:V,'caseload data'!$D:$D,"SPO",'caseload data'!$A:$A,"London",'caseload data'!$B:$B,{"licence","community"}))</f>
        <v>0</v>
      </c>
      <c r="U100" s="64"/>
      <c r="V100" s="64"/>
      <c r="W100" s="472"/>
      <c r="X100" s="129" t="s">
        <v>1009</v>
      </c>
      <c r="Y100" s="167" t="e">
        <f t="shared" si="57"/>
        <v>#DIV/0!</v>
      </c>
      <c r="Z100" s="167" t="e">
        <f t="shared" si="56"/>
        <v>#DIV/0!</v>
      </c>
      <c r="AA100" s="167" t="e">
        <f t="shared" si="56"/>
        <v>#DIV/0!</v>
      </c>
      <c r="AB100" s="167" t="e">
        <f t="shared" si="56"/>
        <v>#DIV/0!</v>
      </c>
      <c r="AC100" s="167" t="e">
        <f t="shared" si="56"/>
        <v>#DIV/0!</v>
      </c>
      <c r="AD100" s="167" t="e">
        <f t="shared" si="56"/>
        <v>#DIV/0!</v>
      </c>
      <c r="AE100" s="167" t="e">
        <f t="shared" si="56"/>
        <v>#DIV/0!</v>
      </c>
      <c r="AF100" s="167" t="e">
        <f t="shared" si="56"/>
        <v>#DIV/0!</v>
      </c>
      <c r="AG100" s="167" t="e">
        <f t="shared" si="56"/>
        <v>#DIV/0!</v>
      </c>
      <c r="AH100" s="167" t="e">
        <f t="shared" si="56"/>
        <v>#DIV/0!</v>
      </c>
      <c r="AI100" s="167" t="e">
        <f t="shared" si="56"/>
        <v>#DIV/0!</v>
      </c>
      <c r="AJ100" s="167" t="e">
        <f t="shared" si="56"/>
        <v>#DIV/0!</v>
      </c>
      <c r="AK100" s="167" t="e">
        <f t="shared" si="56"/>
        <v>#DIV/0!</v>
      </c>
      <c r="AL100" s="167" t="e">
        <f t="shared" si="56"/>
        <v>#DIV/0!</v>
      </c>
      <c r="AM100" s="167" t="e">
        <f t="shared" si="56"/>
        <v>#DIV/0!</v>
      </c>
      <c r="AN100" s="167" t="e">
        <f t="shared" si="56"/>
        <v>#DIV/0!</v>
      </c>
      <c r="AO100" s="167" t="e">
        <f t="shared" si="56"/>
        <v>#DIV/0!</v>
      </c>
    </row>
    <row r="101" spans="2:41" x14ac:dyDescent="0.15">
      <c r="B101" s="473"/>
      <c r="C101" s="130" t="s">
        <v>1344</v>
      </c>
      <c r="D101" s="94" cm="1">
        <f t="array" ref="D101">SUM(SUMIFS('caseload data'!E:E,'caseload data'!$D:$D,"DMY",'caseload data'!$A:$A,"London",'caseload data'!$B:$B,{"licence","community"}))</f>
        <v>0</v>
      </c>
      <c r="E101" s="94" cm="1">
        <f t="array" ref="E101">SUM(SUMIFS('caseload data'!F:F,'caseload data'!$D:$D,"DMY",'caseload data'!$A:$A,"London",'caseload data'!$B:$B,{"licence","community"}))</f>
        <v>0</v>
      </c>
      <c r="F101" s="94" cm="1">
        <f t="array" ref="F101">SUM(SUMIFS('caseload data'!G:G,'caseload data'!$D:$D,"DMY",'caseload data'!$A:$A,"London",'caseload data'!$B:$B,{"licence","community"}))</f>
        <v>0</v>
      </c>
      <c r="G101" s="94" cm="1">
        <f t="array" ref="G101">SUM(SUMIFS('caseload data'!H:H,'caseload data'!$D:$D,"DMY",'caseload data'!$A:$A,"London",'caseload data'!$B:$B,{"licence","community"}))</f>
        <v>0</v>
      </c>
      <c r="H101" s="94" cm="1">
        <f t="array" ref="H101">SUM(SUMIFS('caseload data'!I:I,'caseload data'!$D:$D,"DMY",'caseload data'!$A:$A,"London",'caseload data'!$B:$B,{"licence","community"}))</f>
        <v>0</v>
      </c>
      <c r="I101" s="94" cm="1">
        <f t="array" ref="I101">SUM(SUMIFS('caseload data'!J:J,'caseload data'!$D:$D,"DMY",'caseload data'!$A:$A,"London",'caseload data'!$B:$B,{"licence","community"}))</f>
        <v>0</v>
      </c>
      <c r="J101" s="94" cm="1">
        <f t="array" ref="J101">SUM(SUMIFS('caseload data'!K:K,'caseload data'!$D:$D,"DMY",'caseload data'!$A:$A,"London",'caseload data'!$B:$B,{"licence","community"}))</f>
        <v>0</v>
      </c>
      <c r="K101" s="94" cm="1">
        <f t="array" ref="K101">SUM(SUMIFS('caseload data'!L:L,'caseload data'!$D:$D,"DMY",'caseload data'!$A:$A,"London",'caseload data'!$B:$B,{"licence","community"}))</f>
        <v>0</v>
      </c>
      <c r="L101" s="94" cm="1">
        <f t="array" ref="L101">SUM(SUMIFS('caseload data'!M:M,'caseload data'!$D:$D,"DMY",'caseload data'!$A:$A,"London",'caseload data'!$B:$B,{"licence","community"}))</f>
        <v>0</v>
      </c>
      <c r="M101" s="94" cm="1">
        <f t="array" ref="M101">SUM(SUMIFS('caseload data'!N:N,'caseload data'!$D:$D,"DMY",'caseload data'!$A:$A,"London",'caseload data'!$B:$B,{"licence","community"}))</f>
        <v>0</v>
      </c>
      <c r="N101" s="94" cm="1">
        <f t="array" ref="N101">SUM(SUMIFS('caseload data'!O:O,'caseload data'!$D:$D,"DMY",'caseload data'!$A:$A,"London",'caseload data'!$B:$B,{"licence","community"}))</f>
        <v>0</v>
      </c>
      <c r="O101" s="94" cm="1">
        <f t="array" ref="O101">SUM(SUMIFS('caseload data'!P:P,'caseload data'!$D:$D,"DMY",'caseload data'!$A:$A,"London",'caseload data'!$B:$B,{"licence","community"}))</f>
        <v>0</v>
      </c>
      <c r="P101" s="94" cm="1">
        <f t="array" ref="P101">SUM(SUMIFS('caseload data'!Q:Q,'caseload data'!$D:$D,"DMY",'caseload data'!$A:$A,"London",'caseload data'!$B:$B,{"licence","community"}))</f>
        <v>0</v>
      </c>
      <c r="Q101" s="94" cm="1">
        <f t="array" ref="Q101">SUM(SUMIFS('caseload data'!R:R,'caseload data'!$D:$D,"DMY",'caseload data'!$A:$A,"London",'caseload data'!$B:$B,{"licence","community"}))</f>
        <v>0</v>
      </c>
      <c r="R101" s="94" cm="1">
        <f t="array" ref="R101">SUM(SUMIFS('caseload data'!S:S,'caseload data'!$D:$D,"DMY",'caseload data'!$A:$A,"London",'caseload data'!$B:$B,{"licence","community"}))</f>
        <v>0</v>
      </c>
      <c r="S101" s="94" cm="1">
        <f t="array" ref="S101">SUM(SUMIFS('caseload data'!T:T,'caseload data'!$D:$D,"DMY",'caseload data'!$A:$A,"London",'caseload data'!$B:$B,{"licence","community"}))</f>
        <v>0</v>
      </c>
      <c r="T101" s="94" cm="1">
        <f t="array" ref="T101">SUM(SUMIFS('caseload data'!V:V,'caseload data'!$D:$D,"DMY",'caseload data'!$A:$A,"London",'caseload data'!$B:$B,{"licence","community"}))</f>
        <v>0</v>
      </c>
      <c r="U101" s="64"/>
      <c r="V101" s="64"/>
      <c r="W101" s="473"/>
      <c r="X101" s="130" t="s">
        <v>1344</v>
      </c>
      <c r="Y101" s="167" t="e">
        <f t="shared" si="57"/>
        <v>#DIV/0!</v>
      </c>
      <c r="Z101" s="167" t="e">
        <f t="shared" si="56"/>
        <v>#DIV/0!</v>
      </c>
      <c r="AA101" s="167" t="e">
        <f t="shared" si="56"/>
        <v>#DIV/0!</v>
      </c>
      <c r="AB101" s="167" t="e">
        <f t="shared" si="56"/>
        <v>#DIV/0!</v>
      </c>
      <c r="AC101" s="167" t="e">
        <f t="shared" si="56"/>
        <v>#DIV/0!</v>
      </c>
      <c r="AD101" s="167" t="e">
        <f t="shared" si="56"/>
        <v>#DIV/0!</v>
      </c>
      <c r="AE101" s="167" t="e">
        <f t="shared" si="56"/>
        <v>#DIV/0!</v>
      </c>
      <c r="AF101" s="167" t="e">
        <f t="shared" si="56"/>
        <v>#DIV/0!</v>
      </c>
      <c r="AG101" s="167" t="e">
        <f t="shared" si="56"/>
        <v>#DIV/0!</v>
      </c>
      <c r="AH101" s="167" t="e">
        <f t="shared" si="56"/>
        <v>#DIV/0!</v>
      </c>
      <c r="AI101" s="167" t="e">
        <f t="shared" si="56"/>
        <v>#DIV/0!</v>
      </c>
      <c r="AJ101" s="167" t="e">
        <f t="shared" si="56"/>
        <v>#DIV/0!</v>
      </c>
      <c r="AK101" s="167" t="e">
        <f t="shared" si="56"/>
        <v>#DIV/0!</v>
      </c>
      <c r="AL101" s="167" t="e">
        <f t="shared" si="56"/>
        <v>#DIV/0!</v>
      </c>
      <c r="AM101" s="167" t="e">
        <f t="shared" si="56"/>
        <v>#DIV/0!</v>
      </c>
      <c r="AN101" s="167" t="e">
        <f t="shared" si="56"/>
        <v>#DIV/0!</v>
      </c>
      <c r="AO101" s="167" t="e">
        <f t="shared" si="56"/>
        <v>#DIV/0!</v>
      </c>
    </row>
    <row r="102" spans="2:41" x14ac:dyDescent="0.15">
      <c r="B102" s="471" t="s">
        <v>22</v>
      </c>
      <c r="C102" s="128" t="s">
        <v>1002</v>
      </c>
      <c r="D102" s="94" cm="1">
        <f t="array" ref="D102">SUM(SUMIFS('caseload data'!E:E,'caseload data'!$D:$D,"PO",'caseload data'!$A:$A,$B$102,'caseload data'!$B:$B,{"licence","community"}))</f>
        <v>0</v>
      </c>
      <c r="E102" s="94" cm="1">
        <f t="array" ref="E102">SUM(SUMIFS('caseload data'!F:F,'caseload data'!$D:$D,"PO",'caseload data'!$A:$A,$B$102,'caseload data'!$B:$B,{"licence","community"}))</f>
        <v>0</v>
      </c>
      <c r="F102" s="94" cm="1">
        <f t="array" ref="F102">SUM(SUMIFS('caseload data'!G:G,'caseload data'!$D:$D,"PO",'caseload data'!$A:$A,$B$102,'caseload data'!$B:$B,{"licence","community"}))</f>
        <v>0</v>
      </c>
      <c r="G102" s="94" cm="1">
        <f t="array" ref="G102">SUM(SUMIFS('caseload data'!H:H,'caseload data'!$D:$D,"PO",'caseload data'!$A:$A,$B$102,'caseload data'!$B:$B,{"licence","community"}))</f>
        <v>0</v>
      </c>
      <c r="H102" s="94" cm="1">
        <f t="array" ref="H102">SUM(SUMIFS('caseload data'!I:I,'caseload data'!$D:$D,"PO",'caseload data'!$A:$A,$B$102,'caseload data'!$B:$B,{"licence","community"}))</f>
        <v>0</v>
      </c>
      <c r="I102" s="94" cm="1">
        <f t="array" ref="I102">SUM(SUMIFS('caseload data'!J:J,'caseload data'!$D:$D,"PO",'caseload data'!$A:$A,$B$102,'caseload data'!$B:$B,{"licence","community"}))</f>
        <v>0</v>
      </c>
      <c r="J102" s="94" cm="1">
        <f t="array" ref="J102">SUM(SUMIFS('caseload data'!K:K,'caseload data'!$D:$D,"PO",'caseload data'!$A:$A,$B$102,'caseload data'!$B:$B,{"licence","community"}))</f>
        <v>0</v>
      </c>
      <c r="K102" s="94" cm="1">
        <f t="array" ref="K102">SUM(SUMIFS('caseload data'!L:L,'caseload data'!$D:$D,"PO",'caseload data'!$A:$A,$B$102,'caseload data'!$B:$B,{"licence","community"}))</f>
        <v>0</v>
      </c>
      <c r="L102" s="94" cm="1">
        <f t="array" ref="L102">SUM(SUMIFS('caseload data'!M:M,'caseload data'!$D:$D,"PO",'caseload data'!$A:$A,$B$102,'caseload data'!$B:$B,{"licence","community"}))</f>
        <v>0</v>
      </c>
      <c r="M102" s="94" cm="1">
        <f t="array" ref="M102">SUM(SUMIFS('caseload data'!N:N,'caseload data'!$D:$D,"PO",'caseload data'!$A:$A,$B$102,'caseload data'!$B:$B,{"licence","community"}))</f>
        <v>0</v>
      </c>
      <c r="N102" s="94" cm="1">
        <f t="array" ref="N102">SUM(SUMIFS('caseload data'!O:O,'caseload data'!$D:$D,"PO",'caseload data'!$A:$A,$B$102,'caseload data'!$B:$B,{"licence","community"}))</f>
        <v>0</v>
      </c>
      <c r="O102" s="94" cm="1">
        <f t="array" ref="O102">SUM(SUMIFS('caseload data'!P:P,'caseload data'!$D:$D,"PO",'caseload data'!$A:$A,$B$102,'caseload data'!$B:$B,{"licence","community"}))</f>
        <v>0</v>
      </c>
      <c r="P102" s="94" cm="1">
        <f t="array" ref="P102">SUM(SUMIFS('caseload data'!Q:Q,'caseload data'!$D:$D,"PO",'caseload data'!$A:$A,$B$102,'caseload data'!$B:$B,{"licence","community"}))</f>
        <v>0</v>
      </c>
      <c r="Q102" s="94" cm="1">
        <f t="array" ref="Q102">SUM(SUMIFS('caseload data'!R:R,'caseload data'!$D:$D,"PO",'caseload data'!$A:$A,$B$102,'caseload data'!$B:$B,{"licence","community"}))</f>
        <v>0</v>
      </c>
      <c r="R102" s="94" cm="1">
        <f t="array" ref="R102">SUM(SUMIFS('caseload data'!S:S,'caseload data'!$D:$D,"PO",'caseload data'!$A:$A,$B$102,'caseload data'!$B:$B,{"licence","community"}))</f>
        <v>0</v>
      </c>
      <c r="S102" s="94" cm="1">
        <f t="array" ref="S102">SUM(SUMIFS('caseload data'!T:T,'caseload data'!$D:$D,"PO",'caseload data'!$A:$A,$B$102,'caseload data'!$B:$B,{"licence","community"}))</f>
        <v>0</v>
      </c>
      <c r="T102" s="94">
        <f>SUM(SUMIFS('caseload data'!V:V,'caseload data'!D:D,"PO",'caseload data'!A:A,B102,'caseload data'!B:B,{"licence","community"}))</f>
        <v>0</v>
      </c>
      <c r="U102" s="64"/>
      <c r="V102" s="64"/>
      <c r="W102" s="471" t="s">
        <v>22</v>
      </c>
      <c r="X102" s="128" t="s">
        <v>1002</v>
      </c>
      <c r="Y102" s="167" t="e">
        <f>SUM(D102)/SUM(D$102:D$106)</f>
        <v>#DIV/0!</v>
      </c>
      <c r="Z102" s="167" t="e">
        <f t="shared" ref="Z102:AO106" si="58">SUM(E102)/SUM(E$102:E$106)</f>
        <v>#DIV/0!</v>
      </c>
      <c r="AA102" s="167" t="e">
        <f t="shared" si="58"/>
        <v>#DIV/0!</v>
      </c>
      <c r="AB102" s="167" t="e">
        <f t="shared" si="58"/>
        <v>#DIV/0!</v>
      </c>
      <c r="AC102" s="167" t="e">
        <f t="shared" si="58"/>
        <v>#DIV/0!</v>
      </c>
      <c r="AD102" s="167" t="e">
        <f t="shared" si="58"/>
        <v>#DIV/0!</v>
      </c>
      <c r="AE102" s="167" t="e">
        <f t="shared" si="58"/>
        <v>#DIV/0!</v>
      </c>
      <c r="AF102" s="167" t="e">
        <f t="shared" si="58"/>
        <v>#DIV/0!</v>
      </c>
      <c r="AG102" s="167" t="e">
        <f t="shared" si="58"/>
        <v>#DIV/0!</v>
      </c>
      <c r="AH102" s="167" t="e">
        <f t="shared" si="58"/>
        <v>#DIV/0!</v>
      </c>
      <c r="AI102" s="167" t="e">
        <f t="shared" si="58"/>
        <v>#DIV/0!</v>
      </c>
      <c r="AJ102" s="167" t="e">
        <f t="shared" si="58"/>
        <v>#DIV/0!</v>
      </c>
      <c r="AK102" s="167" t="e">
        <f t="shared" si="58"/>
        <v>#DIV/0!</v>
      </c>
      <c r="AL102" s="167" t="e">
        <f t="shared" si="58"/>
        <v>#DIV/0!</v>
      </c>
      <c r="AM102" s="167" t="e">
        <f t="shared" si="58"/>
        <v>#DIV/0!</v>
      </c>
      <c r="AN102" s="167" t="e">
        <f t="shared" si="58"/>
        <v>#DIV/0!</v>
      </c>
      <c r="AO102" s="167" t="e">
        <f t="shared" si="58"/>
        <v>#DIV/0!</v>
      </c>
    </row>
    <row r="103" spans="2:41" x14ac:dyDescent="0.15">
      <c r="B103" s="472"/>
      <c r="C103" s="129" t="s">
        <v>1007</v>
      </c>
      <c r="D103" s="94" cm="1">
        <f t="array" ref="D103">SUM(SUMIFS('caseload data'!E:E,'caseload data'!$D:$D,"PSO",'caseload data'!$A:$A,"North East Region",'caseload data'!$B:$B,{"licence","community"}))</f>
        <v>0</v>
      </c>
      <c r="E103" s="94" cm="1">
        <f t="array" ref="E103">SUM(SUMIFS('caseload data'!F:F,'caseload data'!$D:$D,"PSO",'caseload data'!$A:$A,"North East Region",'caseload data'!$B:$B,{"licence","community"}))</f>
        <v>0</v>
      </c>
      <c r="F103" s="94" cm="1">
        <f t="array" ref="F103">SUM(SUMIFS('caseload data'!G:G,'caseload data'!$D:$D,"PSO",'caseload data'!$A:$A,"North East Region",'caseload data'!$B:$B,{"licence","community"}))</f>
        <v>0</v>
      </c>
      <c r="G103" s="94" cm="1">
        <f t="array" ref="G103">SUM(SUMIFS('caseload data'!H:H,'caseload data'!$D:$D,"PSO",'caseload data'!$A:$A,"North East Region",'caseload data'!$B:$B,{"licence","community"}))</f>
        <v>0</v>
      </c>
      <c r="H103" s="94" cm="1">
        <f t="array" ref="H103">SUM(SUMIFS('caseload data'!I:I,'caseload data'!$D:$D,"PSO",'caseload data'!$A:$A,"North East Region",'caseload data'!$B:$B,{"licence","community"}))</f>
        <v>0</v>
      </c>
      <c r="I103" s="94" cm="1">
        <f t="array" ref="I103">SUM(SUMIFS('caseload data'!J:J,'caseload data'!$D:$D,"PSO",'caseload data'!$A:$A,"North East Region",'caseload data'!$B:$B,{"licence","community"}))</f>
        <v>0</v>
      </c>
      <c r="J103" s="94" cm="1">
        <f t="array" ref="J103">SUM(SUMIFS('caseload data'!K:K,'caseload data'!$D:$D,"PSO",'caseload data'!$A:$A,"North East Region",'caseload data'!$B:$B,{"licence","community"}))</f>
        <v>0</v>
      </c>
      <c r="K103" s="94" cm="1">
        <f t="array" ref="K103">SUM(SUMIFS('caseload data'!L:L,'caseload data'!$D:$D,"PSO",'caseload data'!$A:$A,"North East Region",'caseload data'!$B:$B,{"licence","community"}))</f>
        <v>0</v>
      </c>
      <c r="L103" s="94" cm="1">
        <f t="array" ref="L103">SUM(SUMIFS('caseload data'!M:M,'caseload data'!$D:$D,"PSO",'caseload data'!$A:$A,"North East Region",'caseload data'!$B:$B,{"licence","community"}))</f>
        <v>0</v>
      </c>
      <c r="M103" s="94" cm="1">
        <f t="array" ref="M103">SUM(SUMIFS('caseload data'!N:N,'caseload data'!$D:$D,"PSO",'caseload data'!$A:$A,"North East Region",'caseload data'!$B:$B,{"licence","community"}))</f>
        <v>0</v>
      </c>
      <c r="N103" s="94" cm="1">
        <f t="array" ref="N103">SUM(SUMIFS('caseload data'!O:O,'caseload data'!$D:$D,"PSO",'caseload data'!$A:$A,"North East Region",'caseload data'!$B:$B,{"licence","community"}))</f>
        <v>0</v>
      </c>
      <c r="O103" s="94" cm="1">
        <f t="array" ref="O103">SUM(SUMIFS('caseload data'!P:P,'caseload data'!$D:$D,"PSO",'caseload data'!$A:$A,"North East Region",'caseload data'!$B:$B,{"licence","community"}))</f>
        <v>0</v>
      </c>
      <c r="P103" s="94" cm="1">
        <f t="array" ref="P103">SUM(SUMIFS('caseload data'!Q:Q,'caseload data'!$D:$D,"PSO",'caseload data'!$A:$A,"North East Region",'caseload data'!$B:$B,{"licence","community"}))</f>
        <v>0</v>
      </c>
      <c r="Q103" s="94" cm="1">
        <f t="array" ref="Q103">SUM(SUMIFS('caseload data'!R:R,'caseload data'!$D:$D,"PSO",'caseload data'!$A:$A,"North East Region",'caseload data'!$B:$B,{"licence","community"}))</f>
        <v>0</v>
      </c>
      <c r="R103" s="94" cm="1">
        <f t="array" ref="R103">SUM(SUMIFS('caseload data'!S:S,'caseload data'!$D:$D,"PSO",'caseload data'!$A:$A,"North East Region",'caseload data'!$B:$B,{"licence","community"}))</f>
        <v>0</v>
      </c>
      <c r="S103" s="94" cm="1">
        <f t="array" ref="S103">SUM(SUMIFS('caseload data'!T:T,'caseload data'!$D:$D,"PSO",'caseload data'!$A:$A,"North East Region",'caseload data'!$B:$B,{"licence","community"}))</f>
        <v>0</v>
      </c>
      <c r="T103" s="94" cm="1">
        <f t="array" ref="T103">SUM(SUMIFS('caseload data'!V:V,'caseload data'!D:D,"PSO",'caseload data'!A:A,"North East Region",'caseload data'!B:B,{"licence","community"}))</f>
        <v>0</v>
      </c>
      <c r="U103" s="64"/>
      <c r="V103" s="64"/>
      <c r="W103" s="472"/>
      <c r="X103" s="129" t="s">
        <v>1007</v>
      </c>
      <c r="Y103" s="167" t="e">
        <f t="shared" ref="Y103:Y106" si="59">SUM(D103)/SUM(D$102:D$106)</f>
        <v>#DIV/0!</v>
      </c>
      <c r="Z103" s="167" t="e">
        <f t="shared" si="58"/>
        <v>#DIV/0!</v>
      </c>
      <c r="AA103" s="167" t="e">
        <f t="shared" si="58"/>
        <v>#DIV/0!</v>
      </c>
      <c r="AB103" s="167" t="e">
        <f t="shared" si="58"/>
        <v>#DIV/0!</v>
      </c>
      <c r="AC103" s="167" t="e">
        <f t="shared" si="58"/>
        <v>#DIV/0!</v>
      </c>
      <c r="AD103" s="167" t="e">
        <f t="shared" si="58"/>
        <v>#DIV/0!</v>
      </c>
      <c r="AE103" s="167" t="e">
        <f t="shared" si="58"/>
        <v>#DIV/0!</v>
      </c>
      <c r="AF103" s="167" t="e">
        <f t="shared" si="58"/>
        <v>#DIV/0!</v>
      </c>
      <c r="AG103" s="167" t="e">
        <f t="shared" si="58"/>
        <v>#DIV/0!</v>
      </c>
      <c r="AH103" s="167" t="e">
        <f t="shared" si="58"/>
        <v>#DIV/0!</v>
      </c>
      <c r="AI103" s="167" t="e">
        <f t="shared" si="58"/>
        <v>#DIV/0!</v>
      </c>
      <c r="AJ103" s="167" t="e">
        <f t="shared" si="58"/>
        <v>#DIV/0!</v>
      </c>
      <c r="AK103" s="167" t="e">
        <f t="shared" si="58"/>
        <v>#DIV/0!</v>
      </c>
      <c r="AL103" s="167" t="e">
        <f t="shared" si="58"/>
        <v>#DIV/0!</v>
      </c>
      <c r="AM103" s="167" t="e">
        <f t="shared" si="58"/>
        <v>#DIV/0!</v>
      </c>
      <c r="AN103" s="167" t="e">
        <f t="shared" si="58"/>
        <v>#DIV/0!</v>
      </c>
      <c r="AO103" s="167" t="e">
        <f t="shared" si="58"/>
        <v>#DIV/0!</v>
      </c>
    </row>
    <row r="104" spans="2:41" x14ac:dyDescent="0.15">
      <c r="B104" s="472"/>
      <c r="C104" s="129" t="s">
        <v>1008</v>
      </c>
      <c r="D104" s="94" cm="1">
        <f t="array" ref="D104">SUM(SUMIFS('caseload data'!E:E,'caseload data'!$D:$D,"TPO",'caseload data'!$A:$A,"North East Region",'caseload data'!$B:$B,{"licence","community"}))</f>
        <v>0</v>
      </c>
      <c r="E104" s="94" cm="1">
        <f t="array" ref="E104">SUM(SUMIFS('caseload data'!F:F,'caseload data'!$D:$D,"TPO",'caseload data'!$A:$A,"North East Region",'caseload data'!$B:$B,{"licence","community"}))</f>
        <v>0</v>
      </c>
      <c r="F104" s="94" cm="1">
        <f t="array" ref="F104">SUM(SUMIFS('caseload data'!G:G,'caseload data'!$D:$D,"TPO",'caseload data'!$A:$A,"North East Region",'caseload data'!$B:$B,{"licence","community"}))</f>
        <v>0</v>
      </c>
      <c r="G104" s="94" cm="1">
        <f t="array" ref="G104">SUM(SUMIFS('caseload data'!H:H,'caseload data'!$D:$D,"TPO",'caseload data'!$A:$A,"North East Region",'caseload data'!$B:$B,{"licence","community"}))</f>
        <v>0</v>
      </c>
      <c r="H104" s="94" cm="1">
        <f t="array" ref="H104">SUM(SUMIFS('caseload data'!I:I,'caseload data'!$D:$D,"TPO",'caseload data'!$A:$A,"North East Region",'caseload data'!$B:$B,{"licence","community"}))</f>
        <v>0</v>
      </c>
      <c r="I104" s="94" cm="1">
        <f t="array" ref="I104">SUM(SUMIFS('caseload data'!J:J,'caseload data'!$D:$D,"TPO",'caseload data'!$A:$A,"North East Region",'caseload data'!$B:$B,{"licence","community"}))</f>
        <v>0</v>
      </c>
      <c r="J104" s="94" cm="1">
        <f t="array" ref="J104">SUM(SUMIFS('caseload data'!K:K,'caseload data'!$D:$D,"TPO",'caseload data'!$A:$A,"North East Region",'caseload data'!$B:$B,{"licence","community"}))</f>
        <v>0</v>
      </c>
      <c r="K104" s="94" cm="1">
        <f t="array" ref="K104">SUM(SUMIFS('caseload data'!L:L,'caseload data'!$D:$D,"TPO",'caseload data'!$A:$A,"North East Region",'caseload data'!$B:$B,{"licence","community"}))</f>
        <v>0</v>
      </c>
      <c r="L104" s="94" cm="1">
        <f t="array" ref="L104">SUM(SUMIFS('caseload data'!M:M,'caseload data'!$D:$D,"TPO",'caseload data'!$A:$A,"North East Region",'caseload data'!$B:$B,{"licence","community"}))</f>
        <v>0</v>
      </c>
      <c r="M104" s="94" cm="1">
        <f t="array" ref="M104">SUM(SUMIFS('caseload data'!N:N,'caseload data'!$D:$D,"TPO",'caseload data'!$A:$A,"North East Region",'caseload data'!$B:$B,{"licence","community"}))</f>
        <v>0</v>
      </c>
      <c r="N104" s="94" cm="1">
        <f t="array" ref="N104">SUM(SUMIFS('caseload data'!O:O,'caseload data'!$D:$D,"TPO",'caseload data'!$A:$A,"North East Region",'caseload data'!$B:$B,{"licence","community"}))</f>
        <v>0</v>
      </c>
      <c r="O104" s="94" cm="1">
        <f t="array" ref="O104">SUM(SUMIFS('caseload data'!P:P,'caseload data'!$D:$D,"TPO",'caseload data'!$A:$A,"North East Region",'caseload data'!$B:$B,{"licence","community"}))</f>
        <v>0</v>
      </c>
      <c r="P104" s="94" cm="1">
        <f t="array" ref="P104">SUM(SUMIFS('caseload data'!Q:Q,'caseload data'!$D:$D,"TPO",'caseload data'!$A:$A,"North East Region",'caseload data'!$B:$B,{"licence","community"}))</f>
        <v>0</v>
      </c>
      <c r="Q104" s="94" cm="1">
        <f t="array" ref="Q104">SUM(SUMIFS('caseload data'!R:R,'caseload data'!$D:$D,"TPO",'caseload data'!$A:$A,"North East Region",'caseload data'!$B:$B,{"licence","community"}))</f>
        <v>0</v>
      </c>
      <c r="R104" s="94" cm="1">
        <f t="array" ref="R104">SUM(SUMIFS('caseload data'!S:S,'caseload data'!$D:$D,"TPO",'caseload data'!$A:$A,"North East Region",'caseload data'!$B:$B,{"licence","community"}))</f>
        <v>0</v>
      </c>
      <c r="S104" s="94" cm="1">
        <f t="array" ref="S104">SUM(SUMIFS('caseload data'!T:T,'caseload data'!$D:$D,"TPO",'caseload data'!$A:$A,"North East Region",'caseload data'!$B:$B,{"licence","community"}))</f>
        <v>0</v>
      </c>
      <c r="T104" s="94" cm="1">
        <f t="array" ref="T104">SUM(SUMIFS('caseload data'!V:V,'caseload data'!D:D,"TPO",'caseload data'!A:A,"North East Region",'caseload data'!B:B,{"licence","community"}))</f>
        <v>0</v>
      </c>
      <c r="U104" s="64"/>
      <c r="V104" s="64"/>
      <c r="W104" s="472"/>
      <c r="X104" s="129" t="s">
        <v>1008</v>
      </c>
      <c r="Y104" s="167" t="e">
        <f t="shared" si="59"/>
        <v>#DIV/0!</v>
      </c>
      <c r="Z104" s="167" t="e">
        <f t="shared" si="58"/>
        <v>#DIV/0!</v>
      </c>
      <c r="AA104" s="167" t="e">
        <f t="shared" si="58"/>
        <v>#DIV/0!</v>
      </c>
      <c r="AB104" s="167" t="e">
        <f t="shared" si="58"/>
        <v>#DIV/0!</v>
      </c>
      <c r="AC104" s="167" t="e">
        <f t="shared" si="58"/>
        <v>#DIV/0!</v>
      </c>
      <c r="AD104" s="167" t="e">
        <f t="shared" si="58"/>
        <v>#DIV/0!</v>
      </c>
      <c r="AE104" s="167" t="e">
        <f t="shared" si="58"/>
        <v>#DIV/0!</v>
      </c>
      <c r="AF104" s="167" t="e">
        <f t="shared" si="58"/>
        <v>#DIV/0!</v>
      </c>
      <c r="AG104" s="167" t="e">
        <f t="shared" si="58"/>
        <v>#DIV/0!</v>
      </c>
      <c r="AH104" s="167" t="e">
        <f t="shared" si="58"/>
        <v>#DIV/0!</v>
      </c>
      <c r="AI104" s="167" t="e">
        <f t="shared" si="58"/>
        <v>#DIV/0!</v>
      </c>
      <c r="AJ104" s="167" t="e">
        <f t="shared" si="58"/>
        <v>#DIV/0!</v>
      </c>
      <c r="AK104" s="167" t="e">
        <f t="shared" si="58"/>
        <v>#DIV/0!</v>
      </c>
      <c r="AL104" s="167" t="e">
        <f t="shared" si="58"/>
        <v>#DIV/0!</v>
      </c>
      <c r="AM104" s="167" t="e">
        <f t="shared" si="58"/>
        <v>#DIV/0!</v>
      </c>
      <c r="AN104" s="167" t="e">
        <f t="shared" si="58"/>
        <v>#DIV/0!</v>
      </c>
      <c r="AO104" s="167" t="e">
        <f t="shared" si="58"/>
        <v>#DIV/0!</v>
      </c>
    </row>
    <row r="105" spans="2:41" x14ac:dyDescent="0.15">
      <c r="B105" s="472"/>
      <c r="C105" s="129" t="s">
        <v>1009</v>
      </c>
      <c r="D105" s="94" cm="1">
        <f t="array" ref="D105">SUM(SUMIFS('caseload data'!E:E,'caseload data'!$D:$D,"SPO",'caseload data'!$A:$A,"North East Region",'caseload data'!$B:$B,{"licence","community"}))</f>
        <v>0</v>
      </c>
      <c r="E105" s="94" cm="1">
        <f t="array" ref="E105">SUM(SUMIFS('caseload data'!F:F,'caseload data'!$D:$D,"SPO",'caseload data'!$A:$A,"North East Region",'caseload data'!$B:$B,{"licence","community"}))</f>
        <v>0</v>
      </c>
      <c r="F105" s="94" cm="1">
        <f t="array" ref="F105">SUM(SUMIFS('caseload data'!G:G,'caseload data'!$D:$D,"SPO",'caseload data'!$A:$A,"North East Region",'caseload data'!$B:$B,{"licence","community"}))</f>
        <v>0</v>
      </c>
      <c r="G105" s="94" cm="1">
        <f t="array" ref="G105">SUM(SUMIFS('caseload data'!H:H,'caseload data'!$D:$D,"SPO",'caseload data'!$A:$A,"North East Region",'caseload data'!$B:$B,{"licence","community"}))</f>
        <v>0</v>
      </c>
      <c r="H105" s="94" cm="1">
        <f t="array" ref="H105">SUM(SUMIFS('caseload data'!I:I,'caseload data'!$D:$D,"SPO",'caseload data'!$A:$A,"North East Region",'caseload data'!$B:$B,{"licence","community"}))</f>
        <v>0</v>
      </c>
      <c r="I105" s="94" cm="1">
        <f t="array" ref="I105">SUM(SUMIFS('caseload data'!J:J,'caseload data'!$D:$D,"SPO",'caseload data'!$A:$A,"North East Region",'caseload data'!$B:$B,{"licence","community"}))</f>
        <v>0</v>
      </c>
      <c r="J105" s="94" cm="1">
        <f t="array" ref="J105">SUM(SUMIFS('caseload data'!K:K,'caseload data'!$D:$D,"SPO",'caseload data'!$A:$A,"North East Region",'caseload data'!$B:$B,{"licence","community"}))</f>
        <v>0</v>
      </c>
      <c r="K105" s="94" cm="1">
        <f t="array" ref="K105">SUM(SUMIFS('caseload data'!L:L,'caseload data'!$D:$D,"SPO",'caseload data'!$A:$A,"North East Region",'caseload data'!$B:$B,{"licence","community"}))</f>
        <v>0</v>
      </c>
      <c r="L105" s="94" cm="1">
        <f t="array" ref="L105">SUM(SUMIFS('caseload data'!M:M,'caseload data'!$D:$D,"SPO",'caseload data'!$A:$A,"North East Region",'caseload data'!$B:$B,{"licence","community"}))</f>
        <v>0</v>
      </c>
      <c r="M105" s="94" cm="1">
        <f t="array" ref="M105">SUM(SUMIFS('caseload data'!N:N,'caseload data'!$D:$D,"SPO",'caseload data'!$A:$A,"North East Region",'caseload data'!$B:$B,{"licence","community"}))</f>
        <v>0</v>
      </c>
      <c r="N105" s="94" cm="1">
        <f t="array" ref="N105">SUM(SUMIFS('caseload data'!O:O,'caseload data'!$D:$D,"SPO",'caseload data'!$A:$A,"North East Region",'caseload data'!$B:$B,{"licence","community"}))</f>
        <v>0</v>
      </c>
      <c r="O105" s="94" cm="1">
        <f t="array" ref="O105">SUM(SUMIFS('caseload data'!P:P,'caseload data'!$D:$D,"SPO",'caseload data'!$A:$A,"North East Region",'caseload data'!$B:$B,{"licence","community"}))</f>
        <v>0</v>
      </c>
      <c r="P105" s="94" cm="1">
        <f t="array" ref="P105">SUM(SUMIFS('caseload data'!Q:Q,'caseload data'!$D:$D,"SPO",'caseload data'!$A:$A,"North East Region",'caseload data'!$B:$B,{"licence","community"}))</f>
        <v>0</v>
      </c>
      <c r="Q105" s="94" cm="1">
        <f t="array" ref="Q105">SUM(SUMIFS('caseload data'!R:R,'caseload data'!$D:$D,"SPO",'caseload data'!$A:$A,"North East Region",'caseload data'!$B:$B,{"licence","community"}))</f>
        <v>0</v>
      </c>
      <c r="R105" s="94" cm="1">
        <f t="array" ref="R105">SUM(SUMIFS('caseload data'!S:S,'caseload data'!$D:$D,"SPO",'caseload data'!$A:$A,"North East Region",'caseload data'!$B:$B,{"licence","community"}))</f>
        <v>0</v>
      </c>
      <c r="S105" s="94" cm="1">
        <f t="array" ref="S105">SUM(SUMIFS('caseload data'!T:T,'caseload data'!$D:$D,"SPO",'caseload data'!$A:$A,"North East Region",'caseload data'!$B:$B,{"licence","community"}))</f>
        <v>0</v>
      </c>
      <c r="T105" s="94" cm="1">
        <f t="array" ref="T105">SUM(SUMIFS('caseload data'!V:V,'caseload data'!$D:$D,"SPO",'caseload data'!$A:$A,"North East Region",'caseload data'!$B:$B,{"licence","community"}))</f>
        <v>0</v>
      </c>
      <c r="U105" s="64"/>
      <c r="V105" s="64"/>
      <c r="W105" s="472"/>
      <c r="X105" s="129" t="s">
        <v>1009</v>
      </c>
      <c r="Y105" s="167" t="e">
        <f t="shared" si="59"/>
        <v>#DIV/0!</v>
      </c>
      <c r="Z105" s="167" t="e">
        <f t="shared" si="58"/>
        <v>#DIV/0!</v>
      </c>
      <c r="AA105" s="167" t="e">
        <f t="shared" si="58"/>
        <v>#DIV/0!</v>
      </c>
      <c r="AB105" s="167" t="e">
        <f t="shared" si="58"/>
        <v>#DIV/0!</v>
      </c>
      <c r="AC105" s="167" t="e">
        <f t="shared" si="58"/>
        <v>#DIV/0!</v>
      </c>
      <c r="AD105" s="167" t="e">
        <f t="shared" si="58"/>
        <v>#DIV/0!</v>
      </c>
      <c r="AE105" s="167" t="e">
        <f t="shared" si="58"/>
        <v>#DIV/0!</v>
      </c>
      <c r="AF105" s="167" t="e">
        <f t="shared" si="58"/>
        <v>#DIV/0!</v>
      </c>
      <c r="AG105" s="167" t="e">
        <f t="shared" si="58"/>
        <v>#DIV/0!</v>
      </c>
      <c r="AH105" s="167" t="e">
        <f t="shared" si="58"/>
        <v>#DIV/0!</v>
      </c>
      <c r="AI105" s="167" t="e">
        <f t="shared" si="58"/>
        <v>#DIV/0!</v>
      </c>
      <c r="AJ105" s="167" t="e">
        <f t="shared" si="58"/>
        <v>#DIV/0!</v>
      </c>
      <c r="AK105" s="167" t="e">
        <f t="shared" si="58"/>
        <v>#DIV/0!</v>
      </c>
      <c r="AL105" s="167" t="e">
        <f t="shared" si="58"/>
        <v>#DIV/0!</v>
      </c>
      <c r="AM105" s="167" t="e">
        <f t="shared" si="58"/>
        <v>#DIV/0!</v>
      </c>
      <c r="AN105" s="167" t="e">
        <f t="shared" si="58"/>
        <v>#DIV/0!</v>
      </c>
      <c r="AO105" s="167" t="e">
        <f t="shared" si="58"/>
        <v>#DIV/0!</v>
      </c>
    </row>
    <row r="106" spans="2:41" x14ac:dyDescent="0.15">
      <c r="B106" s="473"/>
      <c r="C106" s="130" t="s">
        <v>1344</v>
      </c>
      <c r="D106" s="94" cm="1">
        <f t="array" ref="D106">SUM(SUMIFS('caseload data'!E:E,'caseload data'!$D:$D,"DMY",'caseload data'!$A:$A,"North East Region",'caseload data'!$B:$B,{"licence","community"}))</f>
        <v>0</v>
      </c>
      <c r="E106" s="94" cm="1">
        <f t="array" ref="E106">SUM(SUMIFS('caseload data'!F:F,'caseload data'!$D:$D,"DMY",'caseload data'!$A:$A,"North East Region",'caseload data'!$B:$B,{"licence","community"}))</f>
        <v>0</v>
      </c>
      <c r="F106" s="94" cm="1">
        <f t="array" ref="F106">SUM(SUMIFS('caseload data'!G:G,'caseload data'!$D:$D,"DMY",'caseload data'!$A:$A,"North East Region",'caseload data'!$B:$B,{"licence","community"}))</f>
        <v>0</v>
      </c>
      <c r="G106" s="94" cm="1">
        <f t="array" ref="G106">SUM(SUMIFS('caseload data'!H:H,'caseload data'!$D:$D,"DMY",'caseload data'!$A:$A,"North East Region",'caseload data'!$B:$B,{"licence","community"}))</f>
        <v>0</v>
      </c>
      <c r="H106" s="94" cm="1">
        <f t="array" ref="H106">SUM(SUMIFS('caseload data'!I:I,'caseload data'!$D:$D,"DMY",'caseload data'!$A:$A,"North East Region",'caseload data'!$B:$B,{"licence","community"}))</f>
        <v>0</v>
      </c>
      <c r="I106" s="94" cm="1">
        <f t="array" ref="I106">SUM(SUMIFS('caseload data'!J:J,'caseload data'!$D:$D,"DMY",'caseload data'!$A:$A,"North East Region",'caseload data'!$B:$B,{"licence","community"}))</f>
        <v>0</v>
      </c>
      <c r="J106" s="94" cm="1">
        <f t="array" ref="J106">SUM(SUMIFS('caseload data'!K:K,'caseload data'!$D:$D,"DMY",'caseload data'!$A:$A,"North East Region",'caseload data'!$B:$B,{"licence","community"}))</f>
        <v>0</v>
      </c>
      <c r="K106" s="94" cm="1">
        <f t="array" ref="K106">SUM(SUMIFS('caseload data'!L:L,'caseload data'!$D:$D,"DMY",'caseload data'!$A:$A,"North East Region",'caseload data'!$B:$B,{"licence","community"}))</f>
        <v>0</v>
      </c>
      <c r="L106" s="94" cm="1">
        <f t="array" ref="L106">SUM(SUMIFS('caseload data'!M:M,'caseload data'!$D:$D,"DMY",'caseload data'!$A:$A,"North East Region",'caseload data'!$B:$B,{"licence","community"}))</f>
        <v>0</v>
      </c>
      <c r="M106" s="94" cm="1">
        <f t="array" ref="M106">SUM(SUMIFS('caseload data'!N:N,'caseload data'!$D:$D,"DMY",'caseload data'!$A:$A,"North East Region",'caseload data'!$B:$B,{"licence","community"}))</f>
        <v>0</v>
      </c>
      <c r="N106" s="94" cm="1">
        <f t="array" ref="N106">SUM(SUMIFS('caseload data'!O:O,'caseload data'!$D:$D,"DMY",'caseload data'!$A:$A,"North East Region",'caseload data'!$B:$B,{"licence","community"}))</f>
        <v>0</v>
      </c>
      <c r="O106" s="94" cm="1">
        <f t="array" ref="O106">SUM(SUMIFS('caseload data'!P:P,'caseload data'!$D:$D,"DMY",'caseload data'!$A:$A,"North East Region",'caseload data'!$B:$B,{"licence","community"}))</f>
        <v>0</v>
      </c>
      <c r="P106" s="94" cm="1">
        <f t="array" ref="P106">SUM(SUMIFS('caseload data'!Q:Q,'caseload data'!$D:$D,"DMY",'caseload data'!$A:$A,"North East Region",'caseload data'!$B:$B,{"licence","community"}))</f>
        <v>0</v>
      </c>
      <c r="Q106" s="94" cm="1">
        <f t="array" ref="Q106">SUM(SUMIFS('caseload data'!R:R,'caseload data'!$D:$D,"DMY",'caseload data'!$A:$A,"North East Region",'caseload data'!$B:$B,{"licence","community"}))</f>
        <v>0</v>
      </c>
      <c r="R106" s="94" cm="1">
        <f t="array" ref="R106">SUM(SUMIFS('caseload data'!S:S,'caseload data'!$D:$D,"DMY",'caseload data'!$A:$A,"North East Region",'caseload data'!$B:$B,{"licence","community"}))</f>
        <v>0</v>
      </c>
      <c r="S106" s="94" cm="1">
        <f t="array" ref="S106">SUM(SUMIFS('caseload data'!T:T,'caseload data'!$D:$D,"DMY",'caseload data'!$A:$A,"North East Region",'caseload data'!$B:$B,{"licence","community"}))</f>
        <v>0</v>
      </c>
      <c r="T106" s="94" cm="1">
        <f t="array" ref="T106">SUM(SUMIFS('caseload data'!V:V,'caseload data'!$D:$D,"DMY",'caseload data'!$A:$A,"North East Region",'caseload data'!$B:$B,{"licence","community"}))</f>
        <v>0</v>
      </c>
      <c r="U106" s="64"/>
      <c r="V106" s="64"/>
      <c r="W106" s="473"/>
      <c r="X106" s="130" t="s">
        <v>1344</v>
      </c>
      <c r="Y106" s="167" t="e">
        <f t="shared" si="59"/>
        <v>#DIV/0!</v>
      </c>
      <c r="Z106" s="167" t="e">
        <f t="shared" si="58"/>
        <v>#DIV/0!</v>
      </c>
      <c r="AA106" s="167" t="e">
        <f t="shared" si="58"/>
        <v>#DIV/0!</v>
      </c>
      <c r="AB106" s="167" t="e">
        <f t="shared" si="58"/>
        <v>#DIV/0!</v>
      </c>
      <c r="AC106" s="167" t="e">
        <f t="shared" si="58"/>
        <v>#DIV/0!</v>
      </c>
      <c r="AD106" s="167" t="e">
        <f t="shared" si="58"/>
        <v>#DIV/0!</v>
      </c>
      <c r="AE106" s="167" t="e">
        <f t="shared" si="58"/>
        <v>#DIV/0!</v>
      </c>
      <c r="AF106" s="167" t="e">
        <f t="shared" si="58"/>
        <v>#DIV/0!</v>
      </c>
      <c r="AG106" s="167" t="e">
        <f t="shared" si="58"/>
        <v>#DIV/0!</v>
      </c>
      <c r="AH106" s="167" t="e">
        <f t="shared" si="58"/>
        <v>#DIV/0!</v>
      </c>
      <c r="AI106" s="167" t="e">
        <f t="shared" si="58"/>
        <v>#DIV/0!</v>
      </c>
      <c r="AJ106" s="167" t="e">
        <f t="shared" si="58"/>
        <v>#DIV/0!</v>
      </c>
      <c r="AK106" s="167" t="e">
        <f t="shared" si="58"/>
        <v>#DIV/0!</v>
      </c>
      <c r="AL106" s="167" t="e">
        <f t="shared" si="58"/>
        <v>#DIV/0!</v>
      </c>
      <c r="AM106" s="167" t="e">
        <f t="shared" si="58"/>
        <v>#DIV/0!</v>
      </c>
      <c r="AN106" s="167" t="e">
        <f t="shared" si="58"/>
        <v>#DIV/0!</v>
      </c>
      <c r="AO106" s="167" t="e">
        <f t="shared" si="58"/>
        <v>#DIV/0!</v>
      </c>
    </row>
    <row r="107" spans="2:41" x14ac:dyDescent="0.15">
      <c r="B107" s="471" t="s">
        <v>23</v>
      </c>
      <c r="C107" s="128" t="s">
        <v>1002</v>
      </c>
      <c r="D107" s="94" cm="1">
        <f t="array" ref="D107">SUM(SUMIFS('caseload data'!E:E,'caseload data'!$D:$D,"PO",'caseload data'!$A:$A,"North West Region",'caseload data'!$B:$B,{"licence","community"}))</f>
        <v>0</v>
      </c>
      <c r="E107" s="94" cm="1">
        <f t="array" ref="E107">SUM(SUMIFS('caseload data'!F:F,'caseload data'!$D:$D,"PO",'caseload data'!$A:$A,"North West Region",'caseload data'!$B:$B,{"licence","community"}))</f>
        <v>0</v>
      </c>
      <c r="F107" s="94" cm="1">
        <f t="array" ref="F107">SUM(SUMIFS('caseload data'!G:G,'caseload data'!$D:$D,"PO",'caseload data'!$A:$A,"North West Region",'caseload data'!$B:$B,{"licence","community"}))</f>
        <v>0</v>
      </c>
      <c r="G107" s="94" cm="1">
        <f t="array" ref="G107">SUM(SUMIFS('caseload data'!H:H,'caseload data'!$D:$D,"PO",'caseload data'!$A:$A,"North West Region",'caseload data'!$B:$B,{"licence","community"}))</f>
        <v>0</v>
      </c>
      <c r="H107" s="94" cm="1">
        <f t="array" ref="H107">SUM(SUMIFS('caseload data'!I:I,'caseload data'!$D:$D,"PO",'caseload data'!$A:$A,"North West Region",'caseload data'!$B:$B,{"licence","community"}))</f>
        <v>0</v>
      </c>
      <c r="I107" s="94" cm="1">
        <f t="array" ref="I107">SUM(SUMIFS('caseload data'!J:J,'caseload data'!$D:$D,"PO",'caseload data'!$A:$A,"North West Region",'caseload data'!$B:$B,{"licence","community"}))</f>
        <v>0</v>
      </c>
      <c r="J107" s="94" cm="1">
        <f t="array" ref="J107">SUM(SUMIFS('caseload data'!K:K,'caseload data'!$D:$D,"PO",'caseload data'!$A:$A,"North West Region",'caseload data'!$B:$B,{"licence","community"}))</f>
        <v>0</v>
      </c>
      <c r="K107" s="94" cm="1">
        <f t="array" ref="K107">SUM(SUMIFS('caseload data'!L:L,'caseload data'!$D:$D,"PO",'caseload data'!$A:$A,"North West Region",'caseload data'!$B:$B,{"licence","community"}))</f>
        <v>0</v>
      </c>
      <c r="L107" s="94" cm="1">
        <f t="array" ref="L107">SUM(SUMIFS('caseload data'!M:M,'caseload data'!$D:$D,"PO",'caseload data'!$A:$A,"North West Region",'caseload data'!$B:$B,{"licence","community"}))</f>
        <v>0</v>
      </c>
      <c r="M107" s="94" cm="1">
        <f t="array" ref="M107">SUM(SUMIFS('caseload data'!N:N,'caseload data'!$D:$D,"PO",'caseload data'!$A:$A,"North West Region",'caseload data'!$B:$B,{"licence","community"}))</f>
        <v>0</v>
      </c>
      <c r="N107" s="94" cm="1">
        <f t="array" ref="N107">SUM(SUMIFS('caseload data'!O:O,'caseload data'!$D:$D,"PO",'caseload data'!$A:$A,"North West Region",'caseload data'!$B:$B,{"licence","community"}))</f>
        <v>0</v>
      </c>
      <c r="O107" s="94" cm="1">
        <f t="array" ref="O107">SUM(SUMIFS('caseload data'!P:P,'caseload data'!$D:$D,"PO",'caseload data'!$A:$A,"North West Region",'caseload data'!$B:$B,{"licence","community"}))</f>
        <v>0</v>
      </c>
      <c r="P107" s="94" cm="1">
        <f t="array" ref="P107">SUM(SUMIFS('caseload data'!Q:Q,'caseload data'!$D:$D,"PO",'caseload data'!$A:$A,"North West Region",'caseload data'!$B:$B,{"licence","community"}))</f>
        <v>0</v>
      </c>
      <c r="Q107" s="94" cm="1">
        <f t="array" ref="Q107">SUM(SUMIFS('caseload data'!R:R,'caseload data'!$D:$D,"PO",'caseload data'!$A:$A,"North West Region",'caseload data'!$B:$B,{"licence","community"}))</f>
        <v>0</v>
      </c>
      <c r="R107" s="94" cm="1">
        <f t="array" ref="R107">SUM(SUMIFS('caseload data'!S:S,'caseload data'!$D:$D,"PO",'caseload data'!$A:$A,"North West Region",'caseload data'!$B:$B,{"licence","community"}))</f>
        <v>0</v>
      </c>
      <c r="S107" s="94" cm="1">
        <f t="array" ref="S107">SUM(SUMIFS('caseload data'!T:T,'caseload data'!$D:$D,"PO",'caseload data'!$A:$A,"North West Region",'caseload data'!$B:$B,{"licence","community"}))</f>
        <v>0</v>
      </c>
      <c r="T107" s="94">
        <f>SUM(SUMIFS('caseload data'!V:V,'caseload data'!D:D,"PO",'caseload data'!A:A,B107,'caseload data'!B:B,{"licence","community"}))</f>
        <v>0</v>
      </c>
      <c r="U107" s="64"/>
      <c r="V107" s="64"/>
      <c r="W107" s="471" t="s">
        <v>23</v>
      </c>
      <c r="X107" s="128" t="s">
        <v>1002</v>
      </c>
      <c r="Y107" s="167" t="e">
        <f>SUM(D107)/SUM(D$107:D$111)</f>
        <v>#DIV/0!</v>
      </c>
      <c r="Z107" s="167" t="e">
        <f t="shared" ref="Z107:AO111" si="60">SUM(E107)/SUM(E$107:E$111)</f>
        <v>#DIV/0!</v>
      </c>
      <c r="AA107" s="167" t="e">
        <f t="shared" si="60"/>
        <v>#DIV/0!</v>
      </c>
      <c r="AB107" s="167" t="e">
        <f t="shared" si="60"/>
        <v>#DIV/0!</v>
      </c>
      <c r="AC107" s="167" t="e">
        <f t="shared" si="60"/>
        <v>#DIV/0!</v>
      </c>
      <c r="AD107" s="167" t="e">
        <f t="shared" si="60"/>
        <v>#DIV/0!</v>
      </c>
      <c r="AE107" s="167" t="e">
        <f t="shared" si="60"/>
        <v>#DIV/0!</v>
      </c>
      <c r="AF107" s="167" t="e">
        <f t="shared" si="60"/>
        <v>#DIV/0!</v>
      </c>
      <c r="AG107" s="167" t="e">
        <f t="shared" si="60"/>
        <v>#DIV/0!</v>
      </c>
      <c r="AH107" s="167" t="e">
        <f t="shared" si="60"/>
        <v>#DIV/0!</v>
      </c>
      <c r="AI107" s="167" t="e">
        <f t="shared" si="60"/>
        <v>#DIV/0!</v>
      </c>
      <c r="AJ107" s="167" t="e">
        <f t="shared" si="60"/>
        <v>#DIV/0!</v>
      </c>
      <c r="AK107" s="167" t="e">
        <f t="shared" si="60"/>
        <v>#DIV/0!</v>
      </c>
      <c r="AL107" s="167" t="e">
        <f t="shared" si="60"/>
        <v>#DIV/0!</v>
      </c>
      <c r="AM107" s="167" t="e">
        <f t="shared" si="60"/>
        <v>#DIV/0!</v>
      </c>
      <c r="AN107" s="167" t="e">
        <f t="shared" si="60"/>
        <v>#DIV/0!</v>
      </c>
      <c r="AO107" s="167" t="e">
        <f t="shared" si="60"/>
        <v>#DIV/0!</v>
      </c>
    </row>
    <row r="108" spans="2:41" x14ac:dyDescent="0.15">
      <c r="B108" s="472"/>
      <c r="C108" s="129" t="s">
        <v>1007</v>
      </c>
      <c r="D108" s="94" cm="1">
        <f t="array" ref="D108">SUM(SUMIFS('caseload data'!E:E,'caseload data'!$D:$D,"PSO",'caseload data'!$A:$A,"North West Region",'caseload data'!$B:$B,{"licence","community"}))</f>
        <v>0</v>
      </c>
      <c r="E108" s="94" cm="1">
        <f t="array" ref="E108">SUM(SUMIFS('caseload data'!F:F,'caseload data'!$D:$D,"PSO",'caseload data'!$A:$A,"North West Region",'caseload data'!$B:$B,{"licence","community"}))</f>
        <v>0</v>
      </c>
      <c r="F108" s="94" cm="1">
        <f t="array" ref="F108">SUM(SUMIFS('caseload data'!G:G,'caseload data'!$D:$D,"PSO",'caseload data'!$A:$A,"North West Region",'caseload data'!$B:$B,{"licence","community"}))</f>
        <v>0</v>
      </c>
      <c r="G108" s="94" cm="1">
        <f t="array" ref="G108">SUM(SUMIFS('caseload data'!H:H,'caseload data'!$D:$D,"PSO",'caseload data'!$A:$A,"North West Region",'caseload data'!$B:$B,{"licence","community"}))</f>
        <v>0</v>
      </c>
      <c r="H108" s="94" cm="1">
        <f t="array" ref="H108">SUM(SUMIFS('caseload data'!I:I,'caseload data'!$D:$D,"PSO",'caseload data'!$A:$A,"North West Region",'caseload data'!$B:$B,{"licence","community"}))</f>
        <v>0</v>
      </c>
      <c r="I108" s="94" cm="1">
        <f t="array" ref="I108">SUM(SUMIFS('caseload data'!J:J,'caseload data'!$D:$D,"PSO",'caseload data'!$A:$A,"North West Region",'caseload data'!$B:$B,{"licence","community"}))</f>
        <v>0</v>
      </c>
      <c r="J108" s="94" cm="1">
        <f t="array" ref="J108">SUM(SUMIFS('caseload data'!K:K,'caseload data'!$D:$D,"PSO",'caseload data'!$A:$A,"North West Region",'caseload data'!$B:$B,{"licence","community"}))</f>
        <v>0</v>
      </c>
      <c r="K108" s="94" cm="1">
        <f t="array" ref="K108">SUM(SUMIFS('caseload data'!L:L,'caseload data'!$D:$D,"PSO",'caseload data'!$A:$A,"North West Region",'caseload data'!$B:$B,{"licence","community"}))</f>
        <v>0</v>
      </c>
      <c r="L108" s="94" cm="1">
        <f t="array" ref="L108">SUM(SUMIFS('caseload data'!M:M,'caseload data'!$D:$D,"PSO",'caseload data'!$A:$A,"North West Region",'caseload data'!$B:$B,{"licence","community"}))</f>
        <v>0</v>
      </c>
      <c r="M108" s="94" cm="1">
        <f t="array" ref="M108">SUM(SUMIFS('caseload data'!N:N,'caseload data'!$D:$D,"PSO",'caseload data'!$A:$A,"North West Region",'caseload data'!$B:$B,{"licence","community"}))</f>
        <v>0</v>
      </c>
      <c r="N108" s="94" cm="1">
        <f t="array" ref="N108">SUM(SUMIFS('caseload data'!O:O,'caseload data'!$D:$D,"PSO",'caseload data'!$A:$A,"North West Region",'caseload data'!$B:$B,{"licence","community"}))</f>
        <v>0</v>
      </c>
      <c r="O108" s="94" cm="1">
        <f t="array" ref="O108">SUM(SUMIFS('caseload data'!P:P,'caseload data'!$D:$D,"PSO",'caseload data'!$A:$A,"North West Region",'caseload data'!$B:$B,{"licence","community"}))</f>
        <v>0</v>
      </c>
      <c r="P108" s="94" cm="1">
        <f t="array" ref="P108">SUM(SUMIFS('caseload data'!Q:Q,'caseload data'!$D:$D,"PSO",'caseload data'!$A:$A,"North West Region",'caseload data'!$B:$B,{"licence","community"}))</f>
        <v>0</v>
      </c>
      <c r="Q108" s="94" cm="1">
        <f t="array" ref="Q108">SUM(SUMIFS('caseload data'!R:R,'caseload data'!$D:$D,"PSO",'caseload data'!$A:$A,"North West Region",'caseload data'!$B:$B,{"licence","community"}))</f>
        <v>0</v>
      </c>
      <c r="R108" s="94" cm="1">
        <f t="array" ref="R108">SUM(SUMIFS('caseload data'!S:S,'caseload data'!$D:$D,"PSO",'caseload data'!$A:$A,"North West Region",'caseload data'!$B:$B,{"licence","community"}))</f>
        <v>0</v>
      </c>
      <c r="S108" s="94" cm="1">
        <f t="array" ref="S108">SUM(SUMIFS('caseload data'!T:T,'caseload data'!$D:$D,"PSO",'caseload data'!$A:$A,"North West Region",'caseload data'!$B:$B,{"licence","community"}))</f>
        <v>0</v>
      </c>
      <c r="T108" s="94" cm="1">
        <f t="array" ref="T108">SUM(SUMIFS('caseload data'!V:V,'caseload data'!D:D,"PSO",'caseload data'!A:A,"North West Region",'caseload data'!B:B,{"licence","community"}))</f>
        <v>0</v>
      </c>
      <c r="U108" s="64"/>
      <c r="V108" s="64"/>
      <c r="W108" s="472"/>
      <c r="X108" s="129" t="s">
        <v>1007</v>
      </c>
      <c r="Y108" s="167" t="e">
        <f t="shared" ref="Y108:Y111" si="61">SUM(D108)/SUM(D$107:D$111)</f>
        <v>#DIV/0!</v>
      </c>
      <c r="Z108" s="167" t="e">
        <f t="shared" si="60"/>
        <v>#DIV/0!</v>
      </c>
      <c r="AA108" s="167" t="e">
        <f t="shared" si="60"/>
        <v>#DIV/0!</v>
      </c>
      <c r="AB108" s="167" t="e">
        <f t="shared" si="60"/>
        <v>#DIV/0!</v>
      </c>
      <c r="AC108" s="167" t="e">
        <f t="shared" si="60"/>
        <v>#DIV/0!</v>
      </c>
      <c r="AD108" s="167" t="e">
        <f t="shared" si="60"/>
        <v>#DIV/0!</v>
      </c>
      <c r="AE108" s="167" t="e">
        <f t="shared" si="60"/>
        <v>#DIV/0!</v>
      </c>
      <c r="AF108" s="167" t="e">
        <f t="shared" si="60"/>
        <v>#DIV/0!</v>
      </c>
      <c r="AG108" s="167" t="e">
        <f t="shared" si="60"/>
        <v>#DIV/0!</v>
      </c>
      <c r="AH108" s="167" t="e">
        <f t="shared" si="60"/>
        <v>#DIV/0!</v>
      </c>
      <c r="AI108" s="167" t="e">
        <f t="shared" si="60"/>
        <v>#DIV/0!</v>
      </c>
      <c r="AJ108" s="167" t="e">
        <f t="shared" si="60"/>
        <v>#DIV/0!</v>
      </c>
      <c r="AK108" s="167" t="e">
        <f t="shared" si="60"/>
        <v>#DIV/0!</v>
      </c>
      <c r="AL108" s="167" t="e">
        <f t="shared" si="60"/>
        <v>#DIV/0!</v>
      </c>
      <c r="AM108" s="167" t="e">
        <f t="shared" si="60"/>
        <v>#DIV/0!</v>
      </c>
      <c r="AN108" s="167" t="e">
        <f t="shared" si="60"/>
        <v>#DIV/0!</v>
      </c>
      <c r="AO108" s="167" t="e">
        <f t="shared" si="60"/>
        <v>#DIV/0!</v>
      </c>
    </row>
    <row r="109" spans="2:41" x14ac:dyDescent="0.15">
      <c r="B109" s="472"/>
      <c r="C109" s="129" t="s">
        <v>1008</v>
      </c>
      <c r="D109" s="94" cm="1">
        <f t="array" ref="D109">SUM(SUMIFS('caseload data'!E:E,'caseload data'!$D:$D,"TPO",'caseload data'!$A:$A,"North West Region",'caseload data'!$B:$B,{"licence","community"}))</f>
        <v>0</v>
      </c>
      <c r="E109" s="94" cm="1">
        <f t="array" ref="E109">SUM(SUMIFS('caseload data'!F:F,'caseload data'!$D:$D,"TPO",'caseload data'!$A:$A,"North West Region",'caseload data'!$B:$B,{"licence","community"}))</f>
        <v>0</v>
      </c>
      <c r="F109" s="94" cm="1">
        <f t="array" ref="F109">SUM(SUMIFS('caseload data'!G:G,'caseload data'!$D:$D,"TPO",'caseload data'!$A:$A,"North West Region",'caseload data'!$B:$B,{"licence","community"}))</f>
        <v>0</v>
      </c>
      <c r="G109" s="94" cm="1">
        <f t="array" ref="G109">SUM(SUMIFS('caseload data'!H:H,'caseload data'!$D:$D,"TPO",'caseload data'!$A:$A,"North West Region",'caseload data'!$B:$B,{"licence","community"}))</f>
        <v>0</v>
      </c>
      <c r="H109" s="94" cm="1">
        <f t="array" ref="H109">SUM(SUMIFS('caseload data'!I:I,'caseload data'!$D:$D,"TPO",'caseload data'!$A:$A,"North West Region",'caseload data'!$B:$B,{"licence","community"}))</f>
        <v>0</v>
      </c>
      <c r="I109" s="94" cm="1">
        <f t="array" ref="I109">SUM(SUMIFS('caseload data'!J:J,'caseload data'!$D:$D,"TPO",'caseload data'!$A:$A,"North West Region",'caseload data'!$B:$B,{"licence","community"}))</f>
        <v>0</v>
      </c>
      <c r="J109" s="94" cm="1">
        <f t="array" ref="J109">SUM(SUMIFS('caseload data'!K:K,'caseload data'!$D:$D,"TPO",'caseload data'!$A:$A,"North West Region",'caseload data'!$B:$B,{"licence","community"}))</f>
        <v>0</v>
      </c>
      <c r="K109" s="94" cm="1">
        <f t="array" ref="K109">SUM(SUMIFS('caseload data'!L:L,'caseload data'!$D:$D,"TPO",'caseload data'!$A:$A,"North West Region",'caseload data'!$B:$B,{"licence","community"}))</f>
        <v>0</v>
      </c>
      <c r="L109" s="94" cm="1">
        <f t="array" ref="L109">SUM(SUMIFS('caseload data'!M:M,'caseload data'!$D:$D,"TPO",'caseload data'!$A:$A,"North West Region",'caseload data'!$B:$B,{"licence","community"}))</f>
        <v>0</v>
      </c>
      <c r="M109" s="94" cm="1">
        <f t="array" ref="M109">SUM(SUMIFS('caseload data'!N:N,'caseload data'!$D:$D,"TPO",'caseload data'!$A:$A,"North West Region",'caseload data'!$B:$B,{"licence","community"}))</f>
        <v>0</v>
      </c>
      <c r="N109" s="94" cm="1">
        <f t="array" ref="N109">SUM(SUMIFS('caseload data'!O:O,'caseload data'!$D:$D,"TPO",'caseload data'!$A:$A,"North West Region",'caseload data'!$B:$B,{"licence","community"}))</f>
        <v>0</v>
      </c>
      <c r="O109" s="94" cm="1">
        <f t="array" ref="O109">SUM(SUMIFS('caseload data'!P:P,'caseload data'!$D:$D,"TPO",'caseload data'!$A:$A,"North West Region",'caseload data'!$B:$B,{"licence","community"}))</f>
        <v>0</v>
      </c>
      <c r="P109" s="94" cm="1">
        <f t="array" ref="P109">SUM(SUMIFS('caseload data'!Q:Q,'caseload data'!$D:$D,"TPO",'caseload data'!$A:$A,"North West Region",'caseload data'!$B:$B,{"licence","community"}))</f>
        <v>0</v>
      </c>
      <c r="Q109" s="94" cm="1">
        <f t="array" ref="Q109">SUM(SUMIFS('caseload data'!R:R,'caseload data'!$D:$D,"TPO",'caseload data'!$A:$A,"North West Region",'caseload data'!$B:$B,{"licence","community"}))</f>
        <v>0</v>
      </c>
      <c r="R109" s="94" cm="1">
        <f t="array" ref="R109">SUM(SUMIFS('caseload data'!S:S,'caseload data'!$D:$D,"TPO",'caseload data'!$A:$A,"North West Region",'caseload data'!$B:$B,{"licence","community"}))</f>
        <v>0</v>
      </c>
      <c r="S109" s="94" cm="1">
        <f t="array" ref="S109">SUM(SUMIFS('caseload data'!T:T,'caseload data'!$D:$D,"TPO",'caseload data'!$A:$A,"North West Region",'caseload data'!$B:$B,{"licence","community"}))</f>
        <v>0</v>
      </c>
      <c r="T109" s="94" cm="1">
        <f t="array" ref="T109">SUM(SUMIFS('caseload data'!V:V,'caseload data'!D:D,"TPO",'caseload data'!A:A,"North West Region",'caseload data'!B:B,{"licence","community"}))</f>
        <v>0</v>
      </c>
      <c r="U109" s="64"/>
      <c r="V109" s="64"/>
      <c r="W109" s="472"/>
      <c r="X109" s="129" t="s">
        <v>1008</v>
      </c>
      <c r="Y109" s="167" t="e">
        <f t="shared" si="61"/>
        <v>#DIV/0!</v>
      </c>
      <c r="Z109" s="167" t="e">
        <f t="shared" si="60"/>
        <v>#DIV/0!</v>
      </c>
      <c r="AA109" s="167" t="e">
        <f t="shared" si="60"/>
        <v>#DIV/0!</v>
      </c>
      <c r="AB109" s="167" t="e">
        <f t="shared" si="60"/>
        <v>#DIV/0!</v>
      </c>
      <c r="AC109" s="167" t="e">
        <f t="shared" si="60"/>
        <v>#DIV/0!</v>
      </c>
      <c r="AD109" s="167" t="e">
        <f t="shared" si="60"/>
        <v>#DIV/0!</v>
      </c>
      <c r="AE109" s="167" t="e">
        <f t="shared" si="60"/>
        <v>#DIV/0!</v>
      </c>
      <c r="AF109" s="167" t="e">
        <f t="shared" si="60"/>
        <v>#DIV/0!</v>
      </c>
      <c r="AG109" s="167" t="e">
        <f t="shared" si="60"/>
        <v>#DIV/0!</v>
      </c>
      <c r="AH109" s="167" t="e">
        <f t="shared" si="60"/>
        <v>#DIV/0!</v>
      </c>
      <c r="AI109" s="167" t="e">
        <f t="shared" si="60"/>
        <v>#DIV/0!</v>
      </c>
      <c r="AJ109" s="167" t="e">
        <f t="shared" si="60"/>
        <v>#DIV/0!</v>
      </c>
      <c r="AK109" s="167" t="e">
        <f t="shared" si="60"/>
        <v>#DIV/0!</v>
      </c>
      <c r="AL109" s="167" t="e">
        <f t="shared" si="60"/>
        <v>#DIV/0!</v>
      </c>
      <c r="AM109" s="167" t="e">
        <f t="shared" si="60"/>
        <v>#DIV/0!</v>
      </c>
      <c r="AN109" s="167" t="e">
        <f t="shared" si="60"/>
        <v>#DIV/0!</v>
      </c>
      <c r="AO109" s="167" t="e">
        <f t="shared" si="60"/>
        <v>#DIV/0!</v>
      </c>
    </row>
    <row r="110" spans="2:41" x14ac:dyDescent="0.15">
      <c r="B110" s="472"/>
      <c r="C110" s="129" t="s">
        <v>1009</v>
      </c>
      <c r="D110" s="94">
        <f>SUMIFS('caseload data'!E:E,'caseload data'!$D:$D,"SPO",'caseload data'!$A:$A,"North West Region",'caseload data'!$B:$B,{"licence","community"})</f>
        <v>0</v>
      </c>
      <c r="E110" s="94">
        <f>SUMIFS('caseload data'!F:F,'caseload data'!$D:$D,"SPO",'caseload data'!$A:$A,"North West Region",'caseload data'!$B:$B,{"licence","community"})</f>
        <v>0</v>
      </c>
      <c r="F110" s="94">
        <f>SUMIFS('caseload data'!G:G,'caseload data'!$D:$D,"SPO",'caseload data'!$A:$A,"North West Region",'caseload data'!$B:$B,{"licence","community"})</f>
        <v>0</v>
      </c>
      <c r="G110" s="94">
        <f>SUMIFS('caseload data'!H:H,'caseload data'!$D:$D,"SPO",'caseload data'!$A:$A,"North West Region",'caseload data'!$B:$B,{"licence","community"})</f>
        <v>0</v>
      </c>
      <c r="H110" s="94" cm="1">
        <f t="array" ref="H110">SUM(SUMIFS('caseload data'!I:I,'caseload data'!$D:$D,"SPO",'caseload data'!$A:$A,"North West Region",'caseload data'!$B:$B,{"licence","community"}))</f>
        <v>0</v>
      </c>
      <c r="I110" s="94">
        <f>SUMIFS('caseload data'!J:J,'caseload data'!$D:$D,"SPO",'caseload data'!$A:$A,"North West Region",'caseload data'!$B:$B,{"licence","community"})</f>
        <v>0</v>
      </c>
      <c r="J110" s="94">
        <f>SUMIFS('caseload data'!K:K,'caseload data'!$D:$D,"SPO",'caseload data'!$A:$A,"North West Region",'caseload data'!$B:$B,{"licence","community"})</f>
        <v>0</v>
      </c>
      <c r="K110" s="94">
        <f>SUMIFS('caseload data'!L:L,'caseload data'!$D:$D,"SPO",'caseload data'!$A:$A,"North West Region",'caseload data'!$B:$B,{"licence","community"})</f>
        <v>0</v>
      </c>
      <c r="L110" s="94">
        <f>SUMIFS('caseload data'!M:M,'caseload data'!$D:$D,"SPO",'caseload data'!$A:$A,"North West Region",'caseload data'!$B:$B,{"licence","community"})</f>
        <v>0</v>
      </c>
      <c r="M110" s="94">
        <f>SUMIFS('caseload data'!N:N,'caseload data'!$D:$D,"SPO",'caseload data'!$A:$A,"North West Region",'caseload data'!$B:$B,{"licence","community"})</f>
        <v>0</v>
      </c>
      <c r="N110" s="94">
        <f>SUMIFS('caseload data'!O:O,'caseload data'!$D:$D,"SPO",'caseload data'!$A:$A,"North West Region",'caseload data'!$B:$B,{"licence","community"})</f>
        <v>0</v>
      </c>
      <c r="O110" s="94">
        <f>SUMIFS('caseload data'!P:P,'caseload data'!$D:$D,"SPO",'caseload data'!$A:$A,"North West Region",'caseload data'!$B:$B,{"licence","community"})</f>
        <v>0</v>
      </c>
      <c r="P110" s="94">
        <f>SUMIFS('caseload data'!Q:Q,'caseload data'!$D:$D,"SPO",'caseload data'!$A:$A,"North West Region",'caseload data'!$B:$B,{"licence","community"})</f>
        <v>0</v>
      </c>
      <c r="Q110" s="94">
        <f>SUMIFS('caseload data'!R:R,'caseload data'!$D:$D,"SPO",'caseload data'!$A:$A,"North West Region",'caseload data'!$B:$B,{"licence","community"})</f>
        <v>0</v>
      </c>
      <c r="R110" s="94">
        <f>SUMIFS('caseload data'!S:S,'caseload data'!$D:$D,"SPO",'caseload data'!$A:$A,"North West Region",'caseload data'!$B:$B,{"licence","community"})</f>
        <v>0</v>
      </c>
      <c r="S110" s="94">
        <f>SUMIFS('caseload data'!T:T,'caseload data'!$D:$D,"SPO",'caseload data'!$A:$A,"North West Region",'caseload data'!$B:$B,{"licence","community"})</f>
        <v>0</v>
      </c>
      <c r="T110" s="94" cm="1">
        <f t="array" ref="T110">SUM(SUMIFS('caseload data'!V:V,'caseload data'!$D:$D,"SPO",'caseload data'!$A:$A,"North West Region",'caseload data'!$B:$B,{"licence","community"}))</f>
        <v>0</v>
      </c>
      <c r="U110" s="64"/>
      <c r="V110" s="64"/>
      <c r="W110" s="472"/>
      <c r="X110" s="129" t="s">
        <v>1009</v>
      </c>
      <c r="Y110" s="167" t="e">
        <f t="shared" si="61"/>
        <v>#DIV/0!</v>
      </c>
      <c r="Z110" s="167" t="e">
        <f t="shared" si="60"/>
        <v>#DIV/0!</v>
      </c>
      <c r="AA110" s="167" t="e">
        <f t="shared" si="60"/>
        <v>#DIV/0!</v>
      </c>
      <c r="AB110" s="167" t="e">
        <f t="shared" si="60"/>
        <v>#DIV/0!</v>
      </c>
      <c r="AC110" s="167" t="e">
        <f t="shared" si="60"/>
        <v>#DIV/0!</v>
      </c>
      <c r="AD110" s="167" t="e">
        <f t="shared" si="60"/>
        <v>#DIV/0!</v>
      </c>
      <c r="AE110" s="167" t="e">
        <f t="shared" si="60"/>
        <v>#DIV/0!</v>
      </c>
      <c r="AF110" s="167" t="e">
        <f t="shared" si="60"/>
        <v>#DIV/0!</v>
      </c>
      <c r="AG110" s="167" t="e">
        <f t="shared" si="60"/>
        <v>#DIV/0!</v>
      </c>
      <c r="AH110" s="167" t="e">
        <f t="shared" si="60"/>
        <v>#DIV/0!</v>
      </c>
      <c r="AI110" s="167" t="e">
        <f t="shared" si="60"/>
        <v>#DIV/0!</v>
      </c>
      <c r="AJ110" s="167" t="e">
        <f t="shared" si="60"/>
        <v>#DIV/0!</v>
      </c>
      <c r="AK110" s="167" t="e">
        <f t="shared" si="60"/>
        <v>#DIV/0!</v>
      </c>
      <c r="AL110" s="167" t="e">
        <f t="shared" si="60"/>
        <v>#DIV/0!</v>
      </c>
      <c r="AM110" s="167" t="e">
        <f t="shared" si="60"/>
        <v>#DIV/0!</v>
      </c>
      <c r="AN110" s="167" t="e">
        <f t="shared" si="60"/>
        <v>#DIV/0!</v>
      </c>
      <c r="AO110" s="167" t="e">
        <f t="shared" si="60"/>
        <v>#DIV/0!</v>
      </c>
    </row>
    <row r="111" spans="2:41" x14ac:dyDescent="0.15">
      <c r="B111" s="473"/>
      <c r="C111" s="130" t="s">
        <v>1344</v>
      </c>
      <c r="D111" s="94" cm="1">
        <f t="array" ref="D111">SUM(SUMIFS('caseload data'!E:E,'caseload data'!$D:$D,"DMY",'caseload data'!$A:$A,"North West Region",'caseload data'!$B:$B,{"licence","community"}))</f>
        <v>0</v>
      </c>
      <c r="E111" s="94" cm="1">
        <f t="array" ref="E111">SUM(SUMIFS('caseload data'!F:F,'caseload data'!$D:$D,"DMY",'caseload data'!$A:$A,"North West Region",'caseload data'!$B:$B,{"licence","community"}))</f>
        <v>0</v>
      </c>
      <c r="F111" s="94" cm="1">
        <f t="array" ref="F111">SUM(SUMIFS('caseload data'!G:G,'caseload data'!$D:$D,"DMY",'caseload data'!$A:$A,"North West Region",'caseload data'!$B:$B,{"licence","community"}))</f>
        <v>0</v>
      </c>
      <c r="G111" s="94" cm="1">
        <f t="array" ref="G111">SUM(SUMIFS('caseload data'!H:H,'caseload data'!$D:$D,"DMY",'caseload data'!$A:$A,"North West Region",'caseload data'!$B:$B,{"licence","community"}))</f>
        <v>0</v>
      </c>
      <c r="H111" s="94" cm="1">
        <f t="array" ref="H111">SUM(SUMIFS('caseload data'!I:I,'caseload data'!$D:$D,"DMY",'caseload data'!$A:$A,"North West Region",'caseload data'!$B:$B,{"licence","community"}))</f>
        <v>0</v>
      </c>
      <c r="I111" s="94" cm="1">
        <f t="array" ref="I111">SUM(SUMIFS('caseload data'!J:J,'caseload data'!$D:$D,"DMY",'caseload data'!$A:$A,"North West Region",'caseload data'!$B:$B,{"licence","community"}))</f>
        <v>0</v>
      </c>
      <c r="J111" s="94" cm="1">
        <f t="array" ref="J111">SUM(SUMIFS('caseload data'!K:K,'caseload data'!$D:$D,"DMY",'caseload data'!$A:$A,"North West Region",'caseload data'!$B:$B,{"licence","community"}))</f>
        <v>0</v>
      </c>
      <c r="K111" s="94" cm="1">
        <f t="array" ref="K111">SUM(SUMIFS('caseload data'!L:L,'caseload data'!$D:$D,"DMY",'caseload data'!$A:$A,"North West Region",'caseload data'!$B:$B,{"licence","community"}))</f>
        <v>0</v>
      </c>
      <c r="L111" s="94" cm="1">
        <f t="array" ref="L111">SUM(SUMIFS('caseload data'!M:M,'caseload data'!$D:$D,"DMY",'caseload data'!$A:$A,"North West Region",'caseload data'!$B:$B,{"licence","community"}))</f>
        <v>0</v>
      </c>
      <c r="M111" s="94" cm="1">
        <f t="array" ref="M111">SUM(SUMIFS('caseload data'!N:N,'caseload data'!$D:$D,"DMY",'caseload data'!$A:$A,"North West Region",'caseload data'!$B:$B,{"licence","community"}))</f>
        <v>0</v>
      </c>
      <c r="N111" s="94" cm="1">
        <f t="array" ref="N111">SUM(SUMIFS('caseload data'!O:O,'caseload data'!$D:$D,"DMY",'caseload data'!$A:$A,"North West Region",'caseload data'!$B:$B,{"licence","community"}))</f>
        <v>0</v>
      </c>
      <c r="O111" s="94" cm="1">
        <f t="array" ref="O111">SUM(SUMIFS('caseload data'!P:P,'caseload data'!$D:$D,"DMY",'caseload data'!$A:$A,"North West Region",'caseload data'!$B:$B,{"licence","community"}))</f>
        <v>0</v>
      </c>
      <c r="P111" s="94" cm="1">
        <f t="array" ref="P111">SUM(SUMIFS('caseload data'!Q:Q,'caseload data'!$D:$D,"DMY",'caseload data'!$A:$A,"North West Region",'caseload data'!$B:$B,{"licence","community"}))</f>
        <v>0</v>
      </c>
      <c r="Q111" s="94" cm="1">
        <f t="array" ref="Q111">SUM(SUMIFS('caseload data'!R:R,'caseload data'!$D:$D,"DMY",'caseload data'!$A:$A,"North West Region",'caseload data'!$B:$B,{"licence","community"}))</f>
        <v>0</v>
      </c>
      <c r="R111" s="94" cm="1">
        <f t="array" ref="R111">SUM(SUMIFS('caseload data'!S:S,'caseload data'!$D:$D,"DMY",'caseload data'!$A:$A,"North West Region",'caseload data'!$B:$B,{"licence","community"}))</f>
        <v>0</v>
      </c>
      <c r="S111" s="94" cm="1">
        <f t="array" ref="S111">SUM(SUMIFS('caseload data'!T:T,'caseload data'!$D:$D,"DMY",'caseload data'!$A:$A,"North West Region",'caseload data'!$B:$B,{"licence","community"}))</f>
        <v>0</v>
      </c>
      <c r="T111" s="94" cm="1">
        <f t="array" ref="T111">SUM(SUMIFS('caseload data'!V:V,'caseload data'!$D:$D,"DMY",'caseload data'!$A:$A,"North West Region",'caseload data'!$B:$B,{"licence","community"}))</f>
        <v>0</v>
      </c>
      <c r="U111" s="64"/>
      <c r="V111" s="64"/>
      <c r="W111" s="473"/>
      <c r="X111" s="130" t="s">
        <v>1344</v>
      </c>
      <c r="Y111" s="167" t="e">
        <f t="shared" si="61"/>
        <v>#DIV/0!</v>
      </c>
      <c r="Z111" s="167" t="e">
        <f t="shared" si="60"/>
        <v>#DIV/0!</v>
      </c>
      <c r="AA111" s="167" t="e">
        <f t="shared" si="60"/>
        <v>#DIV/0!</v>
      </c>
      <c r="AB111" s="167" t="e">
        <f t="shared" si="60"/>
        <v>#DIV/0!</v>
      </c>
      <c r="AC111" s="167" t="e">
        <f t="shared" si="60"/>
        <v>#DIV/0!</v>
      </c>
      <c r="AD111" s="167" t="e">
        <f t="shared" si="60"/>
        <v>#DIV/0!</v>
      </c>
      <c r="AE111" s="167" t="e">
        <f t="shared" si="60"/>
        <v>#DIV/0!</v>
      </c>
      <c r="AF111" s="167" t="e">
        <f t="shared" si="60"/>
        <v>#DIV/0!</v>
      </c>
      <c r="AG111" s="167" t="e">
        <f t="shared" si="60"/>
        <v>#DIV/0!</v>
      </c>
      <c r="AH111" s="167" t="e">
        <f t="shared" si="60"/>
        <v>#DIV/0!</v>
      </c>
      <c r="AI111" s="167" t="e">
        <f t="shared" si="60"/>
        <v>#DIV/0!</v>
      </c>
      <c r="AJ111" s="167" t="e">
        <f t="shared" si="60"/>
        <v>#DIV/0!</v>
      </c>
      <c r="AK111" s="167" t="e">
        <f t="shared" si="60"/>
        <v>#DIV/0!</v>
      </c>
      <c r="AL111" s="167" t="e">
        <f t="shared" si="60"/>
        <v>#DIV/0!</v>
      </c>
      <c r="AM111" s="167" t="e">
        <f t="shared" si="60"/>
        <v>#DIV/0!</v>
      </c>
      <c r="AN111" s="167" t="e">
        <f t="shared" si="60"/>
        <v>#DIV/0!</v>
      </c>
      <c r="AO111" s="167" t="e">
        <f t="shared" si="60"/>
        <v>#DIV/0!</v>
      </c>
    </row>
    <row r="112" spans="2:41" x14ac:dyDescent="0.15">
      <c r="B112" s="471" t="s">
        <v>24</v>
      </c>
      <c r="C112" s="128" t="s">
        <v>1002</v>
      </c>
      <c r="D112" s="94" cm="1">
        <f t="array" ref="D112">SUM(SUMIFS('caseload data'!E:E,'caseload data'!$D:$D,"PO",'caseload data'!$A:$A,$B$112,'caseload data'!$B:$B,{"licence","community"}))</f>
        <v>0</v>
      </c>
      <c r="E112" s="94" cm="1">
        <f t="array" ref="E112">SUM(SUMIFS('caseload data'!F:F,'caseload data'!$D:$D,"PO",'caseload data'!$A:$A,$B$112,'caseload data'!$B:$B,{"licence","community"}))</f>
        <v>0</v>
      </c>
      <c r="F112" s="94" cm="1">
        <f t="array" ref="F112">SUM(SUMIFS('caseload data'!G:G,'caseload data'!$D:$D,"PO",'caseload data'!$A:$A,$B$112,'caseload data'!$B:$B,{"licence","community"}))</f>
        <v>0</v>
      </c>
      <c r="G112" s="94" cm="1">
        <f t="array" ref="G112">SUM(SUMIFS('caseload data'!H:H,'caseload data'!$D:$D,"PO",'caseload data'!$A:$A,$B$112,'caseload data'!$B:$B,{"licence","community"}))</f>
        <v>0</v>
      </c>
      <c r="H112" s="94" cm="1">
        <f t="array" ref="H112">SUM(SUMIFS('caseload data'!I:I,'caseload data'!$D:$D,"PO",'caseload data'!$A:$A,$B$112,'caseload data'!$B:$B,{"licence","community"}))</f>
        <v>0</v>
      </c>
      <c r="I112" s="94" cm="1">
        <f t="array" ref="I112">SUM(SUMIFS('caseload data'!J:J,'caseload data'!$D:$D,"PO",'caseload data'!$A:$A,$B$112,'caseload data'!$B:$B,{"licence","community"}))</f>
        <v>0</v>
      </c>
      <c r="J112" s="94" cm="1">
        <f t="array" ref="J112">SUM(SUMIFS('caseload data'!K:K,'caseload data'!$D:$D,"PO",'caseload data'!$A:$A,$B$112,'caseload data'!$B:$B,{"licence","community"}))</f>
        <v>0</v>
      </c>
      <c r="K112" s="94" cm="1">
        <f t="array" ref="K112">SUM(SUMIFS('caseload data'!L:L,'caseload data'!$D:$D,"PO",'caseload data'!$A:$A,$B$112,'caseload data'!$B:$B,{"licence","community"}))</f>
        <v>0</v>
      </c>
      <c r="L112" s="94" cm="1">
        <f t="array" ref="L112">SUM(SUMIFS('caseload data'!M:M,'caseload data'!$D:$D,"PO",'caseload data'!$A:$A,$B$112,'caseload data'!$B:$B,{"licence","community"}))</f>
        <v>0</v>
      </c>
      <c r="M112" s="94" cm="1">
        <f t="array" ref="M112">SUM(SUMIFS('caseload data'!N:N,'caseload data'!$D:$D,"PO",'caseload data'!$A:$A,$B$112,'caseload data'!$B:$B,{"licence","community"}))</f>
        <v>0</v>
      </c>
      <c r="N112" s="94" cm="1">
        <f t="array" ref="N112">SUM(SUMIFS('caseload data'!O:O,'caseload data'!$D:$D,"PO",'caseload data'!$A:$A,$B$112,'caseload data'!$B:$B,{"licence","community"}))</f>
        <v>0</v>
      </c>
      <c r="O112" s="94" cm="1">
        <f t="array" ref="O112">SUM(SUMIFS('caseload data'!P:P,'caseload data'!$D:$D,"PO",'caseload data'!$A:$A,$B$112,'caseload data'!$B:$B,{"licence","community"}))</f>
        <v>0</v>
      </c>
      <c r="P112" s="94" cm="1">
        <f t="array" ref="P112">SUM(SUMIFS('caseload data'!Q:Q,'caseload data'!$D:$D,"PO",'caseload data'!$A:$A,$B$112,'caseload data'!$B:$B,{"licence","community"}))</f>
        <v>0</v>
      </c>
      <c r="Q112" s="94" cm="1">
        <f t="array" ref="Q112">SUM(SUMIFS('caseload data'!R:R,'caseload data'!$D:$D,"PO",'caseload data'!$A:$A,$B$112,'caseload data'!$B:$B,{"licence","community"}))</f>
        <v>0</v>
      </c>
      <c r="R112" s="94" cm="1">
        <f t="array" ref="R112">SUM(SUMIFS('caseload data'!S:S,'caseload data'!$D:$D,"PO",'caseload data'!$A:$A,$B$112,'caseload data'!$B:$B,{"licence","community"}))</f>
        <v>0</v>
      </c>
      <c r="S112" s="94" cm="1">
        <f t="array" ref="S112">SUM(SUMIFS('caseload data'!T:T,'caseload data'!$D:$D,"PO",'caseload data'!$A:$A,$B$112,'caseload data'!$B:$B,{"licence","community"}))</f>
        <v>0</v>
      </c>
      <c r="T112" s="94">
        <f>SUM(SUMIFS('caseload data'!V:V,'caseload data'!D:D,"PO",'caseload data'!A:A,B112,'caseload data'!B:B,{"licence","community"}))</f>
        <v>0</v>
      </c>
      <c r="U112" s="64"/>
      <c r="V112" s="64"/>
      <c r="W112" s="471" t="s">
        <v>24</v>
      </c>
      <c r="X112" s="128" t="s">
        <v>1002</v>
      </c>
      <c r="Y112" s="167" t="e">
        <f>SUM(D112)/SUM(D$112:D$116)</f>
        <v>#DIV/0!</v>
      </c>
      <c r="Z112" s="167" t="e">
        <f t="shared" ref="Z112:AO116" si="62">SUM(E112)/SUM(E$112:E$116)</f>
        <v>#DIV/0!</v>
      </c>
      <c r="AA112" s="167" t="e">
        <f t="shared" si="62"/>
        <v>#DIV/0!</v>
      </c>
      <c r="AB112" s="167" t="e">
        <f t="shared" si="62"/>
        <v>#DIV/0!</v>
      </c>
      <c r="AC112" s="167" t="e">
        <f t="shared" si="62"/>
        <v>#DIV/0!</v>
      </c>
      <c r="AD112" s="167" t="e">
        <f t="shared" si="62"/>
        <v>#DIV/0!</v>
      </c>
      <c r="AE112" s="167" t="e">
        <f t="shared" si="62"/>
        <v>#DIV/0!</v>
      </c>
      <c r="AF112" s="167" t="e">
        <f t="shared" si="62"/>
        <v>#DIV/0!</v>
      </c>
      <c r="AG112" s="167" t="e">
        <f t="shared" si="62"/>
        <v>#DIV/0!</v>
      </c>
      <c r="AH112" s="167" t="e">
        <f t="shared" si="62"/>
        <v>#DIV/0!</v>
      </c>
      <c r="AI112" s="167" t="e">
        <f t="shared" si="62"/>
        <v>#DIV/0!</v>
      </c>
      <c r="AJ112" s="167" t="e">
        <f t="shared" si="62"/>
        <v>#DIV/0!</v>
      </c>
      <c r="AK112" s="167" t="e">
        <f t="shared" si="62"/>
        <v>#DIV/0!</v>
      </c>
      <c r="AL112" s="167" t="e">
        <f t="shared" si="62"/>
        <v>#DIV/0!</v>
      </c>
      <c r="AM112" s="167" t="e">
        <f t="shared" si="62"/>
        <v>#DIV/0!</v>
      </c>
      <c r="AN112" s="167" t="e">
        <f t="shared" si="62"/>
        <v>#DIV/0!</v>
      </c>
      <c r="AO112" s="167" t="e">
        <f t="shared" si="62"/>
        <v>#DIV/0!</v>
      </c>
    </row>
    <row r="113" spans="2:41" x14ac:dyDescent="0.15">
      <c r="B113" s="472"/>
      <c r="C113" s="129" t="s">
        <v>1007</v>
      </c>
      <c r="D113" s="94" cm="1">
        <f t="array" ref="D113">SUM(SUMIFS('caseload data'!E:E,'caseload data'!$D:$D,"PSO",'caseload data'!$A:$A,"South Central",'caseload data'!$B:$B,{"licence","community"}))</f>
        <v>0</v>
      </c>
      <c r="E113" s="94" cm="1">
        <f t="array" ref="E113">SUM(SUMIFS('caseload data'!F:F,'caseload data'!$D:$D,"PSO",'caseload data'!$A:$A,"South Central",'caseload data'!$B:$B,{"licence","community"}))</f>
        <v>0</v>
      </c>
      <c r="F113" s="94" cm="1">
        <f t="array" ref="F113">SUM(SUMIFS('caseload data'!G:G,'caseload data'!$D:$D,"PSO",'caseload data'!$A:$A,"South Central",'caseload data'!$B:$B,{"licence","community"}))</f>
        <v>0</v>
      </c>
      <c r="G113" s="94" cm="1">
        <f t="array" ref="G113">SUM(SUMIFS('caseload data'!H:H,'caseload data'!$D:$D,"PSO",'caseload data'!$A:$A,"South Central",'caseload data'!$B:$B,{"licence","community"}))</f>
        <v>0</v>
      </c>
      <c r="H113" s="94" cm="1">
        <f t="array" ref="H113">SUM(SUMIFS('caseload data'!I:I,'caseload data'!$D:$D,"PSO",'caseload data'!$A:$A,"South Central",'caseload data'!$B:$B,{"licence","community"}))</f>
        <v>0</v>
      </c>
      <c r="I113" s="94" cm="1">
        <f t="array" ref="I113">SUM(SUMIFS('caseload data'!J:J,'caseload data'!$D:$D,"PSO",'caseload data'!$A:$A,"South Central",'caseload data'!$B:$B,{"licence","community"}))</f>
        <v>0</v>
      </c>
      <c r="J113" s="94" cm="1">
        <f t="array" ref="J113">SUM(SUMIFS('caseload data'!K:K,'caseload data'!$D:$D,"PSO",'caseload data'!$A:$A,"South Central",'caseload data'!$B:$B,{"licence","community"}))</f>
        <v>0</v>
      </c>
      <c r="K113" s="94" cm="1">
        <f t="array" ref="K113">SUM(SUMIFS('caseload data'!L:L,'caseload data'!$D:$D,"PSO",'caseload data'!$A:$A,"South Central",'caseload data'!$B:$B,{"licence","community"}))</f>
        <v>0</v>
      </c>
      <c r="L113" s="94" cm="1">
        <f t="array" ref="L113">SUM(SUMIFS('caseload data'!M:M,'caseload data'!$D:$D,"PSO",'caseload data'!$A:$A,"South Central",'caseload data'!$B:$B,{"licence","community"}))</f>
        <v>0</v>
      </c>
      <c r="M113" s="94" cm="1">
        <f t="array" ref="M113">SUM(SUMIFS('caseload data'!N:N,'caseload data'!$D:$D,"PSO",'caseload data'!$A:$A,"South Central",'caseload data'!$B:$B,{"licence","community"}))</f>
        <v>0</v>
      </c>
      <c r="N113" s="94" cm="1">
        <f t="array" ref="N113">SUM(SUMIFS('caseload data'!O:O,'caseload data'!$D:$D,"PSO",'caseload data'!$A:$A,"South Central",'caseload data'!$B:$B,{"licence","community"}))</f>
        <v>0</v>
      </c>
      <c r="O113" s="94" cm="1">
        <f t="array" ref="O113">SUM(SUMIFS('caseload data'!P:P,'caseload data'!$D:$D,"PSO",'caseload data'!$A:$A,"South Central",'caseload data'!$B:$B,{"licence","community"}))</f>
        <v>0</v>
      </c>
      <c r="P113" s="94" cm="1">
        <f t="array" ref="P113">SUM(SUMIFS('caseload data'!Q:Q,'caseload data'!$D:$D,"PSO",'caseload data'!$A:$A,"South Central",'caseload data'!$B:$B,{"licence","community"}))</f>
        <v>0</v>
      </c>
      <c r="Q113" s="94" cm="1">
        <f t="array" ref="Q113">SUM(SUMIFS('caseload data'!R:R,'caseload data'!$D:$D,"PSO",'caseload data'!$A:$A,"South Central",'caseload data'!$B:$B,{"licence","community"}))</f>
        <v>0</v>
      </c>
      <c r="R113" s="94" cm="1">
        <f t="array" ref="R113">SUM(SUMIFS('caseload data'!S:S,'caseload data'!$D:$D,"PSO",'caseload data'!$A:$A,"South Central",'caseload data'!$B:$B,{"licence","community"}))</f>
        <v>0</v>
      </c>
      <c r="S113" s="94" cm="1">
        <f t="array" ref="S113">SUM(SUMIFS('caseload data'!T:T,'caseload data'!$D:$D,"PSO",'caseload data'!$A:$A,"South Central",'caseload data'!$B:$B,{"licence","community"}))</f>
        <v>0</v>
      </c>
      <c r="T113" s="94" cm="1">
        <f t="array" ref="T113">SUM(SUMIFS('caseload data'!V:V,'caseload data'!D:D,"PSO",'caseload data'!A:A,"South Central",'caseload data'!B:B,{"licence","community"}))</f>
        <v>0</v>
      </c>
      <c r="U113" s="64"/>
      <c r="V113" s="64"/>
      <c r="W113" s="472"/>
      <c r="X113" s="129" t="s">
        <v>1007</v>
      </c>
      <c r="Y113" s="167" t="e">
        <f t="shared" ref="Y113:Y115" si="63">SUM(D113)/SUM(D$112:D$116)</f>
        <v>#DIV/0!</v>
      </c>
      <c r="Z113" s="167" t="e">
        <f t="shared" si="62"/>
        <v>#DIV/0!</v>
      </c>
      <c r="AA113" s="167" t="e">
        <f t="shared" si="62"/>
        <v>#DIV/0!</v>
      </c>
      <c r="AB113" s="167" t="e">
        <f t="shared" si="62"/>
        <v>#DIV/0!</v>
      </c>
      <c r="AC113" s="167" t="e">
        <f t="shared" si="62"/>
        <v>#DIV/0!</v>
      </c>
      <c r="AD113" s="167" t="e">
        <f t="shared" si="62"/>
        <v>#DIV/0!</v>
      </c>
      <c r="AE113" s="167" t="e">
        <f t="shared" si="62"/>
        <v>#DIV/0!</v>
      </c>
      <c r="AF113" s="167" t="e">
        <f t="shared" si="62"/>
        <v>#DIV/0!</v>
      </c>
      <c r="AG113" s="167" t="e">
        <f t="shared" si="62"/>
        <v>#DIV/0!</v>
      </c>
      <c r="AH113" s="167" t="e">
        <f t="shared" si="62"/>
        <v>#DIV/0!</v>
      </c>
      <c r="AI113" s="167" t="e">
        <f t="shared" si="62"/>
        <v>#DIV/0!</v>
      </c>
      <c r="AJ113" s="167" t="e">
        <f t="shared" si="62"/>
        <v>#DIV/0!</v>
      </c>
      <c r="AK113" s="167" t="e">
        <f t="shared" si="62"/>
        <v>#DIV/0!</v>
      </c>
      <c r="AL113" s="167" t="e">
        <f t="shared" si="62"/>
        <v>#DIV/0!</v>
      </c>
      <c r="AM113" s="167" t="e">
        <f t="shared" si="62"/>
        <v>#DIV/0!</v>
      </c>
      <c r="AN113" s="167" t="e">
        <f t="shared" si="62"/>
        <v>#DIV/0!</v>
      </c>
      <c r="AO113" s="167" t="e">
        <f t="shared" si="62"/>
        <v>#DIV/0!</v>
      </c>
    </row>
    <row r="114" spans="2:41" x14ac:dyDescent="0.15">
      <c r="B114" s="472"/>
      <c r="C114" s="129" t="s">
        <v>1008</v>
      </c>
      <c r="D114" s="94" cm="1">
        <f t="array" ref="D114">SUM(SUMIFS('caseload data'!E:E,'caseload data'!$D:$D,"TPO",'caseload data'!$A:$A,"South Central",'caseload data'!$B:$B,{"licence","community"}))</f>
        <v>0</v>
      </c>
      <c r="E114" s="94" cm="1">
        <f t="array" ref="E114">SUM(SUMIFS('caseload data'!F:F,'caseload data'!$D:$D,"TPO",'caseload data'!$A:$A,"South Central",'caseload data'!$B:$B,{"licence","community"}))</f>
        <v>0</v>
      </c>
      <c r="F114" s="94" cm="1">
        <f t="array" ref="F114">SUM(SUMIFS('caseload data'!G:G,'caseload data'!$D:$D,"TPO",'caseload data'!$A:$A,"South Central",'caseload data'!$B:$B,{"licence","community"}))</f>
        <v>0</v>
      </c>
      <c r="G114" s="94" cm="1">
        <f t="array" ref="G114">SUM(SUMIFS('caseload data'!H:H,'caseload data'!$D:$D,"TPO",'caseload data'!$A:$A,"South Central",'caseload data'!$B:$B,{"licence","community"}))</f>
        <v>0</v>
      </c>
      <c r="H114" s="94" cm="1">
        <f t="array" ref="H114">SUM(SUMIFS('caseload data'!I:I,'caseload data'!$D:$D,"TPO",'caseload data'!$A:$A,"South Central",'caseload data'!$B:$B,{"licence","community"}))</f>
        <v>0</v>
      </c>
      <c r="I114" s="94" cm="1">
        <f t="array" ref="I114">SUM(SUMIFS('caseload data'!J:J,'caseload data'!$D:$D,"TPO",'caseload data'!$A:$A,"South Central",'caseload data'!$B:$B,{"licence","community"}))</f>
        <v>0</v>
      </c>
      <c r="J114" s="94" cm="1">
        <f t="array" ref="J114">SUM(SUMIFS('caseload data'!K:K,'caseload data'!$D:$D,"TPO",'caseload data'!$A:$A,"South Central",'caseload data'!$B:$B,{"licence","community"}))</f>
        <v>0</v>
      </c>
      <c r="K114" s="94" cm="1">
        <f t="array" ref="K114">SUM(SUMIFS('caseload data'!L:L,'caseload data'!$D:$D,"TPO",'caseload data'!$A:$A,"South Central",'caseload data'!$B:$B,{"licence","community"}))</f>
        <v>0</v>
      </c>
      <c r="L114" s="94" cm="1">
        <f t="array" ref="L114">SUM(SUMIFS('caseload data'!M:M,'caseload data'!$D:$D,"TPO",'caseload data'!$A:$A,"South Central",'caseload data'!$B:$B,{"licence","community"}))</f>
        <v>0</v>
      </c>
      <c r="M114" s="94" cm="1">
        <f t="array" ref="M114">SUM(SUMIFS('caseload data'!N:N,'caseload data'!$D:$D,"TPO",'caseload data'!$A:$A,"South Central",'caseload data'!$B:$B,{"licence","community"}))</f>
        <v>0</v>
      </c>
      <c r="N114" s="94" cm="1">
        <f t="array" ref="N114">SUM(SUMIFS('caseload data'!O:O,'caseload data'!$D:$D,"TPO",'caseload data'!$A:$A,"South Central",'caseload data'!$B:$B,{"licence","community"}))</f>
        <v>0</v>
      </c>
      <c r="O114" s="94" cm="1">
        <f t="array" ref="O114">SUM(SUMIFS('caseload data'!P:P,'caseload data'!$D:$D,"TPO",'caseload data'!$A:$A,"South Central",'caseload data'!$B:$B,{"licence","community"}))</f>
        <v>0</v>
      </c>
      <c r="P114" s="94" cm="1">
        <f t="array" ref="P114">SUM(SUMIFS('caseload data'!Q:Q,'caseload data'!$D:$D,"TPO",'caseload data'!$A:$A,"South Central",'caseload data'!$B:$B,{"licence","community"}))</f>
        <v>0</v>
      </c>
      <c r="Q114" s="94" cm="1">
        <f t="array" ref="Q114">SUM(SUMIFS('caseload data'!R:R,'caseload data'!$D:$D,"TPO",'caseload data'!$A:$A,"South Central",'caseload data'!$B:$B,{"licence","community"}))</f>
        <v>0</v>
      </c>
      <c r="R114" s="94" cm="1">
        <f t="array" ref="R114">SUM(SUMIFS('caseload data'!S:S,'caseload data'!$D:$D,"TPO",'caseload data'!$A:$A,"South Central",'caseload data'!$B:$B,{"licence","community"}))</f>
        <v>0</v>
      </c>
      <c r="S114" s="94" cm="1">
        <f t="array" ref="S114">SUM(SUMIFS('caseload data'!T:T,'caseload data'!$D:$D,"TPO",'caseload data'!$A:$A,"South Central",'caseload data'!$B:$B,{"licence","community"}))</f>
        <v>0</v>
      </c>
      <c r="T114" s="94" cm="1">
        <f t="array" ref="T114">SUM(SUMIFS('caseload data'!V:V,'caseload data'!D:D,"TPO",'caseload data'!A:A,"South Central",'caseload data'!B:B,{"licence","community"}))</f>
        <v>0</v>
      </c>
      <c r="U114" s="64"/>
      <c r="V114" s="64"/>
      <c r="W114" s="472"/>
      <c r="X114" s="129" t="s">
        <v>1008</v>
      </c>
      <c r="Y114" s="167" t="e">
        <f t="shared" si="63"/>
        <v>#DIV/0!</v>
      </c>
      <c r="Z114" s="167" t="e">
        <f t="shared" si="62"/>
        <v>#DIV/0!</v>
      </c>
      <c r="AA114" s="167" t="e">
        <f t="shared" si="62"/>
        <v>#DIV/0!</v>
      </c>
      <c r="AB114" s="167" t="e">
        <f t="shared" si="62"/>
        <v>#DIV/0!</v>
      </c>
      <c r="AC114" s="167" t="e">
        <f t="shared" si="62"/>
        <v>#DIV/0!</v>
      </c>
      <c r="AD114" s="167" t="e">
        <f t="shared" si="62"/>
        <v>#DIV/0!</v>
      </c>
      <c r="AE114" s="167" t="e">
        <f t="shared" si="62"/>
        <v>#DIV/0!</v>
      </c>
      <c r="AF114" s="167" t="e">
        <f t="shared" si="62"/>
        <v>#DIV/0!</v>
      </c>
      <c r="AG114" s="167" t="e">
        <f t="shared" si="62"/>
        <v>#DIV/0!</v>
      </c>
      <c r="AH114" s="167" t="e">
        <f t="shared" si="62"/>
        <v>#DIV/0!</v>
      </c>
      <c r="AI114" s="167" t="e">
        <f t="shared" si="62"/>
        <v>#DIV/0!</v>
      </c>
      <c r="AJ114" s="167" t="e">
        <f t="shared" si="62"/>
        <v>#DIV/0!</v>
      </c>
      <c r="AK114" s="167" t="e">
        <f t="shared" si="62"/>
        <v>#DIV/0!</v>
      </c>
      <c r="AL114" s="167" t="e">
        <f t="shared" si="62"/>
        <v>#DIV/0!</v>
      </c>
      <c r="AM114" s="167" t="e">
        <f t="shared" si="62"/>
        <v>#DIV/0!</v>
      </c>
      <c r="AN114" s="167" t="e">
        <f t="shared" si="62"/>
        <v>#DIV/0!</v>
      </c>
      <c r="AO114" s="167" t="e">
        <f t="shared" si="62"/>
        <v>#DIV/0!</v>
      </c>
    </row>
    <row r="115" spans="2:41" x14ac:dyDescent="0.15">
      <c r="B115" s="472"/>
      <c r="C115" s="129" t="s">
        <v>1009</v>
      </c>
      <c r="D115" s="94" cm="1">
        <f t="array" ref="D115">SUM(SUMIFS('caseload data'!E:E,'caseload data'!$D:$D,"SPO",'caseload data'!$A:$A,"South Central",'caseload data'!$B:$B,{"licence","community"}))</f>
        <v>0</v>
      </c>
      <c r="E115" s="94" cm="1">
        <f t="array" ref="E115">SUM(SUMIFS('caseload data'!F:F,'caseload data'!$D:$D,"SPO",'caseload data'!$A:$A,"South Central",'caseload data'!$B:$B,{"licence","community"}))</f>
        <v>0</v>
      </c>
      <c r="F115" s="94" cm="1">
        <f t="array" ref="F115">SUM(SUMIFS('caseload data'!G:G,'caseload data'!$D:$D,"SPO",'caseload data'!$A:$A,"South Central",'caseload data'!$B:$B,{"licence","community"}))</f>
        <v>0</v>
      </c>
      <c r="G115" s="94" cm="1">
        <f t="array" ref="G115">SUM(SUMIFS('caseload data'!H:H,'caseload data'!$D:$D,"SPO",'caseload data'!$A:$A,"South Central",'caseload data'!$B:$B,{"licence","community"}))</f>
        <v>0</v>
      </c>
      <c r="H115" s="94" cm="1">
        <f t="array" ref="H115">SUM(SUMIFS('caseload data'!I:I,'caseload data'!$D:$D,"SPO",'caseload data'!$A:$A,"South Central",'caseload data'!$B:$B,{"licence","community"}))</f>
        <v>0</v>
      </c>
      <c r="I115" s="94" cm="1">
        <f t="array" ref="I115">SUM(SUMIFS('caseload data'!J:J,'caseload data'!$D:$D,"SPO",'caseload data'!$A:$A,"South Central",'caseload data'!$B:$B,{"licence","community"}))</f>
        <v>0</v>
      </c>
      <c r="J115" s="94" cm="1">
        <f t="array" ref="J115">SUM(SUMIFS('caseload data'!K:K,'caseload data'!$D:$D,"SPO",'caseload data'!$A:$A,"South Central",'caseload data'!$B:$B,{"licence","community"}))</f>
        <v>0</v>
      </c>
      <c r="K115" s="94" cm="1">
        <f t="array" ref="K115">SUM(SUMIFS('caseload data'!L:L,'caseload data'!$D:$D,"SPO",'caseload data'!$A:$A,"South Central",'caseload data'!$B:$B,{"licence","community"}))</f>
        <v>0</v>
      </c>
      <c r="L115" s="94" cm="1">
        <f t="array" ref="L115">SUM(SUMIFS('caseload data'!M:M,'caseload data'!$D:$D,"SPO",'caseload data'!$A:$A,"South Central",'caseload data'!$B:$B,{"licence","community"}))</f>
        <v>0</v>
      </c>
      <c r="M115" s="94" cm="1">
        <f t="array" ref="M115">SUM(SUMIFS('caseload data'!N:N,'caseload data'!$D:$D,"SPO",'caseload data'!$A:$A,"South Central",'caseload data'!$B:$B,{"licence","community"}))</f>
        <v>0</v>
      </c>
      <c r="N115" s="94" cm="1">
        <f t="array" ref="N115">SUM(SUMIFS('caseload data'!O:O,'caseload data'!$D:$D,"SPO",'caseload data'!$A:$A,"South Central",'caseload data'!$B:$B,{"licence","community"}))</f>
        <v>0</v>
      </c>
      <c r="O115" s="94" cm="1">
        <f t="array" ref="O115">SUM(SUMIFS('caseload data'!P:P,'caseload data'!$D:$D,"SPO",'caseload data'!$A:$A,"South Central",'caseload data'!$B:$B,{"licence","community"}))</f>
        <v>0</v>
      </c>
      <c r="P115" s="94" cm="1">
        <f t="array" ref="P115">SUM(SUMIFS('caseload data'!Q:Q,'caseload data'!$D:$D,"SPO",'caseload data'!$A:$A,"South Central",'caseload data'!$B:$B,{"licence","community"}))</f>
        <v>0</v>
      </c>
      <c r="Q115" s="94" cm="1">
        <f t="array" ref="Q115">SUM(SUMIFS('caseload data'!R:R,'caseload data'!$D:$D,"SPO",'caseload data'!$A:$A,"South Central",'caseload data'!$B:$B,{"licence","community"}))</f>
        <v>0</v>
      </c>
      <c r="R115" s="94" cm="1">
        <f t="array" ref="R115">SUM(SUMIFS('caseload data'!S:S,'caseload data'!$D:$D,"SPO",'caseload data'!$A:$A,"South Central",'caseload data'!$B:$B,{"licence","community"}))</f>
        <v>0</v>
      </c>
      <c r="S115" s="94" cm="1">
        <f t="array" ref="S115">SUM(SUMIFS('caseload data'!T:T,'caseload data'!$D:$D,"SPO",'caseload data'!$A:$A,"South Central",'caseload data'!$B:$B,{"licence","community"}))</f>
        <v>0</v>
      </c>
      <c r="T115" s="94" cm="1">
        <f t="array" ref="T115">SUM(SUMIFS('caseload data'!V:V,'caseload data'!$D:$D,"SPO",'caseload data'!$A:$A,"South Central",'caseload data'!$B:$B,{"licence","community"}))</f>
        <v>0</v>
      </c>
      <c r="U115" s="64"/>
      <c r="V115" s="64"/>
      <c r="W115" s="472"/>
      <c r="X115" s="129" t="s">
        <v>1009</v>
      </c>
      <c r="Y115" s="167" t="e">
        <f t="shared" si="63"/>
        <v>#DIV/0!</v>
      </c>
      <c r="Z115" s="167" t="e">
        <f t="shared" si="62"/>
        <v>#DIV/0!</v>
      </c>
      <c r="AA115" s="167" t="e">
        <f t="shared" si="62"/>
        <v>#DIV/0!</v>
      </c>
      <c r="AB115" s="167" t="e">
        <f t="shared" si="62"/>
        <v>#DIV/0!</v>
      </c>
      <c r="AC115" s="167" t="e">
        <f t="shared" si="62"/>
        <v>#DIV/0!</v>
      </c>
      <c r="AD115" s="167" t="e">
        <f t="shared" si="62"/>
        <v>#DIV/0!</v>
      </c>
      <c r="AE115" s="167" t="e">
        <f t="shared" si="62"/>
        <v>#DIV/0!</v>
      </c>
      <c r="AF115" s="167" t="e">
        <f t="shared" si="62"/>
        <v>#DIV/0!</v>
      </c>
      <c r="AG115" s="167" t="e">
        <f t="shared" si="62"/>
        <v>#DIV/0!</v>
      </c>
      <c r="AH115" s="167" t="e">
        <f t="shared" si="62"/>
        <v>#DIV/0!</v>
      </c>
      <c r="AI115" s="167" t="e">
        <f t="shared" si="62"/>
        <v>#DIV/0!</v>
      </c>
      <c r="AJ115" s="167" t="e">
        <f t="shared" si="62"/>
        <v>#DIV/0!</v>
      </c>
      <c r="AK115" s="167" t="e">
        <f t="shared" si="62"/>
        <v>#DIV/0!</v>
      </c>
      <c r="AL115" s="167" t="e">
        <f t="shared" si="62"/>
        <v>#DIV/0!</v>
      </c>
      <c r="AM115" s="167" t="e">
        <f t="shared" si="62"/>
        <v>#DIV/0!</v>
      </c>
      <c r="AN115" s="167" t="e">
        <f t="shared" si="62"/>
        <v>#DIV/0!</v>
      </c>
      <c r="AO115" s="167" t="e">
        <f t="shared" si="62"/>
        <v>#DIV/0!</v>
      </c>
    </row>
    <row r="116" spans="2:41" x14ac:dyDescent="0.15">
      <c r="B116" s="473"/>
      <c r="C116" s="130" t="s">
        <v>1344</v>
      </c>
      <c r="D116" s="94" cm="1">
        <f t="array" ref="D116">SUM(SUMIFS('caseload data'!E:E,'caseload data'!$D:$D,"DMY",'caseload data'!$A:$A,"South Central",'caseload data'!$B:$B,{"licence","community"}))</f>
        <v>0</v>
      </c>
      <c r="E116" s="94" cm="1">
        <f t="array" ref="E116">SUM(SUMIFS('caseload data'!F:F,'caseload data'!$D:$D,"DMY",'caseload data'!$A:$A,"South Central",'caseload data'!$B:$B,{"licence","community"}))</f>
        <v>0</v>
      </c>
      <c r="F116" s="94" cm="1">
        <f t="array" ref="F116">SUM(SUMIFS('caseload data'!G:G,'caseload data'!$D:$D,"DMY",'caseload data'!$A:$A,"South Central",'caseload data'!$B:$B,{"licence","community"}))</f>
        <v>0</v>
      </c>
      <c r="G116" s="94" cm="1">
        <f t="array" ref="G116">SUM(SUMIFS('caseload data'!H:H,'caseload data'!$D:$D,"DMY",'caseload data'!$A:$A,"South Central",'caseload data'!$B:$B,{"licence","community"}))</f>
        <v>0</v>
      </c>
      <c r="H116" s="94" cm="1">
        <f t="array" ref="H116">SUM(SUMIFS('caseload data'!I:I,'caseload data'!$D:$D,"DMY",'caseload data'!$A:$A,"South Central",'caseload data'!$B:$B,{"licence","community"}))</f>
        <v>0</v>
      </c>
      <c r="I116" s="94" cm="1">
        <f t="array" ref="I116">SUM(SUMIFS('caseload data'!J:J,'caseload data'!$D:$D,"DMY",'caseload data'!$A:$A,"South Central",'caseload data'!$B:$B,{"licence","community"}))</f>
        <v>0</v>
      </c>
      <c r="J116" s="94" cm="1">
        <f t="array" ref="J116">SUM(SUMIFS('caseload data'!K:K,'caseload data'!$D:$D,"DMY",'caseload data'!$A:$A,"South Central",'caseload data'!$B:$B,{"licence","community"}))</f>
        <v>0</v>
      </c>
      <c r="K116" s="94" cm="1">
        <f t="array" ref="K116">SUM(SUMIFS('caseload data'!L:L,'caseload data'!$D:$D,"DMY",'caseload data'!$A:$A,"South Central",'caseload data'!$B:$B,{"licence","community"}))</f>
        <v>0</v>
      </c>
      <c r="L116" s="94" cm="1">
        <f t="array" ref="L116">SUM(SUMIFS('caseload data'!M:M,'caseload data'!$D:$D,"DMY",'caseload data'!$A:$A,"South Central",'caseload data'!$B:$B,{"licence","community"}))</f>
        <v>0</v>
      </c>
      <c r="M116" s="94" cm="1">
        <f t="array" ref="M116">SUM(SUMIFS('caseload data'!N:N,'caseload data'!$D:$D,"DMY",'caseload data'!$A:$A,"South Central",'caseload data'!$B:$B,{"licence","community"}))</f>
        <v>0</v>
      </c>
      <c r="N116" s="94" cm="1">
        <f t="array" ref="N116">SUM(SUMIFS('caseload data'!O:O,'caseload data'!$D:$D,"DMY",'caseload data'!$A:$A,"South Central",'caseload data'!$B:$B,{"licence","community"}))</f>
        <v>0</v>
      </c>
      <c r="O116" s="94" cm="1">
        <f t="array" ref="O116">SUM(SUMIFS('caseload data'!P:P,'caseload data'!$D:$D,"DMY",'caseload data'!$A:$A,"South Central",'caseload data'!$B:$B,{"licence","community"}))</f>
        <v>0</v>
      </c>
      <c r="P116" s="94" cm="1">
        <f t="array" ref="P116">SUM(SUMIFS('caseload data'!Q:Q,'caseload data'!$D:$D,"DMY",'caseload data'!$A:$A,"South Central",'caseload data'!$B:$B,{"licence","community"}))</f>
        <v>0</v>
      </c>
      <c r="Q116" s="94" cm="1">
        <f t="array" ref="Q116">SUM(SUMIFS('caseload data'!R:R,'caseload data'!$D:$D,"DMY",'caseload data'!$A:$A,"South Central",'caseload data'!$B:$B,{"licence","community"}))</f>
        <v>0</v>
      </c>
      <c r="R116" s="94" cm="1">
        <f t="array" ref="R116">SUM(SUMIFS('caseload data'!S:S,'caseload data'!$D:$D,"DMY",'caseload data'!$A:$A,"South Central",'caseload data'!$B:$B,{"licence","community"}))</f>
        <v>0</v>
      </c>
      <c r="S116" s="94" cm="1">
        <f t="array" ref="S116">SUM(SUMIFS('caseload data'!T:T,'caseload data'!$D:$D,"DMY",'caseload data'!$A:$A,"South Central",'caseload data'!$B:$B,{"licence","community"}))</f>
        <v>0</v>
      </c>
      <c r="T116" s="94" cm="1">
        <f t="array" ref="T116">SUM(SUMIFS('caseload data'!V:V,'caseload data'!$D:$D,"DMY",'caseload data'!$A:$A,"South Central",'caseload data'!$B:$B,{"licence","community"}))</f>
        <v>0</v>
      </c>
      <c r="U116" s="64"/>
      <c r="V116" s="64"/>
      <c r="W116" s="473"/>
      <c r="X116" s="130" t="s">
        <v>1344</v>
      </c>
      <c r="Y116" s="167" t="e">
        <f>SUM(D116)/SUM(D$112:D$116)</f>
        <v>#DIV/0!</v>
      </c>
      <c r="Z116" s="167" t="e">
        <f t="shared" si="62"/>
        <v>#DIV/0!</v>
      </c>
      <c r="AA116" s="167" t="e">
        <f t="shared" si="62"/>
        <v>#DIV/0!</v>
      </c>
      <c r="AB116" s="167" t="e">
        <f t="shared" si="62"/>
        <v>#DIV/0!</v>
      </c>
      <c r="AC116" s="167" t="e">
        <f t="shared" si="62"/>
        <v>#DIV/0!</v>
      </c>
      <c r="AD116" s="167" t="e">
        <f t="shared" si="62"/>
        <v>#DIV/0!</v>
      </c>
      <c r="AE116" s="167" t="e">
        <f t="shared" si="62"/>
        <v>#DIV/0!</v>
      </c>
      <c r="AF116" s="167" t="e">
        <f t="shared" si="62"/>
        <v>#DIV/0!</v>
      </c>
      <c r="AG116" s="167" t="e">
        <f t="shared" si="62"/>
        <v>#DIV/0!</v>
      </c>
      <c r="AH116" s="167" t="e">
        <f t="shared" si="62"/>
        <v>#DIV/0!</v>
      </c>
      <c r="AI116" s="167" t="e">
        <f t="shared" si="62"/>
        <v>#DIV/0!</v>
      </c>
      <c r="AJ116" s="167" t="e">
        <f t="shared" si="62"/>
        <v>#DIV/0!</v>
      </c>
      <c r="AK116" s="167" t="e">
        <f t="shared" si="62"/>
        <v>#DIV/0!</v>
      </c>
      <c r="AL116" s="167" t="e">
        <f t="shared" si="62"/>
        <v>#DIV/0!</v>
      </c>
      <c r="AM116" s="167" t="e">
        <f t="shared" si="62"/>
        <v>#DIV/0!</v>
      </c>
      <c r="AN116" s="167" t="e">
        <f t="shared" si="62"/>
        <v>#DIV/0!</v>
      </c>
      <c r="AO116" s="167" t="e">
        <f t="shared" si="62"/>
        <v>#DIV/0!</v>
      </c>
    </row>
    <row r="117" spans="2:41" x14ac:dyDescent="0.15">
      <c r="B117" s="471" t="s">
        <v>25</v>
      </c>
      <c r="C117" s="128" t="s">
        <v>1002</v>
      </c>
      <c r="D117" s="94" cm="1">
        <f t="array" ref="D117">SUM(SUMIFS('caseload data'!E:E,'caseload data'!$D:$D,"PO",'caseload data'!$A:$A,$B$117,'caseload data'!$B:$B,{"licence","community"}))</f>
        <v>0</v>
      </c>
      <c r="E117" s="94" cm="1">
        <f t="array" ref="E117">SUM(SUMIFS('caseload data'!F:F,'caseload data'!$D:$D,"PO",'caseload data'!$A:$A,$B$117,'caseload data'!$B:$B,{"licence","community"}))</f>
        <v>0</v>
      </c>
      <c r="F117" s="94" cm="1">
        <f t="array" ref="F117">SUM(SUMIFS('caseload data'!G:G,'caseload data'!$D:$D,"PO",'caseload data'!$A:$A,$B$117,'caseload data'!$B:$B,{"licence","community"}))</f>
        <v>0</v>
      </c>
      <c r="G117" s="94" cm="1">
        <f t="array" ref="G117">SUM(SUMIFS('caseload data'!H:H,'caseload data'!$D:$D,"PO",'caseload data'!$A:$A,$B$117,'caseload data'!$B:$B,{"licence","community"}))</f>
        <v>0</v>
      </c>
      <c r="H117" s="94" cm="1">
        <f t="array" ref="H117">SUM(SUMIFS('caseload data'!I:I,'caseload data'!$D:$D,"PO",'caseload data'!$A:$A,$B$117,'caseload data'!$B:$B,{"licence","community"}))</f>
        <v>0</v>
      </c>
      <c r="I117" s="94" cm="1">
        <f t="array" ref="I117">SUM(SUMIFS('caseload data'!J:J,'caseload data'!$D:$D,"PO",'caseload data'!$A:$A,$B$117,'caseload data'!$B:$B,{"licence","community"}))</f>
        <v>0</v>
      </c>
      <c r="J117" s="94" cm="1">
        <f t="array" ref="J117">SUM(SUMIFS('caseload data'!K:K,'caseload data'!$D:$D,"PO",'caseload data'!$A:$A,$B$117,'caseload data'!$B:$B,{"licence","community"}))</f>
        <v>0</v>
      </c>
      <c r="K117" s="94" cm="1">
        <f t="array" ref="K117">SUM(SUMIFS('caseload data'!L:L,'caseload data'!$D:$D,"PO",'caseload data'!$A:$A,$B$117,'caseload data'!$B:$B,{"licence","community"}))</f>
        <v>0</v>
      </c>
      <c r="L117" s="94" cm="1">
        <f t="array" ref="L117">SUM(SUMIFS('caseload data'!M:M,'caseload data'!$D:$D,"PO",'caseload data'!$A:$A,$B$117,'caseload data'!$B:$B,{"licence","community"}))</f>
        <v>0</v>
      </c>
      <c r="M117" s="94" cm="1">
        <f t="array" ref="M117">SUM(SUMIFS('caseload data'!N:N,'caseload data'!$D:$D,"PO",'caseload data'!$A:$A,$B$117,'caseload data'!$B:$B,{"licence","community"}))</f>
        <v>0</v>
      </c>
      <c r="N117" s="94" cm="1">
        <f t="array" ref="N117">SUM(SUMIFS('caseload data'!O:O,'caseload data'!$D:$D,"PO",'caseload data'!$A:$A,$B$117,'caseload data'!$B:$B,{"licence","community"}))</f>
        <v>0</v>
      </c>
      <c r="O117" s="94" cm="1">
        <f t="array" ref="O117">SUM(SUMIFS('caseload data'!P:P,'caseload data'!$D:$D,"PO",'caseload data'!$A:$A,$B$117,'caseload data'!$B:$B,{"licence","community"}))</f>
        <v>0</v>
      </c>
      <c r="P117" s="94" cm="1">
        <f t="array" ref="P117">SUM(SUMIFS('caseload data'!Q:Q,'caseload data'!$D:$D,"PO",'caseload data'!$A:$A,$B$117,'caseload data'!$B:$B,{"licence","community"}))</f>
        <v>0</v>
      </c>
      <c r="Q117" s="94" cm="1">
        <f t="array" ref="Q117">SUM(SUMIFS('caseload data'!R:R,'caseload data'!$D:$D,"PO",'caseload data'!$A:$A,$B$117,'caseload data'!$B:$B,{"licence","community"}))</f>
        <v>0</v>
      </c>
      <c r="R117" s="94" cm="1">
        <f t="array" ref="R117">SUM(SUMIFS('caseload data'!S:S,'caseload data'!$D:$D,"PO",'caseload data'!$A:$A,$B$117,'caseload data'!$B:$B,{"licence","community"}))</f>
        <v>0</v>
      </c>
      <c r="S117" s="94" cm="1">
        <f t="array" ref="S117">SUM(SUMIFS('caseload data'!T:T,'caseload data'!$D:$D,"PO",'caseload data'!$A:$A,$B$117,'caseload data'!$B:$B,{"licence","community"}))</f>
        <v>0</v>
      </c>
      <c r="T117" s="94">
        <f>SUM(SUMIFS('caseload data'!V:V,'caseload data'!D:D,"PO",'caseload data'!A:A,B117,'caseload data'!B:B,{"licence","community"}))</f>
        <v>0</v>
      </c>
      <c r="U117" s="64"/>
      <c r="V117" s="64"/>
      <c r="W117" s="471" t="s">
        <v>25</v>
      </c>
      <c r="X117" s="128" t="s">
        <v>1002</v>
      </c>
      <c r="Y117" s="167" t="e">
        <f>SUM(D117)/SUM(D$117:D$121)</f>
        <v>#DIV/0!</v>
      </c>
      <c r="Z117" s="167" t="e">
        <f t="shared" ref="Z117:AO121" si="64">SUM(E117)/SUM(E$117:E$121)</f>
        <v>#DIV/0!</v>
      </c>
      <c r="AA117" s="167" t="e">
        <f t="shared" si="64"/>
        <v>#DIV/0!</v>
      </c>
      <c r="AB117" s="167" t="e">
        <f t="shared" si="64"/>
        <v>#DIV/0!</v>
      </c>
      <c r="AC117" s="167" t="e">
        <f t="shared" si="64"/>
        <v>#DIV/0!</v>
      </c>
      <c r="AD117" s="167" t="e">
        <f t="shared" si="64"/>
        <v>#DIV/0!</v>
      </c>
      <c r="AE117" s="167" t="e">
        <f t="shared" si="64"/>
        <v>#DIV/0!</v>
      </c>
      <c r="AF117" s="167" t="e">
        <f t="shared" si="64"/>
        <v>#DIV/0!</v>
      </c>
      <c r="AG117" s="167" t="e">
        <f t="shared" si="64"/>
        <v>#DIV/0!</v>
      </c>
      <c r="AH117" s="167" t="e">
        <f t="shared" si="64"/>
        <v>#DIV/0!</v>
      </c>
      <c r="AI117" s="167" t="e">
        <f t="shared" si="64"/>
        <v>#DIV/0!</v>
      </c>
      <c r="AJ117" s="167" t="e">
        <f t="shared" si="64"/>
        <v>#DIV/0!</v>
      </c>
      <c r="AK117" s="167" t="e">
        <f t="shared" si="64"/>
        <v>#DIV/0!</v>
      </c>
      <c r="AL117" s="167" t="e">
        <f t="shared" si="64"/>
        <v>#DIV/0!</v>
      </c>
      <c r="AM117" s="167" t="e">
        <f t="shared" si="64"/>
        <v>#DIV/0!</v>
      </c>
      <c r="AN117" s="167" t="e">
        <f t="shared" si="64"/>
        <v>#DIV/0!</v>
      </c>
      <c r="AO117" s="167" t="e">
        <f t="shared" si="64"/>
        <v>#DIV/0!</v>
      </c>
    </row>
    <row r="118" spans="2:41" x14ac:dyDescent="0.15">
      <c r="B118" s="472"/>
      <c r="C118" s="129" t="s">
        <v>1007</v>
      </c>
      <c r="D118" s="94" cm="1">
        <f t="array" ref="D118">SUM(SUMIFS('caseload data'!E:E,'caseload data'!$D:$D,"PSO",'caseload data'!$A:$A,"South West",'caseload data'!$B:$B,{"licence","community"}))</f>
        <v>0</v>
      </c>
      <c r="E118" s="94" cm="1">
        <f t="array" ref="E118">SUM(SUMIFS('caseload data'!F:F,'caseload data'!$D:$D,"PSO",'caseload data'!$A:$A,"South West",'caseload data'!$B:$B,{"licence","community"}))</f>
        <v>0</v>
      </c>
      <c r="F118" s="94" cm="1">
        <f t="array" ref="F118">SUM(SUMIFS('caseload data'!G:G,'caseload data'!$D:$D,"PSO",'caseload data'!$A:$A,"South West",'caseload data'!$B:$B,{"licence","community"}))</f>
        <v>0</v>
      </c>
      <c r="G118" s="94" cm="1">
        <f t="array" ref="G118">SUM(SUMIFS('caseload data'!H:H,'caseload data'!$D:$D,"PSO",'caseload data'!$A:$A,"South West",'caseload data'!$B:$B,{"licence","community"}))</f>
        <v>0</v>
      </c>
      <c r="H118" s="94" cm="1">
        <f t="array" ref="H118">SUM(SUMIFS('caseload data'!I:I,'caseload data'!$D:$D,"PSO",'caseload data'!$A:$A,"South West",'caseload data'!$B:$B,{"licence","community"}))</f>
        <v>0</v>
      </c>
      <c r="I118" s="94" cm="1">
        <f t="array" ref="I118">SUM(SUMIFS('caseload data'!J:J,'caseload data'!$D:$D,"PSO",'caseload data'!$A:$A,"South West",'caseload data'!$B:$B,{"licence","community"}))</f>
        <v>0</v>
      </c>
      <c r="J118" s="94" cm="1">
        <f t="array" ref="J118">SUM(SUMIFS('caseload data'!K:K,'caseload data'!$D:$D,"PSO",'caseload data'!$A:$A,"South West",'caseload data'!$B:$B,{"licence","community"}))</f>
        <v>0</v>
      </c>
      <c r="K118" s="94" cm="1">
        <f t="array" ref="K118">SUM(SUMIFS('caseload data'!L:L,'caseload data'!$D:$D,"PSO",'caseload data'!$A:$A,"South West",'caseload data'!$B:$B,{"licence","community"}))</f>
        <v>0</v>
      </c>
      <c r="L118" s="94" cm="1">
        <f t="array" ref="L118">SUM(SUMIFS('caseload data'!M:M,'caseload data'!$D:$D,"PSO",'caseload data'!$A:$A,"South West",'caseload data'!$B:$B,{"licence","community"}))</f>
        <v>0</v>
      </c>
      <c r="M118" s="94" cm="1">
        <f t="array" ref="M118">SUM(SUMIFS('caseload data'!N:N,'caseload data'!$D:$D,"PSO",'caseload data'!$A:$A,"South West",'caseload data'!$B:$B,{"licence","community"}))</f>
        <v>0</v>
      </c>
      <c r="N118" s="94" cm="1">
        <f t="array" ref="N118">SUM(SUMIFS('caseload data'!O:O,'caseload data'!$D:$D,"PSO",'caseload data'!$A:$A,"South West",'caseload data'!$B:$B,{"licence","community"}))</f>
        <v>0</v>
      </c>
      <c r="O118" s="94" cm="1">
        <f t="array" ref="O118">SUM(SUMIFS('caseload data'!P:P,'caseload data'!$D:$D,"PSO",'caseload data'!$A:$A,"South West",'caseload data'!$B:$B,{"licence","community"}))</f>
        <v>0</v>
      </c>
      <c r="P118" s="94" cm="1">
        <f t="array" ref="P118">SUM(SUMIFS('caseload data'!Q:Q,'caseload data'!$D:$D,"PSO",'caseload data'!$A:$A,"South West",'caseload data'!$B:$B,{"licence","community"}))</f>
        <v>0</v>
      </c>
      <c r="Q118" s="94" cm="1">
        <f t="array" ref="Q118">SUM(SUMIFS('caseload data'!R:R,'caseload data'!$D:$D,"PSO",'caseload data'!$A:$A,"South West",'caseload data'!$B:$B,{"licence","community"}))</f>
        <v>0</v>
      </c>
      <c r="R118" s="94" cm="1">
        <f t="array" ref="R118">SUM(SUMIFS('caseload data'!S:S,'caseload data'!$D:$D,"PSO",'caseload data'!$A:$A,"South West",'caseload data'!$B:$B,{"licence","community"}))</f>
        <v>0</v>
      </c>
      <c r="S118" s="94" cm="1">
        <f t="array" ref="S118">SUM(SUMIFS('caseload data'!T:T,'caseload data'!$D:$D,"PSO",'caseload data'!$A:$A,"South West",'caseload data'!$B:$B,{"licence","community"}))</f>
        <v>0</v>
      </c>
      <c r="T118" s="94" cm="1">
        <f t="array" ref="T118">SUM(SUMIFS('caseload data'!V:V,'caseload data'!D:D,"PSO",'caseload data'!A:A,"South West",'caseload data'!B:B,{"licence","community"}))</f>
        <v>0</v>
      </c>
      <c r="U118" s="64"/>
      <c r="V118" s="64"/>
      <c r="W118" s="472"/>
      <c r="X118" s="129" t="s">
        <v>1007</v>
      </c>
      <c r="Y118" s="167" t="e">
        <f t="shared" ref="Y118:Y121" si="65">SUM(D118)/SUM(D$117:D$121)</f>
        <v>#DIV/0!</v>
      </c>
      <c r="Z118" s="167" t="e">
        <f t="shared" si="64"/>
        <v>#DIV/0!</v>
      </c>
      <c r="AA118" s="167" t="e">
        <f t="shared" si="64"/>
        <v>#DIV/0!</v>
      </c>
      <c r="AB118" s="167" t="e">
        <f t="shared" si="64"/>
        <v>#DIV/0!</v>
      </c>
      <c r="AC118" s="167" t="e">
        <f t="shared" si="64"/>
        <v>#DIV/0!</v>
      </c>
      <c r="AD118" s="167" t="e">
        <f t="shared" si="64"/>
        <v>#DIV/0!</v>
      </c>
      <c r="AE118" s="167" t="e">
        <f t="shared" si="64"/>
        <v>#DIV/0!</v>
      </c>
      <c r="AF118" s="167" t="e">
        <f t="shared" si="64"/>
        <v>#DIV/0!</v>
      </c>
      <c r="AG118" s="167" t="e">
        <f t="shared" si="64"/>
        <v>#DIV/0!</v>
      </c>
      <c r="AH118" s="167" t="e">
        <f t="shared" si="64"/>
        <v>#DIV/0!</v>
      </c>
      <c r="AI118" s="167" t="e">
        <f t="shared" si="64"/>
        <v>#DIV/0!</v>
      </c>
      <c r="AJ118" s="167" t="e">
        <f t="shared" si="64"/>
        <v>#DIV/0!</v>
      </c>
      <c r="AK118" s="167" t="e">
        <f t="shared" si="64"/>
        <v>#DIV/0!</v>
      </c>
      <c r="AL118" s="167" t="e">
        <f t="shared" si="64"/>
        <v>#DIV/0!</v>
      </c>
      <c r="AM118" s="167" t="e">
        <f t="shared" si="64"/>
        <v>#DIV/0!</v>
      </c>
      <c r="AN118" s="167" t="e">
        <f t="shared" si="64"/>
        <v>#DIV/0!</v>
      </c>
      <c r="AO118" s="167" t="e">
        <f t="shared" si="64"/>
        <v>#DIV/0!</v>
      </c>
    </row>
    <row r="119" spans="2:41" x14ac:dyDescent="0.15">
      <c r="B119" s="472"/>
      <c r="C119" s="129" t="s">
        <v>1008</v>
      </c>
      <c r="D119" s="94" cm="1">
        <f t="array" ref="D119">SUM(SUMIFS('caseload data'!E:E,'caseload data'!$D:$D,"TPO",'caseload data'!$A:$A,"South West",'caseload data'!$B:$B,{"licence","community"}))</f>
        <v>0</v>
      </c>
      <c r="E119" s="94" cm="1">
        <f t="array" ref="E119">SUM(SUMIFS('caseload data'!F:F,'caseload data'!$D:$D,"TPO",'caseload data'!$A:$A,"South West",'caseload data'!$B:$B,{"licence","community"}))</f>
        <v>0</v>
      </c>
      <c r="F119" s="94" cm="1">
        <f t="array" ref="F119">SUM(SUMIFS('caseload data'!G:G,'caseload data'!$D:$D,"TPO",'caseload data'!$A:$A,"South West",'caseload data'!$B:$B,{"licence","community"}))</f>
        <v>0</v>
      </c>
      <c r="G119" s="94" cm="1">
        <f t="array" ref="G119">SUM(SUMIFS('caseload data'!H:H,'caseload data'!$D:$D,"TPO",'caseload data'!$A:$A,"South West",'caseload data'!$B:$B,{"licence","community"}))</f>
        <v>0</v>
      </c>
      <c r="H119" s="94" cm="1">
        <f t="array" ref="H119">SUM(SUMIFS('caseload data'!I:I,'caseload data'!$D:$D,"TPO",'caseload data'!$A:$A,"South West",'caseload data'!$B:$B,{"licence","community"}))</f>
        <v>0</v>
      </c>
      <c r="I119" s="94" cm="1">
        <f t="array" ref="I119">SUM(SUMIFS('caseload data'!J:J,'caseload data'!$D:$D,"TPO",'caseload data'!$A:$A,"South West",'caseload data'!$B:$B,{"licence","community"}))</f>
        <v>0</v>
      </c>
      <c r="J119" s="94" cm="1">
        <f t="array" ref="J119">SUM(SUMIFS('caseload data'!K:K,'caseload data'!$D:$D,"TPO",'caseload data'!$A:$A,"South West",'caseload data'!$B:$B,{"licence","community"}))</f>
        <v>0</v>
      </c>
      <c r="K119" s="94" cm="1">
        <f t="array" ref="K119">SUM(SUMIFS('caseload data'!L:L,'caseload data'!$D:$D,"TPO",'caseload data'!$A:$A,"South West",'caseload data'!$B:$B,{"licence","community"}))</f>
        <v>0</v>
      </c>
      <c r="L119" s="94" cm="1">
        <f t="array" ref="L119">SUM(SUMIFS('caseload data'!M:M,'caseload data'!$D:$D,"TPO",'caseload data'!$A:$A,"South West",'caseload data'!$B:$B,{"licence","community"}))</f>
        <v>0</v>
      </c>
      <c r="M119" s="94" cm="1">
        <f t="array" ref="M119">SUM(SUMIFS('caseload data'!N:N,'caseload data'!$D:$D,"TPO",'caseload data'!$A:$A,"South West",'caseload data'!$B:$B,{"licence","community"}))</f>
        <v>0</v>
      </c>
      <c r="N119" s="94" cm="1">
        <f t="array" ref="N119">SUM(SUMIFS('caseload data'!O:O,'caseload data'!$D:$D,"TPO",'caseload data'!$A:$A,"South West",'caseload data'!$B:$B,{"licence","community"}))</f>
        <v>0</v>
      </c>
      <c r="O119" s="94" cm="1">
        <f t="array" ref="O119">SUM(SUMIFS('caseload data'!P:P,'caseload data'!$D:$D,"TPO",'caseload data'!$A:$A,"South West",'caseload data'!$B:$B,{"licence","community"}))</f>
        <v>0</v>
      </c>
      <c r="P119" s="94" cm="1">
        <f t="array" ref="P119">SUM(SUMIFS('caseload data'!Q:Q,'caseload data'!$D:$D,"TPO",'caseload data'!$A:$A,"South West",'caseload data'!$B:$B,{"licence","community"}))</f>
        <v>0</v>
      </c>
      <c r="Q119" s="94" cm="1">
        <f t="array" ref="Q119">SUM(SUMIFS('caseload data'!R:R,'caseload data'!$D:$D,"TPO",'caseload data'!$A:$A,"South West",'caseload data'!$B:$B,{"licence","community"}))</f>
        <v>0</v>
      </c>
      <c r="R119" s="94" cm="1">
        <f t="array" ref="R119">SUM(SUMIFS('caseload data'!S:S,'caseload data'!$D:$D,"TPO",'caseload data'!$A:$A,"South West",'caseload data'!$B:$B,{"licence","community"}))</f>
        <v>0</v>
      </c>
      <c r="S119" s="94" cm="1">
        <f t="array" ref="S119">SUM(SUMIFS('caseload data'!T:T,'caseload data'!$D:$D,"TPO",'caseload data'!$A:$A,"South West",'caseload data'!$B:$B,{"licence","community"}))</f>
        <v>0</v>
      </c>
      <c r="T119" s="94" cm="1">
        <f t="array" ref="T119">SUM(SUMIFS('caseload data'!V:V,'caseload data'!D:D,"TPO",'caseload data'!A:A,"South West",'caseload data'!B:B,{"licence","community"}))</f>
        <v>0</v>
      </c>
      <c r="U119" s="64"/>
      <c r="V119" s="64"/>
      <c r="W119" s="472"/>
      <c r="X119" s="129" t="s">
        <v>1008</v>
      </c>
      <c r="Y119" s="167" t="e">
        <f t="shared" si="65"/>
        <v>#DIV/0!</v>
      </c>
      <c r="Z119" s="167" t="e">
        <f t="shared" si="64"/>
        <v>#DIV/0!</v>
      </c>
      <c r="AA119" s="167" t="e">
        <f t="shared" si="64"/>
        <v>#DIV/0!</v>
      </c>
      <c r="AB119" s="167" t="e">
        <f t="shared" si="64"/>
        <v>#DIV/0!</v>
      </c>
      <c r="AC119" s="167" t="e">
        <f t="shared" si="64"/>
        <v>#DIV/0!</v>
      </c>
      <c r="AD119" s="167" t="e">
        <f t="shared" si="64"/>
        <v>#DIV/0!</v>
      </c>
      <c r="AE119" s="167" t="e">
        <f t="shared" si="64"/>
        <v>#DIV/0!</v>
      </c>
      <c r="AF119" s="167" t="e">
        <f t="shared" si="64"/>
        <v>#DIV/0!</v>
      </c>
      <c r="AG119" s="167" t="e">
        <f t="shared" si="64"/>
        <v>#DIV/0!</v>
      </c>
      <c r="AH119" s="167" t="e">
        <f t="shared" si="64"/>
        <v>#DIV/0!</v>
      </c>
      <c r="AI119" s="167" t="e">
        <f t="shared" si="64"/>
        <v>#DIV/0!</v>
      </c>
      <c r="AJ119" s="167" t="e">
        <f t="shared" si="64"/>
        <v>#DIV/0!</v>
      </c>
      <c r="AK119" s="167" t="e">
        <f t="shared" si="64"/>
        <v>#DIV/0!</v>
      </c>
      <c r="AL119" s="167" t="e">
        <f t="shared" si="64"/>
        <v>#DIV/0!</v>
      </c>
      <c r="AM119" s="167" t="e">
        <f t="shared" si="64"/>
        <v>#DIV/0!</v>
      </c>
      <c r="AN119" s="167" t="e">
        <f t="shared" si="64"/>
        <v>#DIV/0!</v>
      </c>
      <c r="AO119" s="167" t="e">
        <f t="shared" si="64"/>
        <v>#DIV/0!</v>
      </c>
    </row>
    <row r="120" spans="2:41" x14ac:dyDescent="0.15">
      <c r="B120" s="472"/>
      <c r="C120" s="129" t="s">
        <v>1009</v>
      </c>
      <c r="D120" s="94" cm="1">
        <f t="array" ref="D120">SUM(SUMIFS('caseload data'!E:E,'caseload data'!$D:$D,"SPO",'caseload data'!$A:$A,"South West",'caseload data'!$B:$B,{"licence","community"}))</f>
        <v>0</v>
      </c>
      <c r="E120" s="94" cm="1">
        <f t="array" ref="E120">SUM(SUMIFS('caseload data'!F:F,'caseload data'!$D:$D,"SPO",'caseload data'!$A:$A,"South West",'caseload data'!$B:$B,{"licence","community"}))</f>
        <v>0</v>
      </c>
      <c r="F120" s="94" cm="1">
        <f t="array" ref="F120">SUM(SUMIFS('caseload data'!G:G,'caseload data'!$D:$D,"SPO",'caseload data'!$A:$A,"South West",'caseload data'!$B:$B,{"licence","community"}))</f>
        <v>0</v>
      </c>
      <c r="G120" s="94" cm="1">
        <f t="array" ref="G120">SUM(SUMIFS('caseload data'!H:H,'caseload data'!$D:$D,"SPO",'caseload data'!$A:$A,"South West",'caseload data'!$B:$B,{"licence","community"}))</f>
        <v>0</v>
      </c>
      <c r="H120" s="94" cm="1">
        <f t="array" ref="H120">SUM(SUMIFS('caseload data'!I:I,'caseload data'!$D:$D,"SPO",'caseload data'!$A:$A,"South West",'caseload data'!$B:$B,{"licence","community"}))</f>
        <v>0</v>
      </c>
      <c r="I120" s="94" cm="1">
        <f t="array" ref="I120">SUM(SUMIFS('caseload data'!J:J,'caseload data'!$D:$D,"SPO",'caseload data'!$A:$A,"South West",'caseload data'!$B:$B,{"licence","community"}))</f>
        <v>0</v>
      </c>
      <c r="J120" s="94" cm="1">
        <f t="array" ref="J120">SUM(SUMIFS('caseload data'!K:K,'caseload data'!$D:$D,"SPO",'caseload data'!$A:$A,"South West",'caseload data'!$B:$B,{"licence","community"}))</f>
        <v>0</v>
      </c>
      <c r="K120" s="94" cm="1">
        <f t="array" ref="K120">SUM(SUMIFS('caseload data'!L:L,'caseload data'!$D:$D,"SPO",'caseload data'!$A:$A,"South West",'caseload data'!$B:$B,{"licence","community"}))</f>
        <v>0</v>
      </c>
      <c r="L120" s="94" cm="1">
        <f t="array" ref="L120">SUM(SUMIFS('caseload data'!M:M,'caseload data'!$D:$D,"SPO",'caseload data'!$A:$A,"South West",'caseload data'!$B:$B,{"licence","community"}))</f>
        <v>0</v>
      </c>
      <c r="M120" s="94" cm="1">
        <f t="array" ref="M120">SUM(SUMIFS('caseload data'!N:N,'caseload data'!$D:$D,"SPO",'caseload data'!$A:$A,"South West",'caseload data'!$B:$B,{"licence","community"}))</f>
        <v>0</v>
      </c>
      <c r="N120" s="94" cm="1">
        <f t="array" ref="N120">SUM(SUMIFS('caseload data'!O:O,'caseload data'!$D:$D,"SPO",'caseload data'!$A:$A,"South West",'caseload data'!$B:$B,{"licence","community"}))</f>
        <v>0</v>
      </c>
      <c r="O120" s="94" cm="1">
        <f t="array" ref="O120">SUM(SUMIFS('caseload data'!P:P,'caseload data'!$D:$D,"SPO",'caseload data'!$A:$A,"South West",'caseload data'!$B:$B,{"licence","community"}))</f>
        <v>0</v>
      </c>
      <c r="P120" s="94" cm="1">
        <f t="array" ref="P120">SUM(SUMIFS('caseload data'!Q:Q,'caseload data'!$D:$D,"SPO",'caseload data'!$A:$A,"South West",'caseload data'!$B:$B,{"licence","community"}))</f>
        <v>0</v>
      </c>
      <c r="Q120" s="94" cm="1">
        <f t="array" ref="Q120">SUM(SUMIFS('caseload data'!R:R,'caseload data'!$D:$D,"SPO",'caseload data'!$A:$A,"South West",'caseload data'!$B:$B,{"licence","community"}))</f>
        <v>0</v>
      </c>
      <c r="R120" s="94" cm="1">
        <f t="array" ref="R120">SUM(SUMIFS('caseload data'!S:S,'caseload data'!$D:$D,"SPO",'caseload data'!$A:$A,"South West",'caseload data'!$B:$B,{"licence","community"}))</f>
        <v>0</v>
      </c>
      <c r="S120" s="94" cm="1">
        <f t="array" ref="S120">SUM(SUMIFS('caseload data'!T:T,'caseload data'!$D:$D,"SPO",'caseload data'!$A:$A,"South West",'caseload data'!$B:$B,{"licence","community"}))</f>
        <v>0</v>
      </c>
      <c r="T120" s="94" cm="1">
        <f t="array" ref="T120">SUM(SUMIFS('caseload data'!V:V,'caseload data'!$D:$D,"SPO",'caseload data'!$A:$A,"South West",'caseload data'!$B:$B,{"licence","community"}))</f>
        <v>0</v>
      </c>
      <c r="U120" s="64"/>
      <c r="V120" s="64"/>
      <c r="W120" s="472"/>
      <c r="X120" s="129" t="s">
        <v>1009</v>
      </c>
      <c r="Y120" s="167" t="e">
        <f t="shared" si="65"/>
        <v>#DIV/0!</v>
      </c>
      <c r="Z120" s="167" t="e">
        <f t="shared" si="64"/>
        <v>#DIV/0!</v>
      </c>
      <c r="AA120" s="167" t="e">
        <f t="shared" si="64"/>
        <v>#DIV/0!</v>
      </c>
      <c r="AB120" s="167" t="e">
        <f t="shared" si="64"/>
        <v>#DIV/0!</v>
      </c>
      <c r="AC120" s="167" t="e">
        <f t="shared" si="64"/>
        <v>#DIV/0!</v>
      </c>
      <c r="AD120" s="167" t="e">
        <f t="shared" si="64"/>
        <v>#DIV/0!</v>
      </c>
      <c r="AE120" s="167" t="e">
        <f t="shared" si="64"/>
        <v>#DIV/0!</v>
      </c>
      <c r="AF120" s="167" t="e">
        <f t="shared" si="64"/>
        <v>#DIV/0!</v>
      </c>
      <c r="AG120" s="167" t="e">
        <f t="shared" si="64"/>
        <v>#DIV/0!</v>
      </c>
      <c r="AH120" s="167" t="e">
        <f t="shared" si="64"/>
        <v>#DIV/0!</v>
      </c>
      <c r="AI120" s="167" t="e">
        <f t="shared" si="64"/>
        <v>#DIV/0!</v>
      </c>
      <c r="AJ120" s="167" t="e">
        <f t="shared" si="64"/>
        <v>#DIV/0!</v>
      </c>
      <c r="AK120" s="167" t="e">
        <f t="shared" si="64"/>
        <v>#DIV/0!</v>
      </c>
      <c r="AL120" s="167" t="e">
        <f t="shared" si="64"/>
        <v>#DIV/0!</v>
      </c>
      <c r="AM120" s="167" t="e">
        <f t="shared" si="64"/>
        <v>#DIV/0!</v>
      </c>
      <c r="AN120" s="167" t="e">
        <f t="shared" si="64"/>
        <v>#DIV/0!</v>
      </c>
      <c r="AO120" s="167" t="e">
        <f t="shared" si="64"/>
        <v>#DIV/0!</v>
      </c>
    </row>
    <row r="121" spans="2:41" x14ac:dyDescent="0.15">
      <c r="B121" s="473"/>
      <c r="C121" s="130" t="s">
        <v>1344</v>
      </c>
      <c r="D121" s="94" cm="1">
        <f t="array" ref="D121">SUM(SUMIFS('caseload data'!E:E,'caseload data'!$D:$D,"DMY",'caseload data'!$A:$A,"South West",'caseload data'!$B:$B,{"licence","community"}))</f>
        <v>0</v>
      </c>
      <c r="E121" s="94" cm="1">
        <f t="array" ref="E121">SUM(SUMIFS('caseload data'!F:F,'caseload data'!$D:$D,"DMY",'caseload data'!$A:$A,"South West",'caseload data'!$B:$B,{"licence","community"}))</f>
        <v>0</v>
      </c>
      <c r="F121" s="94" cm="1">
        <f t="array" ref="F121">SUM(SUMIFS('caseload data'!G:G,'caseload data'!$D:$D,"DMY",'caseload data'!$A:$A,"South West",'caseload data'!$B:$B,{"licence","community"}))</f>
        <v>0</v>
      </c>
      <c r="G121" s="94" cm="1">
        <f t="array" ref="G121">SUM(SUMIFS('caseload data'!H:H,'caseload data'!$D:$D,"DMY",'caseload data'!$A:$A,"South West",'caseload data'!$B:$B,{"licence","community"}))</f>
        <v>0</v>
      </c>
      <c r="H121" s="94" cm="1">
        <f t="array" ref="H121">SUM(SUMIFS('caseload data'!I:I,'caseload data'!$D:$D,"DMY",'caseload data'!$A:$A,"South West",'caseload data'!$B:$B,{"licence","community"}))</f>
        <v>0</v>
      </c>
      <c r="I121" s="94" cm="1">
        <f t="array" ref="I121">SUM(SUMIFS('caseload data'!J:J,'caseload data'!$D:$D,"DMY",'caseload data'!$A:$A,"South West",'caseload data'!$B:$B,{"licence","community"}))</f>
        <v>0</v>
      </c>
      <c r="J121" s="94" cm="1">
        <f t="array" ref="J121">SUM(SUMIFS('caseload data'!K:K,'caseload data'!$D:$D,"DMY",'caseload data'!$A:$A,"South West",'caseload data'!$B:$B,{"licence","community"}))</f>
        <v>0</v>
      </c>
      <c r="K121" s="94" cm="1">
        <f t="array" ref="K121">SUM(SUMIFS('caseload data'!L:L,'caseload data'!$D:$D,"DMY",'caseload data'!$A:$A,"South West",'caseload data'!$B:$B,{"licence","community"}))</f>
        <v>0</v>
      </c>
      <c r="L121" s="94" cm="1">
        <f t="array" ref="L121">SUM(SUMIFS('caseload data'!M:M,'caseload data'!$D:$D,"DMY",'caseload data'!$A:$A,"South West",'caseload data'!$B:$B,{"licence","community"}))</f>
        <v>0</v>
      </c>
      <c r="M121" s="94" cm="1">
        <f t="array" ref="M121">SUM(SUMIFS('caseload data'!N:N,'caseload data'!$D:$D,"DMY",'caseload data'!$A:$A,"South West",'caseload data'!$B:$B,{"licence","community"}))</f>
        <v>0</v>
      </c>
      <c r="N121" s="94" cm="1">
        <f t="array" ref="N121">SUM(SUMIFS('caseload data'!O:O,'caseload data'!$D:$D,"DMY",'caseload data'!$A:$A,"South West",'caseload data'!$B:$B,{"licence","community"}))</f>
        <v>0</v>
      </c>
      <c r="O121" s="94" cm="1">
        <f t="array" ref="O121">SUM(SUMIFS('caseload data'!P:P,'caseload data'!$D:$D,"DMY",'caseload data'!$A:$A,"South West",'caseload data'!$B:$B,{"licence","community"}))</f>
        <v>0</v>
      </c>
      <c r="P121" s="94" cm="1">
        <f t="array" ref="P121">SUM(SUMIFS('caseload data'!Q:Q,'caseload data'!$D:$D,"DMY",'caseload data'!$A:$A,"South West",'caseload data'!$B:$B,{"licence","community"}))</f>
        <v>0</v>
      </c>
      <c r="Q121" s="94" cm="1">
        <f t="array" ref="Q121">SUM(SUMIFS('caseload data'!R:R,'caseload data'!$D:$D,"DMY",'caseload data'!$A:$A,"South West",'caseload data'!$B:$B,{"licence","community"}))</f>
        <v>0</v>
      </c>
      <c r="R121" s="94" cm="1">
        <f t="array" ref="R121">SUM(SUMIFS('caseload data'!S:S,'caseload data'!$D:$D,"DMY",'caseload data'!$A:$A,"South West",'caseload data'!$B:$B,{"licence","community"}))</f>
        <v>0</v>
      </c>
      <c r="S121" s="94" cm="1">
        <f t="array" ref="S121">SUM(SUMIFS('caseload data'!T:T,'caseload data'!$D:$D,"DMY",'caseload data'!$A:$A,"South West",'caseload data'!$B:$B,{"licence","community"}))</f>
        <v>0</v>
      </c>
      <c r="T121" s="94" cm="1">
        <f t="array" ref="T121">SUM(SUMIFS('caseload data'!V:V,'caseload data'!$D:$D,"DMY",'caseload data'!$A:$A,"South West",'caseload data'!$B:$B,{"licence","community"}))</f>
        <v>0</v>
      </c>
      <c r="U121" s="64"/>
      <c r="V121" s="64"/>
      <c r="W121" s="473"/>
      <c r="X121" s="130" t="s">
        <v>1344</v>
      </c>
      <c r="Y121" s="167" t="e">
        <f t="shared" si="65"/>
        <v>#DIV/0!</v>
      </c>
      <c r="Z121" s="167" t="e">
        <f t="shared" si="64"/>
        <v>#DIV/0!</v>
      </c>
      <c r="AA121" s="167" t="e">
        <f t="shared" si="64"/>
        <v>#DIV/0!</v>
      </c>
      <c r="AB121" s="167" t="e">
        <f t="shared" si="64"/>
        <v>#DIV/0!</v>
      </c>
      <c r="AC121" s="167" t="e">
        <f t="shared" si="64"/>
        <v>#DIV/0!</v>
      </c>
      <c r="AD121" s="167" t="e">
        <f t="shared" si="64"/>
        <v>#DIV/0!</v>
      </c>
      <c r="AE121" s="167" t="e">
        <f t="shared" si="64"/>
        <v>#DIV/0!</v>
      </c>
      <c r="AF121" s="167" t="e">
        <f t="shared" si="64"/>
        <v>#DIV/0!</v>
      </c>
      <c r="AG121" s="167" t="e">
        <f t="shared" si="64"/>
        <v>#DIV/0!</v>
      </c>
      <c r="AH121" s="167" t="e">
        <f t="shared" si="64"/>
        <v>#DIV/0!</v>
      </c>
      <c r="AI121" s="167" t="e">
        <f t="shared" si="64"/>
        <v>#DIV/0!</v>
      </c>
      <c r="AJ121" s="167" t="e">
        <f t="shared" si="64"/>
        <v>#DIV/0!</v>
      </c>
      <c r="AK121" s="167" t="e">
        <f t="shared" si="64"/>
        <v>#DIV/0!</v>
      </c>
      <c r="AL121" s="167" t="e">
        <f t="shared" si="64"/>
        <v>#DIV/0!</v>
      </c>
      <c r="AM121" s="167" t="e">
        <f t="shared" si="64"/>
        <v>#DIV/0!</v>
      </c>
      <c r="AN121" s="167" t="e">
        <f t="shared" si="64"/>
        <v>#DIV/0!</v>
      </c>
      <c r="AO121" s="167" t="e">
        <f t="shared" si="64"/>
        <v>#DIV/0!</v>
      </c>
    </row>
    <row r="122" spans="2:41" x14ac:dyDescent="0.15">
      <c r="B122" s="471" t="s">
        <v>26</v>
      </c>
      <c r="C122" s="128" t="s">
        <v>1002</v>
      </c>
      <c r="D122" s="94" cm="1">
        <f t="array" ref="D122">SUM(SUMIFS('caseload data'!E:E,'caseload data'!$D:$D,"PO",'caseload data'!$A:$A,$B$122,'caseload data'!$B:$B,{"licence","community"}))</f>
        <v>0</v>
      </c>
      <c r="E122" s="94" cm="1">
        <f t="array" ref="E122">SUM(SUMIFS('caseload data'!F:F,'caseload data'!$D:$D,"PO",'caseload data'!$A:$A,$B$122,'caseload data'!$B:$B,{"licence","community"}))</f>
        <v>0</v>
      </c>
      <c r="F122" s="94" cm="1">
        <f t="array" ref="F122">SUM(SUMIFS('caseload data'!G:G,'caseload data'!$D:$D,"PO",'caseload data'!$A:$A,$B$122,'caseload data'!$B:$B,{"licence","community"}))</f>
        <v>0</v>
      </c>
      <c r="G122" s="94" cm="1">
        <f t="array" ref="G122">SUM(SUMIFS('caseload data'!H:H,'caseload data'!$D:$D,"PO",'caseload data'!$A:$A,$B$122,'caseload data'!$B:$B,{"licence","community"}))</f>
        <v>0</v>
      </c>
      <c r="H122" s="94" cm="1">
        <f t="array" ref="H122">SUM(SUMIFS('caseload data'!I:I,'caseload data'!$D:$D,"PO",'caseload data'!$A:$A,$B$122,'caseload data'!$B:$B,{"licence","community"}))</f>
        <v>0</v>
      </c>
      <c r="I122" s="94" cm="1">
        <f t="array" ref="I122">SUM(SUMIFS('caseload data'!J:J,'caseload data'!$D:$D,"PO",'caseload data'!$A:$A,$B$122,'caseload data'!$B:$B,{"licence","community"}))</f>
        <v>0</v>
      </c>
      <c r="J122" s="94" cm="1">
        <f t="array" ref="J122">SUM(SUMIFS('caseload data'!K:K,'caseload data'!$D:$D,"PO",'caseload data'!$A:$A,$B$122,'caseload data'!$B:$B,{"licence","community"}))</f>
        <v>0</v>
      </c>
      <c r="K122" s="94" cm="1">
        <f t="array" ref="K122">SUM(SUMIFS('caseload data'!L:L,'caseload data'!$D:$D,"PO",'caseload data'!$A:$A,$B$122,'caseload data'!$B:$B,{"licence","community"}))</f>
        <v>0</v>
      </c>
      <c r="L122" s="94" cm="1">
        <f t="array" ref="L122">SUM(SUMIFS('caseload data'!M:M,'caseload data'!$D:$D,"PO",'caseload data'!$A:$A,$B$122,'caseload data'!$B:$B,{"licence","community"}))</f>
        <v>0</v>
      </c>
      <c r="M122" s="94" cm="1">
        <f t="array" ref="M122">SUM(SUMIFS('caseload data'!N:N,'caseload data'!$D:$D,"PO",'caseload data'!$A:$A,$B$122,'caseload data'!$B:$B,{"licence","community"}))</f>
        <v>0</v>
      </c>
      <c r="N122" s="94" cm="1">
        <f t="array" ref="N122">SUM(SUMIFS('caseload data'!O:O,'caseload data'!$D:$D,"PO",'caseload data'!$A:$A,$B$122,'caseload data'!$B:$B,{"licence","community"}))</f>
        <v>0</v>
      </c>
      <c r="O122" s="94" cm="1">
        <f t="array" ref="O122">SUM(SUMIFS('caseload data'!P:P,'caseload data'!$D:$D,"PO",'caseload data'!$A:$A,$B$122,'caseload data'!$B:$B,{"licence","community"}))</f>
        <v>0</v>
      </c>
      <c r="P122" s="94" cm="1">
        <f t="array" ref="P122">SUM(SUMIFS('caseload data'!Q:Q,'caseload data'!$D:$D,"PO",'caseload data'!$A:$A,$B$122,'caseload data'!$B:$B,{"licence","community"}))</f>
        <v>0</v>
      </c>
      <c r="Q122" s="94" cm="1">
        <f t="array" ref="Q122">SUM(SUMIFS('caseload data'!R:R,'caseload data'!$D:$D,"PO",'caseload data'!$A:$A,$B$122,'caseload data'!$B:$B,{"licence","community"}))</f>
        <v>0</v>
      </c>
      <c r="R122" s="94" cm="1">
        <f t="array" ref="R122">SUM(SUMIFS('caseload data'!S:S,'caseload data'!$D:$D,"PO",'caseload data'!$A:$A,$B$122,'caseload data'!$B:$B,{"licence","community"}))</f>
        <v>0</v>
      </c>
      <c r="S122" s="94" cm="1">
        <f t="array" ref="S122">SUM(SUMIFS('caseload data'!T:T,'caseload data'!$D:$D,"PO",'caseload data'!$A:$A,$B$122,'caseload data'!$B:$B,{"licence","community"}))</f>
        <v>0</v>
      </c>
      <c r="T122" s="94" cm="1">
        <f t="array" ref="T122">SUM(SUMIFS('caseload data'!V:V,'caseload data'!D:D,"PO",'caseload data'!A:A,B122,'caseload data'!B:B,{"licence","community"}))</f>
        <v>0</v>
      </c>
      <c r="U122" s="64"/>
      <c r="V122" s="64"/>
      <c r="W122" s="471" t="s">
        <v>26</v>
      </c>
      <c r="X122" s="128" t="s">
        <v>1002</v>
      </c>
      <c r="Y122" s="167" t="e">
        <f>SUM(D122)/SUM(D$122:D$126)</f>
        <v>#DIV/0!</v>
      </c>
      <c r="Z122" s="167" t="e">
        <f t="shared" ref="Z122:AO126" si="66">SUM(E122)/SUM(E$122:E$126)</f>
        <v>#DIV/0!</v>
      </c>
      <c r="AA122" s="167" t="e">
        <f t="shared" si="66"/>
        <v>#DIV/0!</v>
      </c>
      <c r="AB122" s="167" t="e">
        <f t="shared" si="66"/>
        <v>#DIV/0!</v>
      </c>
      <c r="AC122" s="167" t="e">
        <f t="shared" si="66"/>
        <v>#DIV/0!</v>
      </c>
      <c r="AD122" s="167" t="e">
        <f t="shared" si="66"/>
        <v>#DIV/0!</v>
      </c>
      <c r="AE122" s="167" t="e">
        <f t="shared" si="66"/>
        <v>#DIV/0!</v>
      </c>
      <c r="AF122" s="167" t="e">
        <f t="shared" si="66"/>
        <v>#DIV/0!</v>
      </c>
      <c r="AG122" s="167" t="e">
        <f t="shared" si="66"/>
        <v>#DIV/0!</v>
      </c>
      <c r="AH122" s="167" t="e">
        <f t="shared" si="66"/>
        <v>#DIV/0!</v>
      </c>
      <c r="AI122" s="167" t="e">
        <f t="shared" si="66"/>
        <v>#DIV/0!</v>
      </c>
      <c r="AJ122" s="167" t="e">
        <f t="shared" si="66"/>
        <v>#DIV/0!</v>
      </c>
      <c r="AK122" s="167" t="e">
        <f t="shared" si="66"/>
        <v>#DIV/0!</v>
      </c>
      <c r="AL122" s="167" t="e">
        <f t="shared" si="66"/>
        <v>#DIV/0!</v>
      </c>
      <c r="AM122" s="167" t="e">
        <f t="shared" si="66"/>
        <v>#DIV/0!</v>
      </c>
      <c r="AN122" s="167" t="e">
        <f t="shared" si="66"/>
        <v>#DIV/0!</v>
      </c>
      <c r="AO122" s="167" t="e">
        <f t="shared" si="66"/>
        <v>#DIV/0!</v>
      </c>
    </row>
    <row r="123" spans="2:41" x14ac:dyDescent="0.15">
      <c r="B123" s="472"/>
      <c r="C123" s="129" t="s">
        <v>1007</v>
      </c>
      <c r="D123" s="94" cm="1">
        <f t="array" ref="D123">SUM(SUMIFS('caseload data'!E:E,'caseload data'!$D:$D,"PSO",'caseload data'!$A:$A,"Wales",'caseload data'!$B:$B,{"licence","community"}))</f>
        <v>0</v>
      </c>
      <c r="E123" s="94" cm="1">
        <f t="array" ref="E123">SUM(SUMIFS('caseload data'!F:F,'caseload data'!$D:$D,"PSO",'caseload data'!$A:$A,"Wales",'caseload data'!$B:$B,{"licence","community"}))</f>
        <v>0</v>
      </c>
      <c r="F123" s="94" cm="1">
        <f t="array" ref="F123">SUM(SUMIFS('caseload data'!G:G,'caseload data'!$D:$D,"PSO",'caseload data'!$A:$A,"Wales",'caseload data'!$B:$B,{"licence","community"}))</f>
        <v>0</v>
      </c>
      <c r="G123" s="94" cm="1">
        <f t="array" ref="G123">SUM(SUMIFS('caseload data'!H:H,'caseload data'!$D:$D,"PSO",'caseload data'!$A:$A,"Wales",'caseload data'!$B:$B,{"licence","community"}))</f>
        <v>0</v>
      </c>
      <c r="H123" s="94" cm="1">
        <f t="array" ref="H123">SUM(SUMIFS('caseload data'!I:I,'caseload data'!$D:$D,"PSO",'caseload data'!$A:$A,"Wales",'caseload data'!$B:$B,{"licence","community"}))</f>
        <v>0</v>
      </c>
      <c r="I123" s="94" cm="1">
        <f t="array" ref="I123">SUM(SUMIFS('caseload data'!J:J,'caseload data'!$D:$D,"PSO",'caseload data'!$A:$A,"Wales",'caseload data'!$B:$B,{"licence","community"}))</f>
        <v>0</v>
      </c>
      <c r="J123" s="94" cm="1">
        <f t="array" ref="J123">SUM(SUMIFS('caseload data'!K:K,'caseload data'!$D:$D,"PSO",'caseload data'!$A:$A,"Wales",'caseload data'!$B:$B,{"licence","community"}))</f>
        <v>0</v>
      </c>
      <c r="K123" s="94" cm="1">
        <f t="array" ref="K123">SUM(SUMIFS('caseload data'!L:L,'caseload data'!$D:$D,"PSO",'caseload data'!$A:$A,"Wales",'caseload data'!$B:$B,{"licence","community"}))</f>
        <v>0</v>
      </c>
      <c r="L123" s="94" cm="1">
        <f t="array" ref="L123">SUM(SUMIFS('caseload data'!M:M,'caseload data'!$D:$D,"PSO",'caseload data'!$A:$A,"Wales",'caseload data'!$B:$B,{"licence","community"}))</f>
        <v>0</v>
      </c>
      <c r="M123" s="94" cm="1">
        <f t="array" ref="M123">SUM(SUMIFS('caseload data'!N:N,'caseload data'!$D:$D,"PSO",'caseload data'!$A:$A,"Wales",'caseload data'!$B:$B,{"licence","community"}))</f>
        <v>0</v>
      </c>
      <c r="N123" s="94" cm="1">
        <f t="array" ref="N123">SUM(SUMIFS('caseload data'!O:O,'caseload data'!$D:$D,"PSO",'caseload data'!$A:$A,"Wales",'caseload data'!$B:$B,{"licence","community"}))</f>
        <v>0</v>
      </c>
      <c r="O123" s="94" cm="1">
        <f t="array" ref="O123">SUM(SUMIFS('caseload data'!P:P,'caseload data'!$D:$D,"PSO",'caseload data'!$A:$A,"Wales",'caseload data'!$B:$B,{"licence","community"}))</f>
        <v>0</v>
      </c>
      <c r="P123" s="94" cm="1">
        <f t="array" ref="P123">SUM(SUMIFS('caseload data'!Q:Q,'caseload data'!$D:$D,"PSO",'caseload data'!$A:$A,"Wales",'caseload data'!$B:$B,{"licence","community"}))</f>
        <v>0</v>
      </c>
      <c r="Q123" s="94" cm="1">
        <f t="array" ref="Q123">SUM(SUMIFS('caseload data'!R:R,'caseload data'!$D:$D,"PSO",'caseload data'!$A:$A,"Wales",'caseload data'!$B:$B,{"licence","community"}))</f>
        <v>0</v>
      </c>
      <c r="R123" s="94" cm="1">
        <f t="array" ref="R123">SUM(SUMIFS('caseload data'!S:S,'caseload data'!$D:$D,"PSO",'caseload data'!$A:$A,"Wales",'caseload data'!$B:$B,{"licence","community"}))</f>
        <v>0</v>
      </c>
      <c r="S123" s="94" cm="1">
        <f t="array" ref="S123">SUM(SUMIFS('caseload data'!T:T,'caseload data'!$D:$D,"PSO",'caseload data'!$A:$A,"Wales",'caseload data'!$B:$B,{"licence","community"}))</f>
        <v>0</v>
      </c>
      <c r="T123" s="94" cm="1">
        <f t="array" ref="T123">SUM(SUMIFS('caseload data'!V:V,'caseload data'!$D:$D,"PSO",'caseload data'!$A:$A,"Wales",'caseload data'!$B:$B,{"licence","community"}))</f>
        <v>0</v>
      </c>
      <c r="U123" s="64"/>
      <c r="V123" s="64"/>
      <c r="W123" s="472"/>
      <c r="X123" s="129" t="s">
        <v>1007</v>
      </c>
      <c r="Y123" s="167" t="e">
        <f t="shared" ref="Y123:Y126" si="67">SUM(D123)/SUM(D$122:D$126)</f>
        <v>#DIV/0!</v>
      </c>
      <c r="Z123" s="167" t="e">
        <f t="shared" si="66"/>
        <v>#DIV/0!</v>
      </c>
      <c r="AA123" s="167" t="e">
        <f t="shared" si="66"/>
        <v>#DIV/0!</v>
      </c>
      <c r="AB123" s="167" t="e">
        <f t="shared" si="66"/>
        <v>#DIV/0!</v>
      </c>
      <c r="AC123" s="167" t="e">
        <f t="shared" si="66"/>
        <v>#DIV/0!</v>
      </c>
      <c r="AD123" s="167" t="e">
        <f t="shared" si="66"/>
        <v>#DIV/0!</v>
      </c>
      <c r="AE123" s="167" t="e">
        <f t="shared" si="66"/>
        <v>#DIV/0!</v>
      </c>
      <c r="AF123" s="167" t="e">
        <f t="shared" si="66"/>
        <v>#DIV/0!</v>
      </c>
      <c r="AG123" s="167" t="e">
        <f t="shared" si="66"/>
        <v>#DIV/0!</v>
      </c>
      <c r="AH123" s="167" t="e">
        <f t="shared" si="66"/>
        <v>#DIV/0!</v>
      </c>
      <c r="AI123" s="167" t="e">
        <f t="shared" si="66"/>
        <v>#DIV/0!</v>
      </c>
      <c r="AJ123" s="167" t="e">
        <f t="shared" si="66"/>
        <v>#DIV/0!</v>
      </c>
      <c r="AK123" s="167" t="e">
        <f t="shared" si="66"/>
        <v>#DIV/0!</v>
      </c>
      <c r="AL123" s="167" t="e">
        <f t="shared" si="66"/>
        <v>#DIV/0!</v>
      </c>
      <c r="AM123" s="167" t="e">
        <f t="shared" si="66"/>
        <v>#DIV/0!</v>
      </c>
      <c r="AN123" s="167" t="e">
        <f t="shared" si="66"/>
        <v>#DIV/0!</v>
      </c>
      <c r="AO123" s="167" t="e">
        <f t="shared" si="66"/>
        <v>#DIV/0!</v>
      </c>
    </row>
    <row r="124" spans="2:41" x14ac:dyDescent="0.15">
      <c r="B124" s="472"/>
      <c r="C124" s="129" t="s">
        <v>1008</v>
      </c>
      <c r="D124" s="94" cm="1">
        <f t="array" ref="D124">SUM(SUMIFS('caseload data'!E:E,'caseload data'!$D:$D,"TPO",'caseload data'!$A:$A,"Wales",'caseload data'!$B:$B,{"licence","community"}))</f>
        <v>0</v>
      </c>
      <c r="E124" s="94" cm="1">
        <f t="array" ref="E124">SUM(SUMIFS('caseload data'!F:F,'caseload data'!$D:$D,"TPO",'caseload data'!$A:$A,"Wales",'caseload data'!$B:$B,{"licence","community"}))</f>
        <v>0</v>
      </c>
      <c r="F124" s="94" cm="1">
        <f t="array" ref="F124">SUM(SUMIFS('caseload data'!G:G,'caseload data'!$D:$D,"TPO",'caseload data'!$A:$A,"Wales",'caseload data'!$B:$B,{"licence","community"}))</f>
        <v>0</v>
      </c>
      <c r="G124" s="94" cm="1">
        <f t="array" ref="G124">SUM(SUMIFS('caseload data'!H:H,'caseload data'!$D:$D,"TPO",'caseload data'!$A:$A,"Wales",'caseload data'!$B:$B,{"licence","community"}))</f>
        <v>0</v>
      </c>
      <c r="H124" s="94" cm="1">
        <f t="array" ref="H124">SUM(SUMIFS('caseload data'!I:I,'caseload data'!$D:$D,"TPO",'caseload data'!$A:$A,"Wales",'caseload data'!$B:$B,{"licence","community"}))</f>
        <v>0</v>
      </c>
      <c r="I124" s="94" cm="1">
        <f t="array" ref="I124">SUM(SUMIFS('caseload data'!J:J,'caseload data'!$D:$D,"TPO",'caseload data'!$A:$A,"Wales",'caseload data'!$B:$B,{"licence","community"}))</f>
        <v>0</v>
      </c>
      <c r="J124" s="94" cm="1">
        <f t="array" ref="J124">SUM(SUMIFS('caseload data'!K:K,'caseload data'!$D:$D,"TPO",'caseload data'!$A:$A,"Wales",'caseload data'!$B:$B,{"licence","community"}))</f>
        <v>0</v>
      </c>
      <c r="K124" s="94" cm="1">
        <f t="array" ref="K124">SUM(SUMIFS('caseload data'!L:L,'caseload data'!$D:$D,"TPO",'caseload data'!$A:$A,"Wales",'caseload data'!$B:$B,{"licence","community"}))</f>
        <v>0</v>
      </c>
      <c r="L124" s="94" cm="1">
        <f t="array" ref="L124">SUM(SUMIFS('caseload data'!M:M,'caseload data'!$D:$D,"TPO",'caseload data'!$A:$A,"Wales",'caseload data'!$B:$B,{"licence","community"}))</f>
        <v>0</v>
      </c>
      <c r="M124" s="94" cm="1">
        <f t="array" ref="M124">SUM(SUMIFS('caseload data'!N:N,'caseload data'!$D:$D,"TPO",'caseload data'!$A:$A,"Wales",'caseload data'!$B:$B,{"licence","community"}))</f>
        <v>0</v>
      </c>
      <c r="N124" s="94" cm="1">
        <f t="array" ref="N124">SUM(SUMIFS('caseload data'!O:O,'caseload data'!$D:$D,"TPO",'caseload data'!$A:$A,"Wales",'caseload data'!$B:$B,{"licence","community"}))</f>
        <v>0</v>
      </c>
      <c r="O124" s="94" cm="1">
        <f t="array" ref="O124">SUM(SUMIFS('caseload data'!P:P,'caseload data'!$D:$D,"TPO",'caseload data'!$A:$A,"Wales",'caseload data'!$B:$B,{"licence","community"}))</f>
        <v>0</v>
      </c>
      <c r="P124" s="94" cm="1">
        <f t="array" ref="P124">SUM(SUMIFS('caseload data'!Q:Q,'caseload data'!$D:$D,"TPO",'caseload data'!$A:$A,"Wales",'caseload data'!$B:$B,{"licence","community"}))</f>
        <v>0</v>
      </c>
      <c r="Q124" s="94" cm="1">
        <f t="array" ref="Q124">SUM(SUMIFS('caseload data'!R:R,'caseload data'!$D:$D,"TPO",'caseload data'!$A:$A,"Wales",'caseload data'!$B:$B,{"licence","community"}))</f>
        <v>0</v>
      </c>
      <c r="R124" s="94" cm="1">
        <f t="array" ref="R124">SUM(SUMIFS('caseload data'!S:S,'caseload data'!$D:$D,"TPO",'caseload data'!$A:$A,"Wales",'caseload data'!$B:$B,{"licence","community"}))</f>
        <v>0</v>
      </c>
      <c r="S124" s="94" cm="1">
        <f t="array" ref="S124">SUM(SUMIFS('caseload data'!T:T,'caseload data'!$D:$D,"TPO",'caseload data'!$A:$A,"Wales",'caseload data'!$B:$B,{"licence","community"}))</f>
        <v>0</v>
      </c>
      <c r="T124" s="94" cm="1">
        <f t="array" ref="T124">SUM(SUMIFS('caseload data'!V:V,'caseload data'!D:D,"TPO",'caseload data'!A:A,"Wales",'caseload data'!B:B,{"licence","community"}))</f>
        <v>0</v>
      </c>
      <c r="U124" s="64"/>
      <c r="V124" s="64"/>
      <c r="W124" s="472"/>
      <c r="X124" s="129" t="s">
        <v>1008</v>
      </c>
      <c r="Y124" s="167" t="e">
        <f t="shared" si="67"/>
        <v>#DIV/0!</v>
      </c>
      <c r="Z124" s="167" t="e">
        <f t="shared" si="66"/>
        <v>#DIV/0!</v>
      </c>
      <c r="AA124" s="167" t="e">
        <f t="shared" si="66"/>
        <v>#DIV/0!</v>
      </c>
      <c r="AB124" s="167" t="e">
        <f t="shared" si="66"/>
        <v>#DIV/0!</v>
      </c>
      <c r="AC124" s="167" t="e">
        <f t="shared" si="66"/>
        <v>#DIV/0!</v>
      </c>
      <c r="AD124" s="167" t="e">
        <f t="shared" si="66"/>
        <v>#DIV/0!</v>
      </c>
      <c r="AE124" s="167" t="e">
        <f t="shared" si="66"/>
        <v>#DIV/0!</v>
      </c>
      <c r="AF124" s="167" t="e">
        <f t="shared" si="66"/>
        <v>#DIV/0!</v>
      </c>
      <c r="AG124" s="167" t="e">
        <f t="shared" si="66"/>
        <v>#DIV/0!</v>
      </c>
      <c r="AH124" s="167" t="e">
        <f t="shared" si="66"/>
        <v>#DIV/0!</v>
      </c>
      <c r="AI124" s="167" t="e">
        <f t="shared" si="66"/>
        <v>#DIV/0!</v>
      </c>
      <c r="AJ124" s="167" t="e">
        <f t="shared" si="66"/>
        <v>#DIV/0!</v>
      </c>
      <c r="AK124" s="167" t="e">
        <f t="shared" si="66"/>
        <v>#DIV/0!</v>
      </c>
      <c r="AL124" s="167" t="e">
        <f t="shared" si="66"/>
        <v>#DIV/0!</v>
      </c>
      <c r="AM124" s="167" t="e">
        <f t="shared" si="66"/>
        <v>#DIV/0!</v>
      </c>
      <c r="AN124" s="167" t="e">
        <f t="shared" si="66"/>
        <v>#DIV/0!</v>
      </c>
      <c r="AO124" s="167" t="e">
        <f t="shared" si="66"/>
        <v>#DIV/0!</v>
      </c>
    </row>
    <row r="125" spans="2:41" x14ac:dyDescent="0.15">
      <c r="B125" s="472"/>
      <c r="C125" s="129" t="s">
        <v>1009</v>
      </c>
      <c r="D125" s="94" cm="1">
        <f t="array" ref="D125">SUM(SUMIFS('caseload data'!E:E,'caseload data'!$D:$D,"SPO",'caseload data'!$A:$A,"Wales",'caseload data'!$B:$B,{"licence","community"}))</f>
        <v>0</v>
      </c>
      <c r="E125" s="94" cm="1">
        <f t="array" ref="E125">SUM(SUMIFS('caseload data'!F:F,'caseload data'!$D:$D,"SPO",'caseload data'!$A:$A,"Wales",'caseload data'!$B:$B,{"licence","community"}))</f>
        <v>0</v>
      </c>
      <c r="F125" s="94" cm="1">
        <f t="array" ref="F125">SUM(SUMIFS('caseload data'!G:G,'caseload data'!$D:$D,"SPO",'caseload data'!$A:$A,"Wales",'caseload data'!$B:$B,{"licence","community"}))</f>
        <v>0</v>
      </c>
      <c r="G125" s="94" cm="1">
        <f t="array" ref="G125">SUM(SUMIFS('caseload data'!H:H,'caseload data'!$D:$D,"SPO",'caseload data'!$A:$A,"Wales",'caseload data'!$B:$B,{"licence","community"}))</f>
        <v>0</v>
      </c>
      <c r="H125" s="94" cm="1">
        <f t="array" ref="H125">SUM(SUMIFS('caseload data'!I:I,'caseload data'!$D:$D,"SPO",'caseload data'!$A:$A,"Wales",'caseload data'!$B:$B,{"licence","community"}))</f>
        <v>0</v>
      </c>
      <c r="I125" s="94" cm="1">
        <f t="array" ref="I125">SUM(SUMIFS('caseload data'!J:J,'caseload data'!$D:$D,"SPO",'caseload data'!$A:$A,"Wales",'caseload data'!$B:$B,{"licence","community"}))</f>
        <v>0</v>
      </c>
      <c r="J125" s="94" cm="1">
        <f t="array" ref="J125">SUM(SUMIFS('caseload data'!K:K,'caseload data'!$D:$D,"SPO",'caseload data'!$A:$A,"Wales",'caseload data'!$B:$B,{"licence","community"}))</f>
        <v>0</v>
      </c>
      <c r="K125" s="94" cm="1">
        <f t="array" ref="K125">SUM(SUMIFS('caseload data'!L:L,'caseload data'!$D:$D,"SPO",'caseload data'!$A:$A,"Wales",'caseload data'!$B:$B,{"licence","community"}))</f>
        <v>0</v>
      </c>
      <c r="L125" s="94" cm="1">
        <f t="array" ref="L125">SUM(SUMIFS('caseload data'!M:M,'caseload data'!$D:$D,"SPO",'caseload data'!$A:$A,"Wales",'caseload data'!$B:$B,{"licence","community"}))</f>
        <v>0</v>
      </c>
      <c r="M125" s="94" cm="1">
        <f t="array" ref="M125">SUM(SUMIFS('caseload data'!N:N,'caseload data'!$D:$D,"SPO",'caseload data'!$A:$A,"Wales",'caseload data'!$B:$B,{"licence","community"}))</f>
        <v>0</v>
      </c>
      <c r="N125" s="94" cm="1">
        <f t="array" ref="N125">SUM(SUMIFS('caseload data'!O:O,'caseload data'!$D:$D,"SPO",'caseload data'!$A:$A,"Wales",'caseload data'!$B:$B,{"licence","community"}))</f>
        <v>0</v>
      </c>
      <c r="O125" s="94" cm="1">
        <f t="array" ref="O125">SUM(SUMIFS('caseload data'!P:P,'caseload data'!$D:$D,"SPO",'caseload data'!$A:$A,"Wales",'caseload data'!$B:$B,{"licence","community"}))</f>
        <v>0</v>
      </c>
      <c r="P125" s="94" cm="1">
        <f t="array" ref="P125">SUM(SUMIFS('caseload data'!Q:Q,'caseload data'!$D:$D,"SPO",'caseload data'!$A:$A,"Wales",'caseload data'!$B:$B,{"licence","community"}))</f>
        <v>0</v>
      </c>
      <c r="Q125" s="94" cm="1">
        <f t="array" ref="Q125">SUM(SUMIFS('caseload data'!R:R,'caseload data'!$D:$D,"SPO",'caseload data'!$A:$A,"Wales",'caseload data'!$B:$B,{"licence","community"}))</f>
        <v>0</v>
      </c>
      <c r="R125" s="94" cm="1">
        <f t="array" ref="R125">SUM(SUMIFS('caseload data'!S:S,'caseload data'!$D:$D,"SPO",'caseload data'!$A:$A,"Wales",'caseload data'!$B:$B,{"licence","community"}))</f>
        <v>0</v>
      </c>
      <c r="S125" s="94" cm="1">
        <f t="array" ref="S125">SUM(SUMIFS('caseload data'!T:T,'caseload data'!$D:$D,"SPO",'caseload data'!$A:$A,"Wales",'caseload data'!$B:$B,{"licence","community"}))</f>
        <v>0</v>
      </c>
      <c r="T125" s="94" cm="1">
        <f t="array" ref="T125">SUM(SUMIFS('caseload data'!V:V,'caseload data'!$D:$D,"SPO",'caseload data'!$A:$A,"Wales",'caseload data'!$B:$B,{"licence","community"}))</f>
        <v>0</v>
      </c>
      <c r="U125" s="64"/>
      <c r="V125" s="64"/>
      <c r="W125" s="472"/>
      <c r="X125" s="129" t="s">
        <v>1009</v>
      </c>
      <c r="Y125" s="167" t="e">
        <f t="shared" si="67"/>
        <v>#DIV/0!</v>
      </c>
      <c r="Z125" s="167" t="e">
        <f t="shared" si="66"/>
        <v>#DIV/0!</v>
      </c>
      <c r="AA125" s="167" t="e">
        <f t="shared" si="66"/>
        <v>#DIV/0!</v>
      </c>
      <c r="AB125" s="167" t="e">
        <f t="shared" si="66"/>
        <v>#DIV/0!</v>
      </c>
      <c r="AC125" s="167" t="e">
        <f t="shared" si="66"/>
        <v>#DIV/0!</v>
      </c>
      <c r="AD125" s="167" t="e">
        <f t="shared" si="66"/>
        <v>#DIV/0!</v>
      </c>
      <c r="AE125" s="167" t="e">
        <f t="shared" si="66"/>
        <v>#DIV/0!</v>
      </c>
      <c r="AF125" s="167" t="e">
        <f t="shared" si="66"/>
        <v>#DIV/0!</v>
      </c>
      <c r="AG125" s="167" t="e">
        <f t="shared" si="66"/>
        <v>#DIV/0!</v>
      </c>
      <c r="AH125" s="167" t="e">
        <f t="shared" si="66"/>
        <v>#DIV/0!</v>
      </c>
      <c r="AI125" s="167" t="e">
        <f t="shared" si="66"/>
        <v>#DIV/0!</v>
      </c>
      <c r="AJ125" s="167" t="e">
        <f t="shared" si="66"/>
        <v>#DIV/0!</v>
      </c>
      <c r="AK125" s="167" t="e">
        <f t="shared" si="66"/>
        <v>#DIV/0!</v>
      </c>
      <c r="AL125" s="167" t="e">
        <f t="shared" si="66"/>
        <v>#DIV/0!</v>
      </c>
      <c r="AM125" s="167" t="e">
        <f t="shared" si="66"/>
        <v>#DIV/0!</v>
      </c>
      <c r="AN125" s="167" t="e">
        <f t="shared" si="66"/>
        <v>#DIV/0!</v>
      </c>
      <c r="AO125" s="167" t="e">
        <f t="shared" si="66"/>
        <v>#DIV/0!</v>
      </c>
    </row>
    <row r="126" spans="2:41" x14ac:dyDescent="0.15">
      <c r="B126" s="473"/>
      <c r="C126" s="130" t="s">
        <v>1344</v>
      </c>
      <c r="D126" s="94" cm="1">
        <f t="array" ref="D126">SUM(SUMIFS('caseload data'!E:E,'caseload data'!$D:$D,"DMY",'caseload data'!$A:$A,"Wales",'caseload data'!$B:$B,{"licence","community"}))</f>
        <v>0</v>
      </c>
      <c r="E126" s="94" cm="1">
        <f t="array" ref="E126">SUM(SUMIFS('caseload data'!F:F,'caseload data'!$D:$D,"DMY",'caseload data'!$A:$A,"Wales",'caseload data'!$B:$B,{"licence","community"}))</f>
        <v>0</v>
      </c>
      <c r="F126" s="94" cm="1">
        <f t="array" ref="F126">SUM(SUMIFS('caseload data'!G:G,'caseload data'!$D:$D,"DMY",'caseload data'!$A:$A,"Wales",'caseload data'!$B:$B,{"licence","community"}))</f>
        <v>0</v>
      </c>
      <c r="G126" s="94" cm="1">
        <f t="array" ref="G126">SUM(SUMIFS('caseload data'!H:H,'caseload data'!$D:$D,"DMY",'caseload data'!$A:$A,"Wales",'caseload data'!$B:$B,{"licence","community"}))</f>
        <v>0</v>
      </c>
      <c r="H126" s="94" cm="1">
        <f t="array" ref="H126">SUM(SUMIFS('caseload data'!I:I,'caseload data'!$D:$D,"DMY",'caseload data'!$A:$A,"Wales",'caseload data'!$B:$B,{"licence","community"}))</f>
        <v>0</v>
      </c>
      <c r="I126" s="94" cm="1">
        <f t="array" ref="I126">SUM(SUMIFS('caseload data'!J:J,'caseload data'!$D:$D,"DMY",'caseload data'!$A:$A,"Wales",'caseload data'!$B:$B,{"licence","community"}))</f>
        <v>0</v>
      </c>
      <c r="J126" s="94" cm="1">
        <f t="array" ref="J126">SUM(SUMIFS('caseload data'!K:K,'caseload data'!$D:$D,"DMY",'caseload data'!$A:$A,"Wales",'caseload data'!$B:$B,{"licence","community"}))</f>
        <v>0</v>
      </c>
      <c r="K126" s="94" cm="1">
        <f t="array" ref="K126">SUM(SUMIFS('caseload data'!L:L,'caseload data'!$D:$D,"DMY",'caseload data'!$A:$A,"Wales",'caseload data'!$B:$B,{"licence","community"}))</f>
        <v>0</v>
      </c>
      <c r="L126" s="94" cm="1">
        <f t="array" ref="L126">SUM(SUMIFS('caseload data'!M:M,'caseload data'!$D:$D,"DMY",'caseload data'!$A:$A,"Wales",'caseload data'!$B:$B,{"licence","community"}))</f>
        <v>0</v>
      </c>
      <c r="M126" s="94" cm="1">
        <f t="array" ref="M126">SUM(SUMIFS('caseload data'!N:N,'caseload data'!$D:$D,"DMY",'caseload data'!$A:$A,"Wales",'caseload data'!$B:$B,{"licence","community"}))</f>
        <v>0</v>
      </c>
      <c r="N126" s="94" cm="1">
        <f t="array" ref="N126">SUM(SUMIFS('caseload data'!O:O,'caseload data'!$D:$D,"DMY",'caseload data'!$A:$A,"Wales",'caseload data'!$B:$B,{"licence","community"}))</f>
        <v>0</v>
      </c>
      <c r="O126" s="94" cm="1">
        <f t="array" ref="O126">SUM(SUMIFS('caseload data'!P:P,'caseload data'!$D:$D,"DMY",'caseload data'!$A:$A,"Wales",'caseload data'!$B:$B,{"licence","community"}))</f>
        <v>0</v>
      </c>
      <c r="P126" s="94" cm="1">
        <f t="array" ref="P126">SUM(SUMIFS('caseload data'!Q:Q,'caseload data'!$D:$D,"DMY",'caseload data'!$A:$A,"Wales",'caseload data'!$B:$B,{"licence","community"}))</f>
        <v>0</v>
      </c>
      <c r="Q126" s="94" cm="1">
        <f t="array" ref="Q126">SUM(SUMIFS('caseload data'!R:R,'caseload data'!$D:$D,"DMY",'caseload data'!$A:$A,"Wales",'caseload data'!$B:$B,{"licence","community"}))</f>
        <v>0</v>
      </c>
      <c r="R126" s="94" cm="1">
        <f t="array" ref="R126">SUM(SUMIFS('caseload data'!S:S,'caseload data'!$D:$D,"DMY",'caseload data'!$A:$A,"Wales",'caseload data'!$B:$B,{"licence","community"}))</f>
        <v>0</v>
      </c>
      <c r="S126" s="94" cm="1">
        <f t="array" ref="S126">SUM(SUMIFS('caseload data'!T:T,'caseload data'!$D:$D,"DMY",'caseload data'!$A:$A,"Wales",'caseload data'!$B:$B,{"licence","community"}))</f>
        <v>0</v>
      </c>
      <c r="T126" s="94" cm="1">
        <f t="array" ref="T126">SUM(SUMIFS('caseload data'!V:V,'caseload data'!$D:$D,"DMY",'caseload data'!$A:$A,"Wales",'caseload data'!$B:$B,{"licence","community"}))</f>
        <v>0</v>
      </c>
      <c r="U126" s="64"/>
      <c r="V126" s="64"/>
      <c r="W126" s="473"/>
      <c r="X126" s="130" t="s">
        <v>1344</v>
      </c>
      <c r="Y126" s="167" t="e">
        <f t="shared" si="67"/>
        <v>#DIV/0!</v>
      </c>
      <c r="Z126" s="167" t="e">
        <f t="shared" si="66"/>
        <v>#DIV/0!</v>
      </c>
      <c r="AA126" s="167" t="e">
        <f t="shared" si="66"/>
        <v>#DIV/0!</v>
      </c>
      <c r="AB126" s="167" t="e">
        <f t="shared" si="66"/>
        <v>#DIV/0!</v>
      </c>
      <c r="AC126" s="167" t="e">
        <f t="shared" si="66"/>
        <v>#DIV/0!</v>
      </c>
      <c r="AD126" s="167" t="e">
        <f t="shared" si="66"/>
        <v>#DIV/0!</v>
      </c>
      <c r="AE126" s="167" t="e">
        <f t="shared" si="66"/>
        <v>#DIV/0!</v>
      </c>
      <c r="AF126" s="167" t="e">
        <f t="shared" si="66"/>
        <v>#DIV/0!</v>
      </c>
      <c r="AG126" s="167" t="e">
        <f t="shared" si="66"/>
        <v>#DIV/0!</v>
      </c>
      <c r="AH126" s="167" t="e">
        <f t="shared" si="66"/>
        <v>#DIV/0!</v>
      </c>
      <c r="AI126" s="167" t="e">
        <f t="shared" si="66"/>
        <v>#DIV/0!</v>
      </c>
      <c r="AJ126" s="167" t="e">
        <f t="shared" si="66"/>
        <v>#DIV/0!</v>
      </c>
      <c r="AK126" s="167" t="e">
        <f t="shared" si="66"/>
        <v>#DIV/0!</v>
      </c>
      <c r="AL126" s="167" t="e">
        <f t="shared" si="66"/>
        <v>#DIV/0!</v>
      </c>
      <c r="AM126" s="167" t="e">
        <f t="shared" si="66"/>
        <v>#DIV/0!</v>
      </c>
      <c r="AN126" s="167" t="e">
        <f t="shared" si="66"/>
        <v>#DIV/0!</v>
      </c>
      <c r="AO126" s="167" t="e">
        <f t="shared" si="66"/>
        <v>#DIV/0!</v>
      </c>
    </row>
    <row r="127" spans="2:41" x14ac:dyDescent="0.15">
      <c r="B127" s="471" t="s">
        <v>27</v>
      </c>
      <c r="C127" s="128" t="s">
        <v>1002</v>
      </c>
      <c r="D127" s="94" cm="1">
        <f t="array" ref="D127">SUM(SUMIFS('caseload data'!E:E,'caseload data'!$D:$D,"PO",'caseload data'!$A:$A,$B$127,'caseload data'!$B:$B,{"licence","community"}))</f>
        <v>0</v>
      </c>
      <c r="E127" s="94" cm="1">
        <f t="array" ref="E127">SUM(SUMIFS('caseload data'!F:F,'caseload data'!$D:$D,"PO",'caseload data'!$A:$A,$B$127,'caseload data'!$B:$B,{"licence","community"}))</f>
        <v>0</v>
      </c>
      <c r="F127" s="94" cm="1">
        <f t="array" ref="F127">SUM(SUMIFS('caseload data'!G:G,'caseload data'!$D:$D,"PO",'caseload data'!$A:$A,$B$127,'caseload data'!$B:$B,{"licence","community"}))</f>
        <v>0</v>
      </c>
      <c r="G127" s="94" cm="1">
        <f t="array" ref="G127">SUM(SUMIFS('caseload data'!H:H,'caseload data'!$D:$D,"PO",'caseload data'!$A:$A,$B$127,'caseload data'!$B:$B,{"licence","community"}))</f>
        <v>0</v>
      </c>
      <c r="H127" s="94" cm="1">
        <f t="array" ref="H127">SUM(SUMIFS('caseload data'!I:I,'caseload data'!$D:$D,"PO",'caseload data'!$A:$A,$B$127,'caseload data'!$B:$B,{"licence","community"}))</f>
        <v>0</v>
      </c>
      <c r="I127" s="94" cm="1">
        <f t="array" ref="I127">SUM(SUMIFS('caseload data'!J:J,'caseload data'!$D:$D,"PO",'caseload data'!$A:$A,$B$127,'caseload data'!$B:$B,{"licence","community"}))</f>
        <v>0</v>
      </c>
      <c r="J127" s="94" cm="1">
        <f t="array" ref="J127">SUM(SUMIFS('caseload data'!K:K,'caseload data'!$D:$D,"PO",'caseload data'!$A:$A,$B$127,'caseload data'!$B:$B,{"licence","community"}))</f>
        <v>0</v>
      </c>
      <c r="K127" s="94" cm="1">
        <f t="array" ref="K127">SUM(SUMIFS('caseload data'!L:L,'caseload data'!$D:$D,"PO",'caseload data'!$A:$A,$B$127,'caseload data'!$B:$B,{"licence","community"}))</f>
        <v>0</v>
      </c>
      <c r="L127" s="94" cm="1">
        <f t="array" ref="L127">SUM(SUMIFS('caseload data'!M:M,'caseload data'!$D:$D,"PO",'caseload data'!$A:$A,$B$127,'caseload data'!$B:$B,{"licence","community"}))</f>
        <v>0</v>
      </c>
      <c r="M127" s="94" cm="1">
        <f t="array" ref="M127">SUM(SUMIFS('caseload data'!N:N,'caseload data'!$D:$D,"PO",'caseload data'!$A:$A,$B$127,'caseload data'!$B:$B,{"licence","community"}))</f>
        <v>0</v>
      </c>
      <c r="N127" s="94" cm="1">
        <f t="array" ref="N127">SUM(SUMIFS('caseload data'!O:O,'caseload data'!$D:$D,"PO",'caseload data'!$A:$A,$B$127,'caseload data'!$B:$B,{"licence","community"}))</f>
        <v>0</v>
      </c>
      <c r="O127" s="94" cm="1">
        <f t="array" ref="O127">SUM(SUMIFS('caseload data'!P:P,'caseload data'!$D:$D,"PO",'caseload data'!$A:$A,$B$127,'caseload data'!$B:$B,{"licence","community"}))</f>
        <v>0</v>
      </c>
      <c r="P127" s="94" cm="1">
        <f t="array" ref="P127">SUM(SUMIFS('caseload data'!Q:Q,'caseload data'!$D:$D,"PO",'caseload data'!$A:$A,$B$127,'caseload data'!$B:$B,{"licence","community"}))</f>
        <v>0</v>
      </c>
      <c r="Q127" s="94" cm="1">
        <f t="array" ref="Q127">SUM(SUMIFS('caseload data'!R:R,'caseload data'!$D:$D,"PO",'caseload data'!$A:$A,$B$127,'caseload data'!$B:$B,{"licence","community"}))</f>
        <v>0</v>
      </c>
      <c r="R127" s="94" cm="1">
        <f t="array" ref="R127">SUM(SUMIFS('caseload data'!S:S,'caseload data'!$D:$D,"PO",'caseload data'!$A:$A,$B$127,'caseload data'!$B:$B,{"licence","community"}))</f>
        <v>0</v>
      </c>
      <c r="S127" s="94" cm="1">
        <f t="array" ref="S127">SUM(SUMIFS('caseload data'!T:T,'caseload data'!$D:$D,"PO",'caseload data'!$A:$A,$B$127,'caseload data'!$B:$B,{"licence","community"}))</f>
        <v>0</v>
      </c>
      <c r="T127" s="94">
        <f>SUM(SUMIFS('caseload data'!V:V,'caseload data'!D:D,"PO",'caseload data'!A:A,B127,'caseload data'!B:B,{"licence","community"}))</f>
        <v>0</v>
      </c>
      <c r="U127" s="64"/>
      <c r="V127" s="64"/>
      <c r="W127" s="471" t="s">
        <v>27</v>
      </c>
      <c r="X127" s="128" t="s">
        <v>1002</v>
      </c>
      <c r="Y127" s="167" t="e">
        <f>SUM(D127)/SUM(D$13:D$127)</f>
        <v>#DIV/0!</v>
      </c>
      <c r="Z127" s="167" t="e">
        <f t="shared" ref="Z127:AO131" si="68">SUM(E127)/SUM(E$13:E$127)</f>
        <v>#DIV/0!</v>
      </c>
      <c r="AA127" s="167" t="e">
        <f t="shared" si="68"/>
        <v>#DIV/0!</v>
      </c>
      <c r="AB127" s="167" t="e">
        <f t="shared" si="68"/>
        <v>#DIV/0!</v>
      </c>
      <c r="AC127" s="167" t="e">
        <f t="shared" si="68"/>
        <v>#DIV/0!</v>
      </c>
      <c r="AD127" s="167" t="e">
        <f t="shared" si="68"/>
        <v>#DIV/0!</v>
      </c>
      <c r="AE127" s="167" t="e">
        <f t="shared" si="68"/>
        <v>#DIV/0!</v>
      </c>
      <c r="AF127" s="167" t="e">
        <f t="shared" si="68"/>
        <v>#DIV/0!</v>
      </c>
      <c r="AG127" s="167" t="e">
        <f t="shared" si="68"/>
        <v>#DIV/0!</v>
      </c>
      <c r="AH127" s="167" t="e">
        <f t="shared" si="68"/>
        <v>#DIV/0!</v>
      </c>
      <c r="AI127" s="167" t="e">
        <f t="shared" si="68"/>
        <v>#DIV/0!</v>
      </c>
      <c r="AJ127" s="167" t="e">
        <f t="shared" si="68"/>
        <v>#DIV/0!</v>
      </c>
      <c r="AK127" s="167" t="e">
        <f t="shared" si="68"/>
        <v>#DIV/0!</v>
      </c>
      <c r="AL127" s="167" t="e">
        <f t="shared" si="68"/>
        <v>#DIV/0!</v>
      </c>
      <c r="AM127" s="167" t="e">
        <f t="shared" si="68"/>
        <v>#DIV/0!</v>
      </c>
      <c r="AN127" s="167" t="e">
        <f t="shared" si="68"/>
        <v>#DIV/0!</v>
      </c>
      <c r="AO127" s="167" t="e">
        <f t="shared" si="68"/>
        <v>#DIV/0!</v>
      </c>
    </row>
    <row r="128" spans="2:41" x14ac:dyDescent="0.15">
      <c r="B128" s="472"/>
      <c r="C128" s="129" t="s">
        <v>1007</v>
      </c>
      <c r="D128" s="94" cm="1">
        <f t="array" ref="D128">SUM(SUMIFS('caseload data'!E:E,'caseload data'!$D:$D,"PSO",'caseload data'!$A:$A,"West Midlands Region",'caseload data'!$B:$B,{"licence","community"}))</f>
        <v>0</v>
      </c>
      <c r="E128" s="94" cm="1">
        <f t="array" ref="E128">SUM(SUMIFS('caseload data'!F:F,'caseload data'!$D:$D,"PSO",'caseload data'!$A:$A,"West Midlands Region",'caseload data'!$B:$B,{"licence","community"}))</f>
        <v>0</v>
      </c>
      <c r="F128" s="94" cm="1">
        <f t="array" ref="F128">SUM(SUMIFS('caseload data'!G:G,'caseload data'!$D:$D,"PSO",'caseload data'!$A:$A,"West Midlands Region",'caseload data'!$B:$B,{"licence","community"}))</f>
        <v>0</v>
      </c>
      <c r="G128" s="94" cm="1">
        <f t="array" ref="G128">SUM(SUMIFS('caseload data'!H:H,'caseload data'!$D:$D,"PSO",'caseload data'!$A:$A,"West Midlands Region",'caseload data'!$B:$B,{"licence","community"}))</f>
        <v>0</v>
      </c>
      <c r="H128" s="94" cm="1">
        <f t="array" ref="H128">SUM(SUMIFS('caseload data'!I:I,'caseload data'!$D:$D,"PSO",'caseload data'!$A:$A,"West Midlands Region",'caseload data'!$B:$B,{"licence","community"}))</f>
        <v>0</v>
      </c>
      <c r="I128" s="94" cm="1">
        <f t="array" ref="I128">SUM(SUMIFS('caseload data'!J:J,'caseload data'!$D:$D,"PSO",'caseload data'!$A:$A,"West Midlands Region",'caseload data'!$B:$B,{"licence","community"}))</f>
        <v>0</v>
      </c>
      <c r="J128" s="94" cm="1">
        <f t="array" ref="J128">SUM(SUMIFS('caseload data'!K:K,'caseload data'!$D:$D,"PSO",'caseload data'!$A:$A,"West Midlands Region",'caseload data'!$B:$B,{"licence","community"}))</f>
        <v>0</v>
      </c>
      <c r="K128" s="94" cm="1">
        <f t="array" ref="K128">SUM(SUMIFS('caseload data'!L:L,'caseload data'!$D:$D,"PSO",'caseload data'!$A:$A,"West Midlands Region",'caseload data'!$B:$B,{"licence","community"}))</f>
        <v>0</v>
      </c>
      <c r="L128" s="94" cm="1">
        <f t="array" ref="L128">SUM(SUMIFS('caseload data'!M:M,'caseload data'!$D:$D,"PSO",'caseload data'!$A:$A,"West Midlands Region",'caseload data'!$B:$B,{"licence","community"}))</f>
        <v>0</v>
      </c>
      <c r="M128" s="94" cm="1">
        <f t="array" ref="M128">SUM(SUMIFS('caseload data'!N:N,'caseload data'!$D:$D,"PSO",'caseload data'!$A:$A,"West Midlands Region",'caseload data'!$B:$B,{"licence","community"}))</f>
        <v>0</v>
      </c>
      <c r="N128" s="94" cm="1">
        <f t="array" ref="N128">SUM(SUMIFS('caseload data'!O:O,'caseload data'!$D:$D,"PSO",'caseload data'!$A:$A,"West Midlands Region",'caseload data'!$B:$B,{"licence","community"}))</f>
        <v>0</v>
      </c>
      <c r="O128" s="94" cm="1">
        <f t="array" ref="O128">SUM(SUMIFS('caseload data'!P:P,'caseload data'!$D:$D,"PSO",'caseload data'!$A:$A,"West Midlands Region",'caseload data'!$B:$B,{"licence","community"}))</f>
        <v>0</v>
      </c>
      <c r="P128" s="94" cm="1">
        <f t="array" ref="P128">SUM(SUMIFS('caseload data'!Q:Q,'caseload data'!$D:$D,"PSO",'caseload data'!$A:$A,"West Midlands Region",'caseload data'!$B:$B,{"licence","community"}))</f>
        <v>0</v>
      </c>
      <c r="Q128" s="94" cm="1">
        <f t="array" ref="Q128">SUM(SUMIFS('caseload data'!R:R,'caseload data'!$D:$D,"PSO",'caseload data'!$A:$A,"West Midlands Region",'caseload data'!$B:$B,{"licence","community"}))</f>
        <v>0</v>
      </c>
      <c r="R128" s="94" cm="1">
        <f t="array" ref="R128">SUM(SUMIFS('caseload data'!S:S,'caseload data'!$D:$D,"PSO",'caseload data'!$A:$A,"West Midlands Region",'caseload data'!$B:$B,{"licence","community"}))</f>
        <v>0</v>
      </c>
      <c r="S128" s="94" cm="1">
        <f t="array" ref="S128">SUM(SUMIFS('caseload data'!T:T,'caseload data'!$D:$D,"PSO",'caseload data'!$A:$A,"West Midlands Region",'caseload data'!$B:$B,{"licence","community"}))</f>
        <v>0</v>
      </c>
      <c r="T128" s="94" cm="1">
        <f t="array" ref="T128">SUM(SUMIFS('caseload data'!V:V,'caseload data'!$D:$D,"PSO",'caseload data'!$A:$A,"West Midlands Region",'caseload data'!$B:$B,{"licence","community"}))</f>
        <v>0</v>
      </c>
      <c r="U128" s="64"/>
      <c r="V128" s="64"/>
      <c r="W128" s="472"/>
      <c r="X128" s="129" t="s">
        <v>1007</v>
      </c>
      <c r="Y128" s="167" t="e">
        <f t="shared" ref="Y128:Y131" si="69">SUM(D128)/SUM(D$13:D$127)</f>
        <v>#DIV/0!</v>
      </c>
      <c r="Z128" s="167" t="e">
        <f t="shared" si="68"/>
        <v>#DIV/0!</v>
      </c>
      <c r="AA128" s="167" t="e">
        <f t="shared" si="68"/>
        <v>#DIV/0!</v>
      </c>
      <c r="AB128" s="167" t="e">
        <f t="shared" si="68"/>
        <v>#DIV/0!</v>
      </c>
      <c r="AC128" s="167" t="e">
        <f t="shared" si="68"/>
        <v>#DIV/0!</v>
      </c>
      <c r="AD128" s="167" t="e">
        <f t="shared" si="68"/>
        <v>#DIV/0!</v>
      </c>
      <c r="AE128" s="167" t="e">
        <f t="shared" si="68"/>
        <v>#DIV/0!</v>
      </c>
      <c r="AF128" s="167" t="e">
        <f t="shared" si="68"/>
        <v>#DIV/0!</v>
      </c>
      <c r="AG128" s="167" t="e">
        <f t="shared" si="68"/>
        <v>#DIV/0!</v>
      </c>
      <c r="AH128" s="167" t="e">
        <f t="shared" si="68"/>
        <v>#DIV/0!</v>
      </c>
      <c r="AI128" s="167" t="e">
        <f t="shared" si="68"/>
        <v>#DIV/0!</v>
      </c>
      <c r="AJ128" s="167" t="e">
        <f t="shared" si="68"/>
        <v>#DIV/0!</v>
      </c>
      <c r="AK128" s="167" t="e">
        <f t="shared" si="68"/>
        <v>#DIV/0!</v>
      </c>
      <c r="AL128" s="167" t="e">
        <f t="shared" si="68"/>
        <v>#DIV/0!</v>
      </c>
      <c r="AM128" s="167" t="e">
        <f t="shared" si="68"/>
        <v>#DIV/0!</v>
      </c>
      <c r="AN128" s="167" t="e">
        <f t="shared" si="68"/>
        <v>#DIV/0!</v>
      </c>
      <c r="AO128" s="167" t="e">
        <f t="shared" si="68"/>
        <v>#DIV/0!</v>
      </c>
    </row>
    <row r="129" spans="2:41" x14ac:dyDescent="0.15">
      <c r="B129" s="472"/>
      <c r="C129" s="129" t="s">
        <v>1008</v>
      </c>
      <c r="D129" s="94" cm="1">
        <f t="array" ref="D129">SUM(SUMIFS('caseload data'!E:E,'caseload data'!$D:$D,"TPO",'caseload data'!$A:$A,"West Midlands Region",'caseload data'!$B:$B,{"licence","community"}))</f>
        <v>0</v>
      </c>
      <c r="E129" s="94" cm="1">
        <f t="array" ref="E129">SUM(SUMIFS('caseload data'!F:F,'caseload data'!$D:$D,"TPO",'caseload data'!$A:$A,"West Midlands Region",'caseload data'!$B:$B,{"licence","community"}))</f>
        <v>0</v>
      </c>
      <c r="F129" s="94" cm="1">
        <f t="array" ref="F129">SUM(SUMIFS('caseload data'!G:G,'caseload data'!$D:$D,"TPO",'caseload data'!$A:$A,"West Midlands Region",'caseload data'!$B:$B,{"licence","community"}))</f>
        <v>0</v>
      </c>
      <c r="G129" s="94" cm="1">
        <f t="array" ref="G129">SUM(SUMIFS('caseload data'!H:H,'caseload data'!$D:$D,"TPO",'caseload data'!$A:$A,"West Midlands Region",'caseload data'!$B:$B,{"licence","community"}))</f>
        <v>0</v>
      </c>
      <c r="H129" s="94" cm="1">
        <f t="array" ref="H129">SUM(SUMIFS('caseload data'!I:I,'caseload data'!$D:$D,"TPO",'caseload data'!$A:$A,"West Midlands Region",'caseload data'!$B:$B,{"licence","community"}))</f>
        <v>0</v>
      </c>
      <c r="I129" s="94" cm="1">
        <f t="array" ref="I129">SUM(SUMIFS('caseload data'!J:J,'caseload data'!$D:$D,"TPO",'caseload data'!$A:$A,"West Midlands Region",'caseload data'!$B:$B,{"licence","community"}))</f>
        <v>0</v>
      </c>
      <c r="J129" s="94" cm="1">
        <f t="array" ref="J129">SUM(SUMIFS('caseload data'!K:K,'caseload data'!$D:$D,"TPO",'caseload data'!$A:$A,"West Midlands Region",'caseload data'!$B:$B,{"licence","community"}))</f>
        <v>0</v>
      </c>
      <c r="K129" s="94" cm="1">
        <f t="array" ref="K129">SUM(SUMIFS('caseload data'!L:L,'caseload data'!$D:$D,"TPO",'caseload data'!$A:$A,"West Midlands Region",'caseload data'!$B:$B,{"licence","community"}))</f>
        <v>0</v>
      </c>
      <c r="L129" s="94" cm="1">
        <f t="array" ref="L129">SUM(SUMIFS('caseload data'!M:M,'caseload data'!$D:$D,"TPO",'caseload data'!$A:$A,"West Midlands Region",'caseload data'!$B:$B,{"licence","community"}))</f>
        <v>0</v>
      </c>
      <c r="M129" s="94" cm="1">
        <f t="array" ref="M129">SUM(SUMIFS('caseload data'!N:N,'caseload data'!$D:$D,"TPO",'caseload data'!$A:$A,"West Midlands Region",'caseload data'!$B:$B,{"licence","community"}))</f>
        <v>0</v>
      </c>
      <c r="N129" s="94" cm="1">
        <f t="array" ref="N129">SUM(SUMIFS('caseload data'!O:O,'caseload data'!$D:$D,"TPO",'caseload data'!$A:$A,"West Midlands Region",'caseload data'!$B:$B,{"licence","community"}))</f>
        <v>0</v>
      </c>
      <c r="O129" s="94" cm="1">
        <f t="array" ref="O129">SUM(SUMIFS('caseload data'!P:P,'caseload data'!$D:$D,"TPO",'caseload data'!$A:$A,"West Midlands Region",'caseload data'!$B:$B,{"licence","community"}))</f>
        <v>0</v>
      </c>
      <c r="P129" s="94" cm="1">
        <f t="array" ref="P129">SUM(SUMIFS('caseload data'!Q:Q,'caseload data'!$D:$D,"TPO",'caseload data'!$A:$A,"West Midlands Region",'caseload data'!$B:$B,{"licence","community"}))</f>
        <v>0</v>
      </c>
      <c r="Q129" s="94" cm="1">
        <f t="array" ref="Q129">SUM(SUMIFS('caseload data'!R:R,'caseload data'!$D:$D,"TPO",'caseload data'!$A:$A,"West Midlands Region",'caseload data'!$B:$B,{"licence","community"}))</f>
        <v>0</v>
      </c>
      <c r="R129" s="94" cm="1">
        <f t="array" ref="R129">SUM(SUMIFS('caseload data'!S:S,'caseload data'!$D:$D,"TPO",'caseload data'!$A:$A,"West Midlands Region",'caseload data'!$B:$B,{"licence","community"}))</f>
        <v>0</v>
      </c>
      <c r="S129" s="94" cm="1">
        <f t="array" ref="S129">SUM(SUMIFS('caseload data'!T:T,'caseload data'!$D:$D,"TPO",'caseload data'!$A:$A,"West Midlands Region",'caseload data'!$B:$B,{"licence","community"}))</f>
        <v>0</v>
      </c>
      <c r="T129" s="94" cm="1">
        <f t="array" ref="T129">SUM(SUMIFS('caseload data'!V:V,'caseload data'!D:D,"TPO",'caseload data'!A:A,"West Midlands Region",'caseload data'!B:B,{"licence","community"}))</f>
        <v>0</v>
      </c>
      <c r="U129" s="64"/>
      <c r="V129" s="64"/>
      <c r="W129" s="472"/>
      <c r="X129" s="129" t="s">
        <v>1008</v>
      </c>
      <c r="Y129" s="167" t="e">
        <f t="shared" si="69"/>
        <v>#DIV/0!</v>
      </c>
      <c r="Z129" s="167" t="e">
        <f t="shared" si="68"/>
        <v>#DIV/0!</v>
      </c>
      <c r="AA129" s="167" t="e">
        <f t="shared" si="68"/>
        <v>#DIV/0!</v>
      </c>
      <c r="AB129" s="167" t="e">
        <f t="shared" si="68"/>
        <v>#DIV/0!</v>
      </c>
      <c r="AC129" s="167" t="e">
        <f t="shared" si="68"/>
        <v>#DIV/0!</v>
      </c>
      <c r="AD129" s="167" t="e">
        <f t="shared" si="68"/>
        <v>#DIV/0!</v>
      </c>
      <c r="AE129" s="167" t="e">
        <f t="shared" si="68"/>
        <v>#DIV/0!</v>
      </c>
      <c r="AF129" s="167" t="e">
        <f t="shared" si="68"/>
        <v>#DIV/0!</v>
      </c>
      <c r="AG129" s="167" t="e">
        <f t="shared" si="68"/>
        <v>#DIV/0!</v>
      </c>
      <c r="AH129" s="167" t="e">
        <f t="shared" si="68"/>
        <v>#DIV/0!</v>
      </c>
      <c r="AI129" s="167" t="e">
        <f t="shared" si="68"/>
        <v>#DIV/0!</v>
      </c>
      <c r="AJ129" s="167" t="e">
        <f t="shared" si="68"/>
        <v>#DIV/0!</v>
      </c>
      <c r="AK129" s="167" t="e">
        <f t="shared" si="68"/>
        <v>#DIV/0!</v>
      </c>
      <c r="AL129" s="167" t="e">
        <f t="shared" si="68"/>
        <v>#DIV/0!</v>
      </c>
      <c r="AM129" s="167" t="e">
        <f t="shared" si="68"/>
        <v>#DIV/0!</v>
      </c>
      <c r="AN129" s="167" t="e">
        <f t="shared" si="68"/>
        <v>#DIV/0!</v>
      </c>
      <c r="AO129" s="167" t="e">
        <f t="shared" si="68"/>
        <v>#DIV/0!</v>
      </c>
    </row>
    <row r="130" spans="2:41" x14ac:dyDescent="0.15">
      <c r="B130" s="472"/>
      <c r="C130" s="129" t="s">
        <v>1009</v>
      </c>
      <c r="D130" s="94" cm="1">
        <f t="array" ref="D130">SUM(SUMIFS('caseload data'!E:E,'caseload data'!$D:$D,"SPO",'caseload data'!$A:$A,"West Midlands Region",'caseload data'!$B:$B,{"licence","community"}))</f>
        <v>0</v>
      </c>
      <c r="E130" s="94" cm="1">
        <f t="array" ref="E130">SUM(SUMIFS('caseload data'!F:F,'caseload data'!$D:$D,"SPO",'caseload data'!$A:$A,"West Midlands Region",'caseload data'!$B:$B,{"licence","community"}))</f>
        <v>0</v>
      </c>
      <c r="F130" s="94" cm="1">
        <f t="array" ref="F130">SUM(SUMIFS('caseload data'!G:G,'caseload data'!$D:$D,"SPO",'caseload data'!$A:$A,"West Midlands Region",'caseload data'!$B:$B,{"licence","community"}))</f>
        <v>0</v>
      </c>
      <c r="G130" s="94" cm="1">
        <f t="array" ref="G130">SUM(SUMIFS('caseload data'!H:H,'caseload data'!$D:$D,"SPO",'caseload data'!$A:$A,"West Midlands Region",'caseload data'!$B:$B,{"licence","community"}))</f>
        <v>0</v>
      </c>
      <c r="H130" s="94" cm="1">
        <f t="array" ref="H130">SUM(SUMIFS('caseload data'!I:I,'caseload data'!$D:$D,"SPO",'caseload data'!$A:$A,"West Midlands Region",'caseload data'!$B:$B,{"licence","community"}))</f>
        <v>0</v>
      </c>
      <c r="I130" s="94" cm="1">
        <f t="array" ref="I130">SUM(SUMIFS('caseload data'!J:J,'caseload data'!$D:$D,"SPO",'caseload data'!$A:$A,"West Midlands Region",'caseload data'!$B:$B,{"licence","community"}))</f>
        <v>0</v>
      </c>
      <c r="J130" s="94" cm="1">
        <f t="array" ref="J130">SUM(SUMIFS('caseload data'!K:K,'caseload data'!$D:$D,"SPO",'caseload data'!$A:$A,"West Midlands Region",'caseload data'!$B:$B,{"licence","community"}))</f>
        <v>0</v>
      </c>
      <c r="K130" s="94" cm="1">
        <f t="array" ref="K130">SUM(SUMIFS('caseload data'!L:L,'caseload data'!$D:$D,"SPO",'caseload data'!$A:$A,"West Midlands Region",'caseload data'!$B:$B,{"licence","community"}))</f>
        <v>0</v>
      </c>
      <c r="L130" s="94" cm="1">
        <f t="array" ref="L130">SUM(SUMIFS('caseload data'!M:M,'caseload data'!$D:$D,"SPO",'caseload data'!$A:$A,"West Midlands Region",'caseload data'!$B:$B,{"licence","community"}))</f>
        <v>0</v>
      </c>
      <c r="M130" s="94" cm="1">
        <f t="array" ref="M130">SUM(SUMIFS('caseload data'!N:N,'caseload data'!$D:$D,"SPO",'caseload data'!$A:$A,"West Midlands Region",'caseload data'!$B:$B,{"licence","community"}))</f>
        <v>0</v>
      </c>
      <c r="N130" s="94" cm="1">
        <f t="array" ref="N130">SUM(SUMIFS('caseload data'!O:O,'caseload data'!$D:$D,"SPO",'caseload data'!$A:$A,"West Midlands Region",'caseload data'!$B:$B,{"licence","community"}))</f>
        <v>0</v>
      </c>
      <c r="O130" s="94" cm="1">
        <f t="array" ref="O130">SUM(SUMIFS('caseload data'!P:P,'caseload data'!$D:$D,"SPO",'caseload data'!$A:$A,"West Midlands Region",'caseload data'!$B:$B,{"licence","community"}))</f>
        <v>0</v>
      </c>
      <c r="P130" s="94" cm="1">
        <f t="array" ref="P130">SUM(SUMIFS('caseload data'!Q:Q,'caseload data'!$D:$D,"SPO",'caseload data'!$A:$A,"West Midlands Region",'caseload data'!$B:$B,{"licence","community"}))</f>
        <v>0</v>
      </c>
      <c r="Q130" s="94" cm="1">
        <f t="array" ref="Q130">SUM(SUMIFS('caseload data'!R:R,'caseload data'!$D:$D,"SPO",'caseload data'!$A:$A,"West Midlands Region",'caseload data'!$B:$B,{"licence","community"}))</f>
        <v>0</v>
      </c>
      <c r="R130" s="94" cm="1">
        <f t="array" ref="R130">SUM(SUMIFS('caseload data'!S:S,'caseload data'!$D:$D,"SPO",'caseload data'!$A:$A,"West Midlands Region",'caseload data'!$B:$B,{"licence","community"}))</f>
        <v>0</v>
      </c>
      <c r="S130" s="94" cm="1">
        <f t="array" ref="S130">SUM(SUMIFS('caseload data'!T:T,'caseload data'!$D:$D,"SPO",'caseload data'!$A:$A,"West Midlands Region",'caseload data'!$B:$B,{"licence","community"}))</f>
        <v>0</v>
      </c>
      <c r="T130" s="94" cm="1">
        <f t="array" ref="T130">SUM(SUMIFS('caseload data'!V:V,'caseload data'!$D:$D,"SPO",'caseload data'!$A:$A,"West Midlands Region",'caseload data'!$B:$B,{"licence","community"}))</f>
        <v>0</v>
      </c>
      <c r="U130" s="64"/>
      <c r="V130" s="64"/>
      <c r="W130" s="472"/>
      <c r="X130" s="129" t="s">
        <v>1009</v>
      </c>
      <c r="Y130" s="167" t="e">
        <f t="shared" si="69"/>
        <v>#DIV/0!</v>
      </c>
      <c r="Z130" s="167" t="e">
        <f t="shared" si="68"/>
        <v>#DIV/0!</v>
      </c>
      <c r="AA130" s="167" t="e">
        <f t="shared" si="68"/>
        <v>#DIV/0!</v>
      </c>
      <c r="AB130" s="167" t="e">
        <f t="shared" si="68"/>
        <v>#DIV/0!</v>
      </c>
      <c r="AC130" s="167" t="e">
        <f t="shared" si="68"/>
        <v>#DIV/0!</v>
      </c>
      <c r="AD130" s="167" t="e">
        <f t="shared" si="68"/>
        <v>#DIV/0!</v>
      </c>
      <c r="AE130" s="167" t="e">
        <f t="shared" si="68"/>
        <v>#DIV/0!</v>
      </c>
      <c r="AF130" s="167" t="e">
        <f t="shared" si="68"/>
        <v>#DIV/0!</v>
      </c>
      <c r="AG130" s="167" t="e">
        <f t="shared" si="68"/>
        <v>#DIV/0!</v>
      </c>
      <c r="AH130" s="167" t="e">
        <f t="shared" si="68"/>
        <v>#DIV/0!</v>
      </c>
      <c r="AI130" s="167" t="e">
        <f t="shared" si="68"/>
        <v>#DIV/0!</v>
      </c>
      <c r="AJ130" s="167" t="e">
        <f t="shared" si="68"/>
        <v>#DIV/0!</v>
      </c>
      <c r="AK130" s="167" t="e">
        <f t="shared" si="68"/>
        <v>#DIV/0!</v>
      </c>
      <c r="AL130" s="167" t="e">
        <f t="shared" si="68"/>
        <v>#DIV/0!</v>
      </c>
      <c r="AM130" s="167" t="e">
        <f t="shared" si="68"/>
        <v>#DIV/0!</v>
      </c>
      <c r="AN130" s="167" t="e">
        <f t="shared" si="68"/>
        <v>#DIV/0!</v>
      </c>
      <c r="AO130" s="167" t="e">
        <f t="shared" si="68"/>
        <v>#DIV/0!</v>
      </c>
    </row>
    <row r="131" spans="2:41" x14ac:dyDescent="0.15">
      <c r="B131" s="473"/>
      <c r="C131" s="130" t="s">
        <v>1344</v>
      </c>
      <c r="D131" s="94" cm="1">
        <f t="array" ref="D131">SUM(SUMIFS('caseload data'!E:E,'caseload data'!$D:$D,"DMY",'caseload data'!$A:$A,"West Midlands Region",'caseload data'!$B:$B,{"licence","community"}))</f>
        <v>0</v>
      </c>
      <c r="E131" s="94" cm="1">
        <f t="array" ref="E131">SUM(SUMIFS('caseload data'!F:F,'caseload data'!$D:$D,"DMY",'caseload data'!$A:$A,"West Midlands Region",'caseload data'!$B:$B,{"licence","community"}))</f>
        <v>0</v>
      </c>
      <c r="F131" s="94" cm="1">
        <f t="array" ref="F131">SUM(SUMIFS('caseload data'!G:G,'caseload data'!$D:$D,"DMY",'caseload data'!$A:$A,"West Midlands Region",'caseload data'!$B:$B,{"licence","community"}))</f>
        <v>0</v>
      </c>
      <c r="G131" s="94" cm="1">
        <f t="array" ref="G131">SUM(SUMIFS('caseload data'!H:H,'caseload data'!$D:$D,"DMY",'caseload data'!$A:$A,"West Midlands Region",'caseload data'!$B:$B,{"licence","community"}))</f>
        <v>0</v>
      </c>
      <c r="H131" s="94" cm="1">
        <f t="array" ref="H131">SUM(SUMIFS('caseload data'!I:I,'caseload data'!$D:$D,"DMY",'caseload data'!$A:$A,"West Midlands Region",'caseload data'!$B:$B,{"licence","community"}))</f>
        <v>0</v>
      </c>
      <c r="I131" s="94" cm="1">
        <f t="array" ref="I131">SUM(SUMIFS('caseload data'!J:J,'caseload data'!$D:$D,"DMY",'caseload data'!$A:$A,"West Midlands Region",'caseload data'!$B:$B,{"licence","community"}))</f>
        <v>0</v>
      </c>
      <c r="J131" s="94" cm="1">
        <f t="array" ref="J131">SUM(SUMIFS('caseload data'!K:K,'caseload data'!$D:$D,"DMY",'caseload data'!$A:$A,"West Midlands Region",'caseload data'!$B:$B,{"licence","community"}))</f>
        <v>0</v>
      </c>
      <c r="K131" s="94" cm="1">
        <f t="array" ref="K131">SUM(SUMIFS('caseload data'!L:L,'caseload data'!$D:$D,"DMY",'caseload data'!$A:$A,"West Midlands Region",'caseload data'!$B:$B,{"licence","community"}))</f>
        <v>0</v>
      </c>
      <c r="L131" s="94" cm="1">
        <f t="array" ref="L131">SUM(SUMIFS('caseload data'!M:M,'caseload data'!$D:$D,"DMY",'caseload data'!$A:$A,"West Midlands Region",'caseload data'!$B:$B,{"licence","community"}))</f>
        <v>0</v>
      </c>
      <c r="M131" s="94" cm="1">
        <f t="array" ref="M131">SUM(SUMIFS('caseload data'!N:N,'caseload data'!$D:$D,"DMY",'caseload data'!$A:$A,"West Midlands Region",'caseload data'!$B:$B,{"licence","community"}))</f>
        <v>0</v>
      </c>
      <c r="N131" s="94" cm="1">
        <f t="array" ref="N131">SUM(SUMIFS('caseload data'!O:O,'caseload data'!$D:$D,"DMY",'caseload data'!$A:$A,"West Midlands Region",'caseload data'!$B:$B,{"licence","community"}))</f>
        <v>0</v>
      </c>
      <c r="O131" s="94" cm="1">
        <f t="array" ref="O131">SUM(SUMIFS('caseload data'!P:P,'caseload data'!$D:$D,"DMY",'caseload data'!$A:$A,"West Midlands Region",'caseload data'!$B:$B,{"licence","community"}))</f>
        <v>0</v>
      </c>
      <c r="P131" s="94" cm="1">
        <f t="array" ref="P131">SUM(SUMIFS('caseload data'!Q:Q,'caseload data'!$D:$D,"DMY",'caseload data'!$A:$A,"West Midlands Region",'caseload data'!$B:$B,{"licence","community"}))</f>
        <v>0</v>
      </c>
      <c r="Q131" s="94" cm="1">
        <f t="array" ref="Q131">SUM(SUMIFS('caseload data'!R:R,'caseload data'!$D:$D,"DMY",'caseload data'!$A:$A,"West Midlands Region",'caseload data'!$B:$B,{"licence","community"}))</f>
        <v>0</v>
      </c>
      <c r="R131" s="94" cm="1">
        <f t="array" ref="R131">SUM(SUMIFS('caseload data'!S:S,'caseload data'!$D:$D,"DMY",'caseload data'!$A:$A,"West Midlands Region",'caseload data'!$B:$B,{"licence","community"}))</f>
        <v>0</v>
      </c>
      <c r="S131" s="94" cm="1">
        <f t="array" ref="S131">SUM(SUMIFS('caseload data'!T:T,'caseload data'!$D:$D,"DMY",'caseload data'!$A:$A,"West Midlands Region",'caseload data'!$B:$B,{"licence","community"}))</f>
        <v>0</v>
      </c>
      <c r="T131" s="94" cm="1">
        <f t="array" ref="T131">SUM(SUMIFS('caseload data'!V:V,'caseload data'!$D:$D,"DMY",'caseload data'!$A:$A,"West Midlands Region",'caseload data'!$B:$B,{"licence","community"}))</f>
        <v>0</v>
      </c>
      <c r="U131" s="64"/>
      <c r="V131" s="64"/>
      <c r="W131" s="473"/>
      <c r="X131" s="130" t="s">
        <v>1344</v>
      </c>
      <c r="Y131" s="167" t="e">
        <f t="shared" si="69"/>
        <v>#DIV/0!</v>
      </c>
      <c r="Z131" s="167" t="e">
        <f t="shared" si="68"/>
        <v>#DIV/0!</v>
      </c>
      <c r="AA131" s="167" t="e">
        <f t="shared" si="68"/>
        <v>#DIV/0!</v>
      </c>
      <c r="AB131" s="167" t="e">
        <f t="shared" si="68"/>
        <v>#DIV/0!</v>
      </c>
      <c r="AC131" s="167" t="e">
        <f t="shared" si="68"/>
        <v>#DIV/0!</v>
      </c>
      <c r="AD131" s="167" t="e">
        <f t="shared" si="68"/>
        <v>#DIV/0!</v>
      </c>
      <c r="AE131" s="167" t="e">
        <f t="shared" si="68"/>
        <v>#DIV/0!</v>
      </c>
      <c r="AF131" s="167" t="e">
        <f t="shared" si="68"/>
        <v>#DIV/0!</v>
      </c>
      <c r="AG131" s="167" t="e">
        <f t="shared" si="68"/>
        <v>#DIV/0!</v>
      </c>
      <c r="AH131" s="167" t="e">
        <f t="shared" si="68"/>
        <v>#DIV/0!</v>
      </c>
      <c r="AI131" s="167" t="e">
        <f t="shared" si="68"/>
        <v>#DIV/0!</v>
      </c>
      <c r="AJ131" s="167" t="e">
        <f t="shared" si="68"/>
        <v>#DIV/0!</v>
      </c>
      <c r="AK131" s="167" t="e">
        <f t="shared" si="68"/>
        <v>#DIV/0!</v>
      </c>
      <c r="AL131" s="167" t="e">
        <f t="shared" si="68"/>
        <v>#DIV/0!</v>
      </c>
      <c r="AM131" s="167" t="e">
        <f t="shared" si="68"/>
        <v>#DIV/0!</v>
      </c>
      <c r="AN131" s="167" t="e">
        <f t="shared" si="68"/>
        <v>#DIV/0!</v>
      </c>
      <c r="AO131" s="167" t="e">
        <f t="shared" si="68"/>
        <v>#DIV/0!</v>
      </c>
    </row>
    <row r="132" spans="2:41" x14ac:dyDescent="0.15">
      <c r="B132" s="471" t="s">
        <v>28</v>
      </c>
      <c r="C132" s="128" t="s">
        <v>1002</v>
      </c>
      <c r="D132" s="94" cm="1">
        <f t="array" ref="D132">SUM(SUMIFS('caseload data'!E:E,'caseload data'!$D:$D,"PO",'caseload data'!$A:$A,$B$132,'caseload data'!$B:$B,{"licence","community"}))</f>
        <v>0</v>
      </c>
      <c r="E132" s="94" cm="1">
        <f t="array" ref="E132">SUM(SUMIFS('caseload data'!F:F,'caseload data'!$D:$D,"PO",'caseload data'!$A:$A,$B$132,'caseload data'!$B:$B,{"licence","community"}))</f>
        <v>0</v>
      </c>
      <c r="F132" s="94" cm="1">
        <f t="array" ref="F132">SUM(SUMIFS('caseload data'!G:G,'caseload data'!$D:$D,"PO",'caseload data'!$A:$A,$B$132,'caseload data'!$B:$B,{"licence","community"}))</f>
        <v>0</v>
      </c>
      <c r="G132" s="94" cm="1">
        <f t="array" ref="G132">SUM(SUMIFS('caseload data'!H:H,'caseload data'!$D:$D,"PO",'caseload data'!$A:$A,$B$132,'caseload data'!$B:$B,{"licence","community"}))</f>
        <v>0</v>
      </c>
      <c r="H132" s="94" cm="1">
        <f t="array" ref="H132">SUM(SUMIFS('caseload data'!I:I,'caseload data'!$D:$D,"PO",'caseload data'!$A:$A,$B$132,'caseload data'!$B:$B,{"licence","community"}))</f>
        <v>0</v>
      </c>
      <c r="I132" s="94" cm="1">
        <f t="array" ref="I132">SUM(SUMIFS('caseload data'!J:J,'caseload data'!$D:$D,"PO",'caseload data'!$A:$A,$B$132,'caseload data'!$B:$B,{"licence","community"}))</f>
        <v>0</v>
      </c>
      <c r="J132" s="94" cm="1">
        <f t="array" ref="J132">SUM(SUMIFS('caseload data'!K:K,'caseload data'!$D:$D,"PO",'caseload data'!$A:$A,$B$132,'caseload data'!$B:$B,{"licence","community"}))</f>
        <v>0</v>
      </c>
      <c r="K132" s="94" cm="1">
        <f t="array" ref="K132">SUM(SUMIFS('caseload data'!L:L,'caseload data'!$D:$D,"PO",'caseload data'!$A:$A,$B$132,'caseload data'!$B:$B,{"licence","community"}))</f>
        <v>0</v>
      </c>
      <c r="L132" s="94" cm="1">
        <f t="array" ref="L132">SUM(SUMIFS('caseload data'!M:M,'caseload data'!$D:$D,"PO",'caseload data'!$A:$A,$B$132,'caseload data'!$B:$B,{"licence","community"}))</f>
        <v>0</v>
      </c>
      <c r="M132" s="94" cm="1">
        <f t="array" ref="M132">SUM(SUMIFS('caseload data'!N:N,'caseload data'!$D:$D,"PO",'caseload data'!$A:$A,$B$132,'caseload data'!$B:$B,{"licence","community"}))</f>
        <v>0</v>
      </c>
      <c r="N132" s="94" cm="1">
        <f t="array" ref="N132">SUM(SUMIFS('caseload data'!O:O,'caseload data'!$D:$D,"PO",'caseload data'!$A:$A,$B$132,'caseload data'!$B:$B,{"licence","community"}))</f>
        <v>0</v>
      </c>
      <c r="O132" s="94" cm="1">
        <f t="array" ref="O132">SUM(SUMIFS('caseload data'!P:P,'caseload data'!$D:$D,"PO",'caseload data'!$A:$A,$B$132,'caseload data'!$B:$B,{"licence","community"}))</f>
        <v>0</v>
      </c>
      <c r="P132" s="94" cm="1">
        <f t="array" ref="P132">SUM(SUMIFS('caseload data'!Q:Q,'caseload data'!$D:$D,"PO",'caseload data'!$A:$A,$B$132,'caseload data'!$B:$B,{"licence","community"}))</f>
        <v>0</v>
      </c>
      <c r="Q132" s="94" cm="1">
        <f t="array" ref="Q132">SUM(SUMIFS('caseload data'!R:R,'caseload data'!$D:$D,"PO",'caseload data'!$A:$A,$B$132,'caseload data'!$B:$B,{"licence","community"}))</f>
        <v>0</v>
      </c>
      <c r="R132" s="94" cm="1">
        <f t="array" ref="R132">SUM(SUMIFS('caseload data'!S:S,'caseload data'!$D:$D,"PO",'caseload data'!$A:$A,$B$132,'caseload data'!$B:$B,{"licence","community"}))</f>
        <v>0</v>
      </c>
      <c r="S132" s="94" cm="1">
        <f t="array" ref="S132">SUM(SUMIFS('caseload data'!T:T,'caseload data'!$D:$D,"PO",'caseload data'!$A:$A,$B$132,'caseload data'!$B:$B,{"licence","community"}))</f>
        <v>0</v>
      </c>
      <c r="T132" s="94">
        <f>SUM(SUMIFS('caseload data'!V:V,'caseload data'!D:D,"PO",'caseload data'!A:A,B132,'caseload data'!B:B,{"licence","community"}))</f>
        <v>0</v>
      </c>
      <c r="U132" s="64"/>
      <c r="V132" s="64"/>
      <c r="W132" s="471" t="s">
        <v>28</v>
      </c>
      <c r="X132" s="128" t="s">
        <v>1002</v>
      </c>
      <c r="Y132" s="167" t="e">
        <f>SUM(D132)/SUM(D$132:D$136)</f>
        <v>#DIV/0!</v>
      </c>
      <c r="Z132" s="167" t="e">
        <f t="shared" ref="Z132:AO136" si="70">SUM(E132)/SUM(E$132:E$136)</f>
        <v>#DIV/0!</v>
      </c>
      <c r="AA132" s="167" t="e">
        <f t="shared" si="70"/>
        <v>#DIV/0!</v>
      </c>
      <c r="AB132" s="167" t="e">
        <f t="shared" si="70"/>
        <v>#DIV/0!</v>
      </c>
      <c r="AC132" s="167" t="e">
        <f t="shared" si="70"/>
        <v>#DIV/0!</v>
      </c>
      <c r="AD132" s="167" t="e">
        <f t="shared" si="70"/>
        <v>#DIV/0!</v>
      </c>
      <c r="AE132" s="167" t="e">
        <f t="shared" si="70"/>
        <v>#DIV/0!</v>
      </c>
      <c r="AF132" s="167" t="e">
        <f t="shared" si="70"/>
        <v>#DIV/0!</v>
      </c>
      <c r="AG132" s="167" t="e">
        <f t="shared" si="70"/>
        <v>#DIV/0!</v>
      </c>
      <c r="AH132" s="167" t="e">
        <f t="shared" si="70"/>
        <v>#DIV/0!</v>
      </c>
      <c r="AI132" s="167" t="e">
        <f t="shared" si="70"/>
        <v>#DIV/0!</v>
      </c>
      <c r="AJ132" s="167" t="e">
        <f t="shared" si="70"/>
        <v>#DIV/0!</v>
      </c>
      <c r="AK132" s="167" t="e">
        <f t="shared" si="70"/>
        <v>#DIV/0!</v>
      </c>
      <c r="AL132" s="167" t="e">
        <f t="shared" si="70"/>
        <v>#DIV/0!</v>
      </c>
      <c r="AM132" s="167" t="e">
        <f t="shared" si="70"/>
        <v>#DIV/0!</v>
      </c>
      <c r="AN132" s="167" t="e">
        <f t="shared" si="70"/>
        <v>#DIV/0!</v>
      </c>
      <c r="AO132" s="167" t="e">
        <f t="shared" si="70"/>
        <v>#DIV/0!</v>
      </c>
    </row>
    <row r="133" spans="2:41" x14ac:dyDescent="0.15">
      <c r="B133" s="472"/>
      <c r="C133" s="129" t="s">
        <v>1007</v>
      </c>
      <c r="D133" s="94" cm="1">
        <f t="array" ref="D133">SUM(SUMIFS('caseload data'!E:E,'caseload data'!$D:$D,"PSO",'caseload data'!$A:$A,"Yorkshire and The Humber",'caseload data'!$B:$B,{"licence","community"}))</f>
        <v>0</v>
      </c>
      <c r="E133" s="94" cm="1">
        <f t="array" ref="E133">SUM(SUMIFS('caseload data'!F:F,'caseload data'!$D:$D,"PSO",'caseload data'!$A:$A,"Yorkshire and The Humber",'caseload data'!$B:$B,{"licence","community"}))</f>
        <v>0</v>
      </c>
      <c r="F133" s="94" cm="1">
        <f t="array" ref="F133">SUM(SUMIFS('caseload data'!G:G,'caseload data'!$D:$D,"PSO",'caseload data'!$A:$A,"Yorkshire and The Humber",'caseload data'!$B:$B,{"licence","community"}))</f>
        <v>0</v>
      </c>
      <c r="G133" s="94" cm="1">
        <f t="array" ref="G133">SUM(SUMIFS('caseload data'!H:H,'caseload data'!$D:$D,"PSO",'caseload data'!$A:$A,"Yorkshire and The Humber",'caseload data'!$B:$B,{"licence","community"}))</f>
        <v>0</v>
      </c>
      <c r="H133" s="94" cm="1">
        <f t="array" ref="H133">SUM(SUMIFS('caseload data'!I:I,'caseload data'!$D:$D,"PSO",'caseload data'!$A:$A,"Yorkshire and The Humber",'caseload data'!$B:$B,{"licence","community"}))</f>
        <v>0</v>
      </c>
      <c r="I133" s="94" cm="1">
        <f t="array" ref="I133">SUM(SUMIFS('caseload data'!J:J,'caseload data'!$D:$D,"PSO",'caseload data'!$A:$A,"Yorkshire and The Humber",'caseload data'!$B:$B,{"licence","community"}))</f>
        <v>0</v>
      </c>
      <c r="J133" s="94" cm="1">
        <f t="array" ref="J133">SUM(SUMIFS('caseload data'!K:K,'caseload data'!$D:$D,"PSO",'caseload data'!$A:$A,"Yorkshire and The Humber",'caseload data'!$B:$B,{"licence","community"}))</f>
        <v>0</v>
      </c>
      <c r="K133" s="94" cm="1">
        <f t="array" ref="K133">SUM(SUMIFS('caseload data'!L:L,'caseload data'!$D:$D,"PSO",'caseload data'!$A:$A,"Yorkshire and The Humber",'caseload data'!$B:$B,{"licence","community"}))</f>
        <v>0</v>
      </c>
      <c r="L133" s="94" cm="1">
        <f t="array" ref="L133">SUM(SUMIFS('caseload data'!M:M,'caseload data'!$D:$D,"PSO",'caseload data'!$A:$A,"Yorkshire and The Humber",'caseload data'!$B:$B,{"licence","community"}))</f>
        <v>0</v>
      </c>
      <c r="M133" s="94" cm="1">
        <f t="array" ref="M133">SUM(SUMIFS('caseload data'!N:N,'caseload data'!$D:$D,"PSO",'caseload data'!$A:$A,"Yorkshire and The Humber",'caseload data'!$B:$B,{"licence","community"}))</f>
        <v>0</v>
      </c>
      <c r="N133" s="94" cm="1">
        <f t="array" ref="N133">SUM(SUMIFS('caseload data'!O:O,'caseload data'!$D:$D,"PSO",'caseload data'!$A:$A,"Yorkshire and The Humber",'caseload data'!$B:$B,{"licence","community"}))</f>
        <v>0</v>
      </c>
      <c r="O133" s="94" cm="1">
        <f t="array" ref="O133">SUM(SUMIFS('caseload data'!P:P,'caseload data'!$D:$D,"PSO",'caseload data'!$A:$A,"Yorkshire and The Humber",'caseload data'!$B:$B,{"licence","community"}))</f>
        <v>0</v>
      </c>
      <c r="P133" s="94" cm="1">
        <f t="array" ref="P133">SUM(SUMIFS('caseload data'!Q:Q,'caseload data'!$D:$D,"PSO",'caseload data'!$A:$A,"Yorkshire and The Humber",'caseload data'!$B:$B,{"licence","community"}))</f>
        <v>0</v>
      </c>
      <c r="Q133" s="94" cm="1">
        <f t="array" ref="Q133">SUM(SUMIFS('caseload data'!R:R,'caseload data'!$D:$D,"PSO",'caseload data'!$A:$A,"Yorkshire and The Humber",'caseload data'!$B:$B,{"licence","community"}))</f>
        <v>0</v>
      </c>
      <c r="R133" s="94" cm="1">
        <f t="array" ref="R133">SUM(SUMIFS('caseload data'!S:S,'caseload data'!$D:$D,"PSO",'caseload data'!$A:$A,"Yorkshire and The Humber",'caseload data'!$B:$B,{"licence","community"}))</f>
        <v>0</v>
      </c>
      <c r="S133" s="94" cm="1">
        <f t="array" ref="S133">SUM(SUMIFS('caseload data'!T:T,'caseload data'!$D:$D,"PSO",'caseload data'!$A:$A,"Yorkshire and The Humber",'caseload data'!$B:$B,{"licence","community"}))</f>
        <v>0</v>
      </c>
      <c r="T133" s="94" cm="1">
        <f t="array" ref="T133">SUM(SUMIFS('caseload data'!V:V,'caseload data'!$D:$D,"PSO",'caseload data'!$A:$A,"Yorkshire and The Humber",'caseload data'!$B:$B,{"licence","community"}))</f>
        <v>0</v>
      </c>
      <c r="U133" s="64"/>
      <c r="V133" s="64"/>
      <c r="W133" s="472"/>
      <c r="X133" s="129" t="s">
        <v>1007</v>
      </c>
      <c r="Y133" s="167" t="e">
        <f t="shared" ref="Y133:Y136" si="71">SUM(D133)/SUM(D$132:D$136)</f>
        <v>#DIV/0!</v>
      </c>
      <c r="Z133" s="167" t="e">
        <f t="shared" si="70"/>
        <v>#DIV/0!</v>
      </c>
      <c r="AA133" s="167" t="e">
        <f t="shared" si="70"/>
        <v>#DIV/0!</v>
      </c>
      <c r="AB133" s="167" t="e">
        <f t="shared" si="70"/>
        <v>#DIV/0!</v>
      </c>
      <c r="AC133" s="167" t="e">
        <f t="shared" si="70"/>
        <v>#DIV/0!</v>
      </c>
      <c r="AD133" s="167" t="e">
        <f t="shared" si="70"/>
        <v>#DIV/0!</v>
      </c>
      <c r="AE133" s="167" t="e">
        <f t="shared" si="70"/>
        <v>#DIV/0!</v>
      </c>
      <c r="AF133" s="167" t="e">
        <f t="shared" si="70"/>
        <v>#DIV/0!</v>
      </c>
      <c r="AG133" s="167" t="e">
        <f t="shared" si="70"/>
        <v>#DIV/0!</v>
      </c>
      <c r="AH133" s="167" t="e">
        <f t="shared" si="70"/>
        <v>#DIV/0!</v>
      </c>
      <c r="AI133" s="167" t="e">
        <f t="shared" si="70"/>
        <v>#DIV/0!</v>
      </c>
      <c r="AJ133" s="167" t="e">
        <f t="shared" si="70"/>
        <v>#DIV/0!</v>
      </c>
      <c r="AK133" s="167" t="e">
        <f t="shared" si="70"/>
        <v>#DIV/0!</v>
      </c>
      <c r="AL133" s="167" t="e">
        <f t="shared" si="70"/>
        <v>#DIV/0!</v>
      </c>
      <c r="AM133" s="167" t="e">
        <f t="shared" si="70"/>
        <v>#DIV/0!</v>
      </c>
      <c r="AN133" s="167" t="e">
        <f t="shared" si="70"/>
        <v>#DIV/0!</v>
      </c>
      <c r="AO133" s="167" t="e">
        <f t="shared" si="70"/>
        <v>#DIV/0!</v>
      </c>
    </row>
    <row r="134" spans="2:41" x14ac:dyDescent="0.15">
      <c r="B134" s="472"/>
      <c r="C134" s="129" t="s">
        <v>1008</v>
      </c>
      <c r="D134" s="94" cm="1">
        <f t="array" ref="D134">SUM(SUMIFS('caseload data'!E:E,'caseload data'!$D:$D,"TPO",'caseload data'!$A:$A,"Yorkshire and The Humber",'caseload data'!$B:$B,{"licence","community"}))</f>
        <v>0</v>
      </c>
      <c r="E134" s="94" cm="1">
        <f t="array" ref="E134">SUM(SUMIFS('caseload data'!F:F,'caseload data'!$D:$D,"TPO",'caseload data'!$A:$A,"Yorkshire and The Humber",'caseload data'!$B:$B,{"licence","community"}))</f>
        <v>0</v>
      </c>
      <c r="F134" s="94" cm="1">
        <f t="array" ref="F134">SUM(SUMIFS('caseload data'!G:G,'caseload data'!$D:$D,"TPO",'caseload data'!$A:$A,"Yorkshire and The Humber",'caseload data'!$B:$B,{"licence","community"}))</f>
        <v>0</v>
      </c>
      <c r="G134" s="94" cm="1">
        <f t="array" ref="G134">SUM(SUMIFS('caseload data'!H:H,'caseload data'!$D:$D,"TPO",'caseload data'!$A:$A,"Yorkshire and The Humber",'caseload data'!$B:$B,{"licence","community"}))</f>
        <v>0</v>
      </c>
      <c r="H134" s="94" cm="1">
        <f t="array" ref="H134">SUM(SUMIFS('caseload data'!I:I,'caseload data'!$D:$D,"TPO",'caseload data'!$A:$A,"Yorkshire and The Humber",'caseload data'!$B:$B,{"licence","community"}))</f>
        <v>0</v>
      </c>
      <c r="I134" s="94" cm="1">
        <f t="array" ref="I134">SUM(SUMIFS('caseload data'!J:J,'caseload data'!$D:$D,"TPO",'caseload data'!$A:$A,"Yorkshire and The Humber",'caseload data'!$B:$B,{"licence","community"}))</f>
        <v>0</v>
      </c>
      <c r="J134" s="94" cm="1">
        <f t="array" ref="J134">SUM(SUMIFS('caseload data'!K:K,'caseload data'!$D:$D,"TPO",'caseload data'!$A:$A,"Yorkshire and The Humber",'caseload data'!$B:$B,{"licence","community"}))</f>
        <v>0</v>
      </c>
      <c r="K134" s="94" cm="1">
        <f t="array" ref="K134">SUM(SUMIFS('caseload data'!L:L,'caseload data'!$D:$D,"TPO",'caseload data'!$A:$A,"Yorkshire and The Humber",'caseload data'!$B:$B,{"licence","community"}))</f>
        <v>0</v>
      </c>
      <c r="L134" s="94" cm="1">
        <f t="array" ref="L134">SUM(SUMIFS('caseload data'!M:M,'caseload data'!$D:$D,"TPO",'caseload data'!$A:$A,"Yorkshire and The Humber",'caseload data'!$B:$B,{"licence","community"}))</f>
        <v>0</v>
      </c>
      <c r="M134" s="94" cm="1">
        <f t="array" ref="M134">SUM(SUMIFS('caseload data'!N:N,'caseload data'!$D:$D,"TPO",'caseload data'!$A:$A,"Yorkshire and The Humber",'caseload data'!$B:$B,{"licence","community"}))</f>
        <v>0</v>
      </c>
      <c r="N134" s="94" cm="1">
        <f t="array" ref="N134">SUM(SUMIFS('caseload data'!O:O,'caseload data'!$D:$D,"TPO",'caseload data'!$A:$A,"Yorkshire and The Humber",'caseload data'!$B:$B,{"licence","community"}))</f>
        <v>0</v>
      </c>
      <c r="O134" s="94" cm="1">
        <f t="array" ref="O134">SUM(SUMIFS('caseload data'!P:P,'caseload data'!$D:$D,"TPO",'caseload data'!$A:$A,"Yorkshire and The Humber",'caseload data'!$B:$B,{"licence","community"}))</f>
        <v>0</v>
      </c>
      <c r="P134" s="94" cm="1">
        <f t="array" ref="P134">SUM(SUMIFS('caseload data'!Q:Q,'caseload data'!$D:$D,"TPO",'caseload data'!$A:$A,"Yorkshire and The Humber",'caseload data'!$B:$B,{"licence","community"}))</f>
        <v>0</v>
      </c>
      <c r="Q134" s="94" cm="1">
        <f t="array" ref="Q134">SUM(SUMIFS('caseload data'!R:R,'caseload data'!$D:$D,"TPO",'caseload data'!$A:$A,"Yorkshire and The Humber",'caseload data'!$B:$B,{"licence","community"}))</f>
        <v>0</v>
      </c>
      <c r="R134" s="94" cm="1">
        <f t="array" ref="R134">SUM(SUMIFS('caseload data'!S:S,'caseload data'!$D:$D,"TPO",'caseload data'!$A:$A,"Yorkshire and The Humber",'caseload data'!$B:$B,{"licence","community"}))</f>
        <v>0</v>
      </c>
      <c r="S134" s="94" cm="1">
        <f t="array" ref="S134">SUM(SUMIFS('caseload data'!T:T,'caseload data'!$D:$D,"TPO",'caseload data'!$A:$A,"Yorkshire and The Humber",'caseload data'!$B:$B,{"licence","community"}))</f>
        <v>0</v>
      </c>
      <c r="T134" s="94" cm="1">
        <f t="array" ref="T134">SUM(SUMIFS('caseload data'!V:V,'caseload data'!D:D,"TPO",'caseload data'!A:A,"Yorkshire and The Humber",'caseload data'!B:B,{"licence","community"}))</f>
        <v>0</v>
      </c>
      <c r="U134" s="64"/>
      <c r="V134" s="64"/>
      <c r="W134" s="472"/>
      <c r="X134" s="129" t="s">
        <v>1008</v>
      </c>
      <c r="Y134" s="167" t="e">
        <f t="shared" si="71"/>
        <v>#DIV/0!</v>
      </c>
      <c r="Z134" s="167" t="e">
        <f t="shared" si="70"/>
        <v>#DIV/0!</v>
      </c>
      <c r="AA134" s="167" t="e">
        <f t="shared" si="70"/>
        <v>#DIV/0!</v>
      </c>
      <c r="AB134" s="167" t="e">
        <f t="shared" si="70"/>
        <v>#DIV/0!</v>
      </c>
      <c r="AC134" s="167" t="e">
        <f t="shared" si="70"/>
        <v>#DIV/0!</v>
      </c>
      <c r="AD134" s="167" t="e">
        <f t="shared" si="70"/>
        <v>#DIV/0!</v>
      </c>
      <c r="AE134" s="167" t="e">
        <f t="shared" si="70"/>
        <v>#DIV/0!</v>
      </c>
      <c r="AF134" s="167" t="e">
        <f t="shared" si="70"/>
        <v>#DIV/0!</v>
      </c>
      <c r="AG134" s="167" t="e">
        <f t="shared" si="70"/>
        <v>#DIV/0!</v>
      </c>
      <c r="AH134" s="167" t="e">
        <f t="shared" si="70"/>
        <v>#DIV/0!</v>
      </c>
      <c r="AI134" s="167" t="e">
        <f t="shared" si="70"/>
        <v>#DIV/0!</v>
      </c>
      <c r="AJ134" s="167" t="e">
        <f t="shared" si="70"/>
        <v>#DIV/0!</v>
      </c>
      <c r="AK134" s="167" t="e">
        <f t="shared" si="70"/>
        <v>#DIV/0!</v>
      </c>
      <c r="AL134" s="167" t="e">
        <f t="shared" si="70"/>
        <v>#DIV/0!</v>
      </c>
      <c r="AM134" s="167" t="e">
        <f t="shared" si="70"/>
        <v>#DIV/0!</v>
      </c>
      <c r="AN134" s="167" t="e">
        <f t="shared" si="70"/>
        <v>#DIV/0!</v>
      </c>
      <c r="AO134" s="167" t="e">
        <f t="shared" si="70"/>
        <v>#DIV/0!</v>
      </c>
    </row>
    <row r="135" spans="2:41" x14ac:dyDescent="0.15">
      <c r="B135" s="472"/>
      <c r="C135" s="129" t="s">
        <v>1009</v>
      </c>
      <c r="D135" s="94" cm="1">
        <f t="array" ref="D135">SUM(SUMIFS('caseload data'!E:E,'caseload data'!$D:$D,"SPO",'caseload data'!$A:$A,"Yorkshire and The Humber",'caseload data'!$B:$B,{"licence","community"}))</f>
        <v>0</v>
      </c>
      <c r="E135" s="94" cm="1">
        <f t="array" ref="E135">SUM(SUMIFS('caseload data'!F:F,'caseload data'!$D:$D,"SPO",'caseload data'!$A:$A,"Yorkshire and The Humber",'caseload data'!$B:$B,{"licence","community"}))</f>
        <v>0</v>
      </c>
      <c r="F135" s="94" cm="1">
        <f t="array" ref="F135">SUM(SUMIFS('caseload data'!G:G,'caseload data'!$D:$D,"SPO",'caseload data'!$A:$A,"Yorkshire and The Humber",'caseload data'!$B:$B,{"licence","community"}))</f>
        <v>0</v>
      </c>
      <c r="G135" s="94" cm="1">
        <f t="array" ref="G135">SUM(SUMIFS('caseload data'!H:H,'caseload data'!$D:$D,"SPO",'caseload data'!$A:$A,"Yorkshire and The Humber",'caseload data'!$B:$B,{"licence","community"}))</f>
        <v>0</v>
      </c>
      <c r="H135" s="94" cm="1">
        <f t="array" ref="H135">SUM(SUMIFS('caseload data'!I:I,'caseload data'!$D:$D,"SPO",'caseload data'!$A:$A,"Yorkshire and The Humber",'caseload data'!$B:$B,{"licence","community"}))</f>
        <v>0</v>
      </c>
      <c r="I135" s="94" cm="1">
        <f t="array" ref="I135">SUM(SUMIFS('caseload data'!J:J,'caseload data'!$D:$D,"SPO",'caseload data'!$A:$A,"Yorkshire and The Humber",'caseload data'!$B:$B,{"licence","community"}))</f>
        <v>0</v>
      </c>
      <c r="J135" s="94" cm="1">
        <f t="array" ref="J135">SUM(SUMIFS('caseload data'!K:K,'caseload data'!$D:$D,"SPO",'caseload data'!$A:$A,"Yorkshire and The Humber",'caseload data'!$B:$B,{"licence","community"}))</f>
        <v>0</v>
      </c>
      <c r="K135" s="94" cm="1">
        <f t="array" ref="K135">SUM(SUMIFS('caseload data'!L:L,'caseload data'!$D:$D,"SPO",'caseload data'!$A:$A,"Yorkshire and The Humber",'caseload data'!$B:$B,{"licence","community"}))</f>
        <v>0</v>
      </c>
      <c r="L135" s="94" cm="1">
        <f t="array" ref="L135">SUM(SUMIFS('caseload data'!M:M,'caseload data'!$D:$D,"SPO",'caseload data'!$A:$A,"Yorkshire and The Humber",'caseload data'!$B:$B,{"licence","community"}))</f>
        <v>0</v>
      </c>
      <c r="M135" s="94" cm="1">
        <f t="array" ref="M135">SUM(SUMIFS('caseload data'!N:N,'caseload data'!$D:$D,"SPO",'caseload data'!$A:$A,"Yorkshire and The Humber",'caseload data'!$B:$B,{"licence","community"}))</f>
        <v>0</v>
      </c>
      <c r="N135" s="94" cm="1">
        <f t="array" ref="N135">SUM(SUMIFS('caseload data'!O:O,'caseload data'!$D:$D,"SPO",'caseload data'!$A:$A,"Yorkshire and The Humber",'caseload data'!$B:$B,{"licence","community"}))</f>
        <v>0</v>
      </c>
      <c r="O135" s="94" cm="1">
        <f t="array" ref="O135">SUM(SUMIFS('caseload data'!P:P,'caseload data'!$D:$D,"SPO",'caseload data'!$A:$A,"Yorkshire and The Humber",'caseload data'!$B:$B,{"licence","community"}))</f>
        <v>0</v>
      </c>
      <c r="P135" s="94" cm="1">
        <f t="array" ref="P135">SUM(SUMIFS('caseload data'!Q:Q,'caseload data'!$D:$D,"SPO",'caseload data'!$A:$A,"Yorkshire and The Humber",'caseload data'!$B:$B,{"licence","community"}))</f>
        <v>0</v>
      </c>
      <c r="Q135" s="94" cm="1">
        <f t="array" ref="Q135">SUM(SUMIFS('caseload data'!R:R,'caseload data'!$D:$D,"SPO",'caseload data'!$A:$A,"Yorkshire and The Humber",'caseload data'!$B:$B,{"licence","community"}))</f>
        <v>0</v>
      </c>
      <c r="R135" s="94" cm="1">
        <f t="array" ref="R135">SUM(SUMIFS('caseload data'!S:S,'caseload data'!$D:$D,"SPO",'caseload data'!$A:$A,"Yorkshire and The Humber",'caseload data'!$B:$B,{"licence","community"}))</f>
        <v>0</v>
      </c>
      <c r="S135" s="94" cm="1">
        <f t="array" ref="S135">SUM(SUMIFS('caseload data'!T:T,'caseload data'!$D:$D,"SPO",'caseload data'!$A:$A,"Yorkshire and The Humber",'caseload data'!$B:$B,{"licence","community"}))</f>
        <v>0</v>
      </c>
      <c r="T135" s="94" cm="1">
        <f t="array" ref="T135">SUM(SUMIFS('caseload data'!V:V,'caseload data'!$D:$D,"SPO",'caseload data'!$A:$A,"Yorkshire and The Humber",'caseload data'!$B:$B,{"licence","community"}))</f>
        <v>0</v>
      </c>
      <c r="U135" s="64"/>
      <c r="V135" s="64"/>
      <c r="W135" s="472"/>
      <c r="X135" s="129" t="s">
        <v>1009</v>
      </c>
      <c r="Y135" s="167" t="e">
        <f t="shared" si="71"/>
        <v>#DIV/0!</v>
      </c>
      <c r="Z135" s="167" t="e">
        <f t="shared" si="70"/>
        <v>#DIV/0!</v>
      </c>
      <c r="AA135" s="167" t="e">
        <f t="shared" si="70"/>
        <v>#DIV/0!</v>
      </c>
      <c r="AB135" s="167" t="e">
        <f t="shared" si="70"/>
        <v>#DIV/0!</v>
      </c>
      <c r="AC135" s="167" t="e">
        <f t="shared" si="70"/>
        <v>#DIV/0!</v>
      </c>
      <c r="AD135" s="167" t="e">
        <f t="shared" si="70"/>
        <v>#DIV/0!</v>
      </c>
      <c r="AE135" s="167" t="e">
        <f t="shared" si="70"/>
        <v>#DIV/0!</v>
      </c>
      <c r="AF135" s="167" t="e">
        <f t="shared" si="70"/>
        <v>#DIV/0!</v>
      </c>
      <c r="AG135" s="167" t="e">
        <f t="shared" si="70"/>
        <v>#DIV/0!</v>
      </c>
      <c r="AH135" s="167" t="e">
        <f t="shared" si="70"/>
        <v>#DIV/0!</v>
      </c>
      <c r="AI135" s="167" t="e">
        <f t="shared" si="70"/>
        <v>#DIV/0!</v>
      </c>
      <c r="AJ135" s="167" t="e">
        <f t="shared" si="70"/>
        <v>#DIV/0!</v>
      </c>
      <c r="AK135" s="167" t="e">
        <f t="shared" si="70"/>
        <v>#DIV/0!</v>
      </c>
      <c r="AL135" s="167" t="e">
        <f t="shared" si="70"/>
        <v>#DIV/0!</v>
      </c>
      <c r="AM135" s="167" t="e">
        <f t="shared" si="70"/>
        <v>#DIV/0!</v>
      </c>
      <c r="AN135" s="167" t="e">
        <f t="shared" si="70"/>
        <v>#DIV/0!</v>
      </c>
      <c r="AO135" s="167" t="e">
        <f t="shared" si="70"/>
        <v>#DIV/0!</v>
      </c>
    </row>
    <row r="136" spans="2:41" ht="15" thickBot="1" x14ac:dyDescent="0.2">
      <c r="B136" s="472"/>
      <c r="C136" s="129" t="s">
        <v>1344</v>
      </c>
      <c r="D136" s="377" cm="1">
        <f t="array" ref="D136">SUM(SUMIFS('caseload data'!E:E,'caseload data'!$D:$D,"DMY",'caseload data'!$A:$A,"Yorkshire and The Humber",'caseload data'!$B:$B,{"licence","community"}))</f>
        <v>0</v>
      </c>
      <c r="E136" s="377" cm="1">
        <f t="array" ref="E136">SUM(SUMIFS('caseload data'!F:F,'caseload data'!$D:$D,"DMY",'caseload data'!$A:$A,"Yorkshire and The Humber",'caseload data'!$B:$B,{"licence","community"}))</f>
        <v>0</v>
      </c>
      <c r="F136" s="377" cm="1">
        <f t="array" ref="F136">SUM(SUMIFS('caseload data'!G:G,'caseload data'!$D:$D,"DMY",'caseload data'!$A:$A,"Yorkshire and The Humber",'caseload data'!$B:$B,{"licence","community"}))</f>
        <v>0</v>
      </c>
      <c r="G136" s="377" cm="1">
        <f t="array" ref="G136">SUM(SUMIFS('caseload data'!H:H,'caseload data'!$D:$D,"DMY",'caseload data'!$A:$A,"Yorkshire and The Humber",'caseload data'!$B:$B,{"licence","community"}))</f>
        <v>0</v>
      </c>
      <c r="H136" s="377" cm="1">
        <f t="array" ref="H136">SUM(SUMIFS('caseload data'!I:I,'caseload data'!$D:$D,"DMY",'caseload data'!$A:$A,"Yorkshire and The Humber",'caseload data'!$B:$B,{"licence","community"}))</f>
        <v>0</v>
      </c>
      <c r="I136" s="377" cm="1">
        <f t="array" ref="I136">SUM(SUMIFS('caseload data'!J:J,'caseload data'!$D:$D,"DMY",'caseload data'!$A:$A,"Yorkshire and The Humber",'caseload data'!$B:$B,{"licence","community"}))</f>
        <v>0</v>
      </c>
      <c r="J136" s="377" cm="1">
        <f t="array" ref="J136">SUM(SUMIFS('caseload data'!K:K,'caseload data'!$D:$D,"DMY",'caseload data'!$A:$A,"Yorkshire and The Humber",'caseload data'!$B:$B,{"licence","community"}))</f>
        <v>0</v>
      </c>
      <c r="K136" s="377" cm="1">
        <f t="array" ref="K136">SUM(SUMIFS('caseload data'!L:L,'caseload data'!$D:$D,"DMY",'caseload data'!$A:$A,"Yorkshire and The Humber",'caseload data'!$B:$B,{"licence","community"}))</f>
        <v>0</v>
      </c>
      <c r="L136" s="377" cm="1">
        <f t="array" ref="L136">SUM(SUMIFS('caseload data'!M:M,'caseload data'!$D:$D,"DMY",'caseload data'!$A:$A,"Yorkshire and The Humber",'caseload data'!$B:$B,{"licence","community"}))</f>
        <v>0</v>
      </c>
      <c r="M136" s="377" cm="1">
        <f t="array" ref="M136">SUM(SUMIFS('caseload data'!N:N,'caseload data'!$D:$D,"DMY",'caseload data'!$A:$A,"Yorkshire and The Humber",'caseload data'!$B:$B,{"licence","community"}))</f>
        <v>0</v>
      </c>
      <c r="N136" s="377" cm="1">
        <f t="array" ref="N136">SUM(SUMIFS('caseload data'!O:O,'caseload data'!$D:$D,"DMY",'caseload data'!$A:$A,"Yorkshire and The Humber",'caseload data'!$B:$B,{"licence","community"}))</f>
        <v>0</v>
      </c>
      <c r="O136" s="377" cm="1">
        <f t="array" ref="O136">SUM(SUMIFS('caseload data'!P:P,'caseload data'!$D:$D,"DMY",'caseload data'!$A:$A,"Yorkshire and The Humber",'caseload data'!$B:$B,{"licence","community"}))</f>
        <v>0</v>
      </c>
      <c r="P136" s="377" cm="1">
        <f t="array" ref="P136">SUM(SUMIFS('caseload data'!Q:Q,'caseload data'!$D:$D,"DMY",'caseload data'!$A:$A,"Yorkshire and The Humber",'caseload data'!$B:$B,{"licence","community"}))</f>
        <v>0</v>
      </c>
      <c r="Q136" s="377" cm="1">
        <f t="array" ref="Q136">SUM(SUMIFS('caseload data'!R:R,'caseload data'!$D:$D,"DMY",'caseload data'!$A:$A,"Yorkshire and The Humber",'caseload data'!$B:$B,{"licence","community"}))</f>
        <v>0</v>
      </c>
      <c r="R136" s="377" cm="1">
        <f t="array" ref="R136">SUM(SUMIFS('caseload data'!S:S,'caseload data'!$D:$D,"DMY",'caseload data'!$A:$A,"Yorkshire and The Humber",'caseload data'!$B:$B,{"licence","community"}))</f>
        <v>0</v>
      </c>
      <c r="S136" s="377" cm="1">
        <f t="array" ref="S136">SUM(SUMIFS('caseload data'!T:T,'caseload data'!$D:$D,"DMY",'caseload data'!$A:$A,"Yorkshire and The Humber",'caseload data'!$B:$B,{"licence","community"}))</f>
        <v>0</v>
      </c>
      <c r="T136" s="377" cm="1">
        <f t="array" ref="T136">SUM(SUMIFS('caseload data'!V:V,'caseload data'!$D:$D,"DMY",'caseload data'!$A:$A,"Yorkshire and The Humber",'caseload data'!$B:$B,{"licence","community"}))</f>
        <v>0</v>
      </c>
      <c r="U136" s="64"/>
      <c r="V136" s="64"/>
      <c r="W136" s="472"/>
      <c r="X136" s="129" t="s">
        <v>1344</v>
      </c>
      <c r="Y136" s="373" t="e">
        <f t="shared" si="71"/>
        <v>#DIV/0!</v>
      </c>
      <c r="Z136" s="373" t="e">
        <f t="shared" si="70"/>
        <v>#DIV/0!</v>
      </c>
      <c r="AA136" s="373" t="e">
        <f t="shared" si="70"/>
        <v>#DIV/0!</v>
      </c>
      <c r="AB136" s="373" t="e">
        <f t="shared" si="70"/>
        <v>#DIV/0!</v>
      </c>
      <c r="AC136" s="373" t="e">
        <f t="shared" si="70"/>
        <v>#DIV/0!</v>
      </c>
      <c r="AD136" s="373" t="e">
        <f t="shared" si="70"/>
        <v>#DIV/0!</v>
      </c>
      <c r="AE136" s="373" t="e">
        <f t="shared" si="70"/>
        <v>#DIV/0!</v>
      </c>
      <c r="AF136" s="373" t="e">
        <f t="shared" si="70"/>
        <v>#DIV/0!</v>
      </c>
      <c r="AG136" s="373" t="e">
        <f t="shared" si="70"/>
        <v>#DIV/0!</v>
      </c>
      <c r="AH136" s="373" t="e">
        <f t="shared" si="70"/>
        <v>#DIV/0!</v>
      </c>
      <c r="AI136" s="373" t="e">
        <f t="shared" si="70"/>
        <v>#DIV/0!</v>
      </c>
      <c r="AJ136" s="373" t="e">
        <f t="shared" si="70"/>
        <v>#DIV/0!</v>
      </c>
      <c r="AK136" s="373" t="e">
        <f t="shared" si="70"/>
        <v>#DIV/0!</v>
      </c>
      <c r="AL136" s="373" t="e">
        <f t="shared" si="70"/>
        <v>#DIV/0!</v>
      </c>
      <c r="AM136" s="373" t="e">
        <f t="shared" si="70"/>
        <v>#DIV/0!</v>
      </c>
      <c r="AN136" s="373" t="e">
        <f t="shared" si="70"/>
        <v>#DIV/0!</v>
      </c>
      <c r="AO136" s="373" t="e">
        <f t="shared" si="70"/>
        <v>#DIV/0!</v>
      </c>
    </row>
    <row r="137" spans="2:41" x14ac:dyDescent="0.15">
      <c r="B137" s="495" t="s">
        <v>964</v>
      </c>
      <c r="C137" s="378" t="s">
        <v>1002</v>
      </c>
      <c r="D137" s="379" cm="1">
        <f t="array" ref="D137">SUM(SUMIFS('caseload data'!E:E,'caseload data'!$D:$D,"PO",'caseload data'!$B:$B,{"licence","community"}))</f>
        <v>0</v>
      </c>
      <c r="E137" s="379" cm="1">
        <f t="array" ref="E137">SUM(SUMIFS('caseload data'!F:F,'caseload data'!$D:$D,"PO",'caseload data'!$B:$B,{"licence","community"}))</f>
        <v>0</v>
      </c>
      <c r="F137" s="379" cm="1">
        <f t="array" ref="F137">SUM(SUMIFS('caseload data'!G:G,'caseload data'!$D:$D,"PO",'caseload data'!$B:$B,{"licence","community"}))</f>
        <v>0</v>
      </c>
      <c r="G137" s="379" cm="1">
        <f t="array" ref="G137">SUM(SUMIFS('caseload data'!H:H,'caseload data'!$D:$D,"PO",'caseload data'!$B:$B,{"licence","community"}))</f>
        <v>0</v>
      </c>
      <c r="H137" s="379" cm="1">
        <f t="array" ref="H137">SUM(SUMIFS('caseload data'!I:I,'caseload data'!$D:$D,"PO",'caseload data'!$B:$B,{"licence","community"}))</f>
        <v>0</v>
      </c>
      <c r="I137" s="379" cm="1">
        <f t="array" ref="I137">SUM(SUMIFS('caseload data'!J:J,'caseload data'!$D:$D,"PO",'caseload data'!$B:$B,{"licence","community"}))</f>
        <v>0</v>
      </c>
      <c r="J137" s="379" cm="1">
        <f t="array" ref="J137">SUM(SUMIFS('caseload data'!K:K,'caseload data'!$D:$D,"PO",'caseload data'!$B:$B,{"licence","community"}))</f>
        <v>0</v>
      </c>
      <c r="K137" s="379" cm="1">
        <f t="array" ref="K137">SUM(SUMIFS('caseload data'!L:L,'caseload data'!$D:$D,"PO",'caseload data'!$B:$B,{"licence","community"}))</f>
        <v>0</v>
      </c>
      <c r="L137" s="379" cm="1">
        <f t="array" ref="L137">SUM(SUMIFS('caseload data'!M:M,'caseload data'!$D:$D,"PO",'caseload data'!$B:$B,{"licence","community"}))</f>
        <v>0</v>
      </c>
      <c r="M137" s="379" cm="1">
        <f t="array" ref="M137">SUM(SUMIFS('caseload data'!N:N,'caseload data'!$D:$D,"PO",'caseload data'!$B:$B,{"licence","community"}))</f>
        <v>0</v>
      </c>
      <c r="N137" s="379" cm="1">
        <f t="array" ref="N137">SUM(SUMIFS('caseload data'!O:O,'caseload data'!$D:$D,"PO",'caseload data'!$B:$B,{"licence","community"}))</f>
        <v>0</v>
      </c>
      <c r="O137" s="379" cm="1">
        <f t="array" ref="O137">SUM(SUMIFS('caseload data'!P:P,'caseload data'!$D:$D,"PO",'caseload data'!$B:$B,{"licence","community"}))</f>
        <v>0</v>
      </c>
      <c r="P137" s="379" cm="1">
        <f t="array" ref="P137">SUM(SUMIFS('caseload data'!Q:Q,'caseload data'!$D:$D,"PO",'caseload data'!$B:$B,{"licence","community"}))</f>
        <v>0</v>
      </c>
      <c r="Q137" s="379" cm="1">
        <f t="array" ref="Q137">SUM(SUMIFS('caseload data'!R:R,'caseload data'!$D:$D,"PO",'caseload data'!$B:$B,{"licence","community"}))</f>
        <v>0</v>
      </c>
      <c r="R137" s="379" cm="1">
        <f t="array" ref="R137">SUM(SUMIFS('caseload data'!S:S,'caseload data'!$D:$D,"PO",'caseload data'!$B:$B,{"licence","community"}))</f>
        <v>0</v>
      </c>
      <c r="S137" s="379" cm="1">
        <f t="array" ref="S137">SUM(SUMIFS('caseload data'!T:T,'caseload data'!$D:$D,"PO",'caseload data'!$B:$B,{"licence","community"}))</f>
        <v>0</v>
      </c>
      <c r="T137" s="380">
        <f>SUM(SUMIFS('caseload data'!V:V,'caseload data'!D:D,"PO",'caseload data'!B:B,{"licence","community"}))</f>
        <v>0</v>
      </c>
      <c r="U137" s="64"/>
      <c r="V137" s="64"/>
      <c r="W137" s="474" t="s">
        <v>964</v>
      </c>
      <c r="X137" s="378" t="s">
        <v>1002</v>
      </c>
      <c r="Y137" s="388" t="e">
        <f>SUM(D137)/SUM(D$137:D$141)</f>
        <v>#DIV/0!</v>
      </c>
      <c r="Z137" s="388" t="e">
        <f t="shared" ref="Z137:AO141" si="72">SUM(E137)/SUM(E$137:E$141)</f>
        <v>#DIV/0!</v>
      </c>
      <c r="AA137" s="388" t="e">
        <f t="shared" si="72"/>
        <v>#DIV/0!</v>
      </c>
      <c r="AB137" s="388" t="e">
        <f t="shared" si="72"/>
        <v>#DIV/0!</v>
      </c>
      <c r="AC137" s="388" t="e">
        <f t="shared" si="72"/>
        <v>#DIV/0!</v>
      </c>
      <c r="AD137" s="388" t="e">
        <f t="shared" si="72"/>
        <v>#DIV/0!</v>
      </c>
      <c r="AE137" s="388" t="e">
        <f t="shared" si="72"/>
        <v>#DIV/0!</v>
      </c>
      <c r="AF137" s="388" t="e">
        <f t="shared" si="72"/>
        <v>#DIV/0!</v>
      </c>
      <c r="AG137" s="388" t="e">
        <f t="shared" si="72"/>
        <v>#DIV/0!</v>
      </c>
      <c r="AH137" s="388" t="e">
        <f t="shared" si="72"/>
        <v>#DIV/0!</v>
      </c>
      <c r="AI137" s="388" t="e">
        <f t="shared" si="72"/>
        <v>#DIV/0!</v>
      </c>
      <c r="AJ137" s="388" t="e">
        <f t="shared" si="72"/>
        <v>#DIV/0!</v>
      </c>
      <c r="AK137" s="388" t="e">
        <f t="shared" si="72"/>
        <v>#DIV/0!</v>
      </c>
      <c r="AL137" s="388" t="e">
        <f t="shared" si="72"/>
        <v>#DIV/0!</v>
      </c>
      <c r="AM137" s="388" t="e">
        <f t="shared" si="72"/>
        <v>#DIV/0!</v>
      </c>
      <c r="AN137" s="388" t="e">
        <f t="shared" si="72"/>
        <v>#DIV/0!</v>
      </c>
      <c r="AO137" s="390" t="e">
        <f t="shared" si="72"/>
        <v>#DIV/0!</v>
      </c>
    </row>
    <row r="138" spans="2:41" x14ac:dyDescent="0.15">
      <c r="B138" s="496"/>
      <c r="C138" s="137" t="s">
        <v>1007</v>
      </c>
      <c r="D138" s="136" cm="1">
        <f t="array" ref="D138">SUM(SUMIFS('caseload data'!E:E,'caseload data'!$D:$D,"PSO",'caseload data'!$B:$B,{"licence","community"}))</f>
        <v>0</v>
      </c>
      <c r="E138" s="136" cm="1">
        <f t="array" ref="E138">SUM(SUMIFS('caseload data'!F:F,'caseload data'!$D:$D,"PSO",'caseload data'!$B:$B,{"licence","community"}))</f>
        <v>0</v>
      </c>
      <c r="F138" s="136" cm="1">
        <f t="array" ref="F138">SUM(SUMIFS('caseload data'!G:G,'caseload data'!$D:$D,"PSO",'caseload data'!$B:$B,{"licence","community"}))</f>
        <v>0</v>
      </c>
      <c r="G138" s="136" cm="1">
        <f t="array" ref="G138">SUM(SUMIFS('caseload data'!H:H,'caseload data'!$D:$D,"PSO",'caseload data'!$B:$B,{"licence","community"}))</f>
        <v>0</v>
      </c>
      <c r="H138" s="136" cm="1">
        <f t="array" ref="H138">SUM(SUMIFS('caseload data'!I:I,'caseload data'!$D:$D,"PSO",'caseload data'!$B:$B,{"licence","community"}))</f>
        <v>0</v>
      </c>
      <c r="I138" s="136" cm="1">
        <f t="array" ref="I138">SUM(SUMIFS('caseload data'!J:J,'caseload data'!$D:$D,"PSO",'caseload data'!$B:$B,{"licence","community"}))</f>
        <v>0</v>
      </c>
      <c r="J138" s="136" cm="1">
        <f t="array" ref="J138">SUM(SUMIFS('caseload data'!K:K,'caseload data'!$D:$D,"PSO",'caseload data'!$B:$B,{"licence","community"}))</f>
        <v>0</v>
      </c>
      <c r="K138" s="136" cm="1">
        <f t="array" ref="K138">SUM(SUMIFS('caseload data'!L:L,'caseload data'!$D:$D,"PSO",'caseload data'!$B:$B,{"licence","community"}))</f>
        <v>0</v>
      </c>
      <c r="L138" s="136" cm="1">
        <f t="array" ref="L138">SUM(SUMIFS('caseload data'!M:M,'caseload data'!$D:$D,"PSO",'caseload data'!$B:$B,{"licence","community"}))</f>
        <v>0</v>
      </c>
      <c r="M138" s="136" cm="1">
        <f t="array" ref="M138">SUM(SUMIFS('caseload data'!N:N,'caseload data'!$D:$D,"PSO",'caseload data'!$B:$B,{"licence","community"}))</f>
        <v>0</v>
      </c>
      <c r="N138" s="136" cm="1">
        <f t="array" ref="N138">SUM(SUMIFS('caseload data'!O:O,'caseload data'!$D:$D,"PSO",'caseload data'!$B:$B,{"licence","community"}))</f>
        <v>0</v>
      </c>
      <c r="O138" s="136" cm="1">
        <f t="array" ref="O138">SUM(SUMIFS('caseload data'!P:P,'caseload data'!$D:$D,"PSO",'caseload data'!$B:$B,{"licence","community"}))</f>
        <v>0</v>
      </c>
      <c r="P138" s="136" cm="1">
        <f t="array" ref="P138">SUM(SUMIFS('caseload data'!Q:Q,'caseload data'!$D:$D,"PSO",'caseload data'!$B:$B,{"licence","community"}))</f>
        <v>0</v>
      </c>
      <c r="Q138" s="136" cm="1">
        <f t="array" ref="Q138">SUM(SUMIFS('caseload data'!R:R,'caseload data'!$D:$D,"PSO",'caseload data'!$B:$B,{"licence","community"}))</f>
        <v>0</v>
      </c>
      <c r="R138" s="136" cm="1">
        <f t="array" ref="R138">SUM(SUMIFS('caseload data'!S:S,'caseload data'!$D:$D,"PSO",'caseload data'!$B:$B,{"licence","community"}))</f>
        <v>0</v>
      </c>
      <c r="S138" s="136" cm="1">
        <f t="array" ref="S138">SUM(SUMIFS('caseload data'!T:T,'caseload data'!$D:$D,"PSO",'caseload data'!$B:$B,{"licence","community"}))</f>
        <v>0</v>
      </c>
      <c r="T138" s="381">
        <f>SUM(SUMIFS('caseload data'!V:V,'caseload data'!D:D,"PSO",'caseload data'!B:B,{"licence","community"}))</f>
        <v>0</v>
      </c>
      <c r="U138" s="64"/>
      <c r="V138" s="64"/>
      <c r="W138" s="475"/>
      <c r="X138" s="137" t="s">
        <v>1007</v>
      </c>
      <c r="Y138" s="138" t="e">
        <f t="shared" ref="Y138:Y141" si="73">SUM(D138)/SUM(D$137:D$141)</f>
        <v>#DIV/0!</v>
      </c>
      <c r="Z138" s="138" t="e">
        <f t="shared" si="72"/>
        <v>#DIV/0!</v>
      </c>
      <c r="AA138" s="138" t="e">
        <f t="shared" si="72"/>
        <v>#DIV/0!</v>
      </c>
      <c r="AB138" s="138" t="e">
        <f t="shared" si="72"/>
        <v>#DIV/0!</v>
      </c>
      <c r="AC138" s="138" t="e">
        <f t="shared" si="72"/>
        <v>#DIV/0!</v>
      </c>
      <c r="AD138" s="138" t="e">
        <f t="shared" si="72"/>
        <v>#DIV/0!</v>
      </c>
      <c r="AE138" s="138" t="e">
        <f t="shared" si="72"/>
        <v>#DIV/0!</v>
      </c>
      <c r="AF138" s="138" t="e">
        <f t="shared" si="72"/>
        <v>#DIV/0!</v>
      </c>
      <c r="AG138" s="138" t="e">
        <f t="shared" si="72"/>
        <v>#DIV/0!</v>
      </c>
      <c r="AH138" s="138" t="e">
        <f t="shared" si="72"/>
        <v>#DIV/0!</v>
      </c>
      <c r="AI138" s="138" t="e">
        <f t="shared" si="72"/>
        <v>#DIV/0!</v>
      </c>
      <c r="AJ138" s="138" t="e">
        <f t="shared" si="72"/>
        <v>#DIV/0!</v>
      </c>
      <c r="AK138" s="138" t="e">
        <f t="shared" si="72"/>
        <v>#DIV/0!</v>
      </c>
      <c r="AL138" s="138" t="e">
        <f t="shared" si="72"/>
        <v>#DIV/0!</v>
      </c>
      <c r="AM138" s="138" t="e">
        <f t="shared" si="72"/>
        <v>#DIV/0!</v>
      </c>
      <c r="AN138" s="138" t="e">
        <f t="shared" si="72"/>
        <v>#DIV/0!</v>
      </c>
      <c r="AO138" s="391" t="e">
        <f t="shared" si="72"/>
        <v>#DIV/0!</v>
      </c>
    </row>
    <row r="139" spans="2:41" x14ac:dyDescent="0.15">
      <c r="B139" s="496"/>
      <c r="C139" s="137" t="s">
        <v>1008</v>
      </c>
      <c r="D139" s="136" cm="1">
        <f t="array" ref="D139">SUM(SUMIFS('caseload data'!E:E,'caseload data'!$D:$D,"TPO",'caseload data'!$B:$B,{"licence","community"}))</f>
        <v>0</v>
      </c>
      <c r="E139" s="136" cm="1">
        <f t="array" ref="E139">SUM(SUMIFS('caseload data'!F:F,'caseload data'!$D:$D,"TPO",'caseload data'!$B:$B,{"licence","community"}))</f>
        <v>0</v>
      </c>
      <c r="F139" s="136" cm="1">
        <f t="array" ref="F139">SUM(SUMIFS('caseload data'!G:G,'caseload data'!$D:$D,"TPO",'caseload data'!$B:$B,{"licence","community"}))</f>
        <v>0</v>
      </c>
      <c r="G139" s="136" cm="1">
        <f t="array" ref="G139">SUM(SUMIFS('caseload data'!H:H,'caseload data'!$D:$D,"TPO",'caseload data'!$B:$B,{"licence","community"}))</f>
        <v>0</v>
      </c>
      <c r="H139" s="136" cm="1">
        <f t="array" ref="H139">SUM(SUMIFS('caseload data'!I:I,'caseload data'!$D:$D,"TPO",'caseload data'!$B:$B,{"licence","community"}))</f>
        <v>0</v>
      </c>
      <c r="I139" s="136" cm="1">
        <f t="array" ref="I139">SUM(SUMIFS('caseload data'!J:J,'caseload data'!$D:$D,"TPO",'caseload data'!$B:$B,{"licence","community"}))</f>
        <v>0</v>
      </c>
      <c r="J139" s="136" cm="1">
        <f t="array" ref="J139">SUM(SUMIFS('caseload data'!K:K,'caseload data'!$D:$D,"TPO",'caseload data'!$B:$B,{"licence","community"}))</f>
        <v>0</v>
      </c>
      <c r="K139" s="136" cm="1">
        <f t="array" ref="K139">SUM(SUMIFS('caseload data'!L:L,'caseload data'!$D:$D,"TPO",'caseload data'!$B:$B,{"licence","community"}))</f>
        <v>0</v>
      </c>
      <c r="L139" s="136" cm="1">
        <f t="array" ref="L139">SUM(SUMIFS('caseload data'!M:M,'caseload data'!$D:$D,"TPO",'caseload data'!$B:$B,{"licence","community"}))</f>
        <v>0</v>
      </c>
      <c r="M139" s="136" cm="1">
        <f t="array" ref="M139">SUM(SUMIFS('caseload data'!N:N,'caseload data'!$D:$D,"TPO",'caseload data'!$B:$B,{"licence","community"}))</f>
        <v>0</v>
      </c>
      <c r="N139" s="136" cm="1">
        <f t="array" ref="N139">SUM(SUMIFS('caseload data'!O:O,'caseload data'!$D:$D,"TPO",'caseload data'!$B:$B,{"licence","community"}))</f>
        <v>0</v>
      </c>
      <c r="O139" s="136" cm="1">
        <f t="array" ref="O139">SUM(SUMIFS('caseload data'!P:P,'caseload data'!$D:$D,"TPO",'caseload data'!$B:$B,{"licence","community"}))</f>
        <v>0</v>
      </c>
      <c r="P139" s="136" cm="1">
        <f t="array" ref="P139">SUM(SUMIFS('caseload data'!Q:Q,'caseload data'!$D:$D,"TPO",'caseload data'!$B:$B,{"licence","community"}))</f>
        <v>0</v>
      </c>
      <c r="Q139" s="136" cm="1">
        <f t="array" ref="Q139">SUM(SUMIFS('caseload data'!R:R,'caseload data'!$D:$D,"TPO",'caseload data'!$B:$B,{"licence","community"}))</f>
        <v>0</v>
      </c>
      <c r="R139" s="136" cm="1">
        <f t="array" ref="R139">SUM(SUMIFS('caseload data'!S:S,'caseload data'!$D:$D,"TPO",'caseload data'!$B:$B,{"licence","community"}))</f>
        <v>0</v>
      </c>
      <c r="S139" s="136" cm="1">
        <f t="array" ref="S139">SUM(SUMIFS('caseload data'!T:T,'caseload data'!$D:$D,"TPO",'caseload data'!$B:$B,{"licence","community"}))</f>
        <v>0</v>
      </c>
      <c r="T139" s="381">
        <f>SUM(SUMIFS('caseload data'!V:V,'caseload data'!D:D,"TPO",'caseload data'!B:B,{"licence","community"}))</f>
        <v>0</v>
      </c>
      <c r="U139" s="64"/>
      <c r="V139" s="64"/>
      <c r="W139" s="475"/>
      <c r="X139" s="137" t="s">
        <v>1008</v>
      </c>
      <c r="Y139" s="138" t="e">
        <f t="shared" si="73"/>
        <v>#DIV/0!</v>
      </c>
      <c r="Z139" s="138" t="e">
        <f t="shared" si="72"/>
        <v>#DIV/0!</v>
      </c>
      <c r="AA139" s="138" t="e">
        <f t="shared" si="72"/>
        <v>#DIV/0!</v>
      </c>
      <c r="AB139" s="138" t="e">
        <f t="shared" si="72"/>
        <v>#DIV/0!</v>
      </c>
      <c r="AC139" s="138" t="e">
        <f t="shared" si="72"/>
        <v>#DIV/0!</v>
      </c>
      <c r="AD139" s="138" t="e">
        <f t="shared" si="72"/>
        <v>#DIV/0!</v>
      </c>
      <c r="AE139" s="138" t="e">
        <f t="shared" si="72"/>
        <v>#DIV/0!</v>
      </c>
      <c r="AF139" s="138" t="e">
        <f t="shared" si="72"/>
        <v>#DIV/0!</v>
      </c>
      <c r="AG139" s="138" t="e">
        <f t="shared" si="72"/>
        <v>#DIV/0!</v>
      </c>
      <c r="AH139" s="138" t="e">
        <f t="shared" si="72"/>
        <v>#DIV/0!</v>
      </c>
      <c r="AI139" s="138" t="e">
        <f t="shared" si="72"/>
        <v>#DIV/0!</v>
      </c>
      <c r="AJ139" s="138" t="e">
        <f t="shared" si="72"/>
        <v>#DIV/0!</v>
      </c>
      <c r="AK139" s="138" t="e">
        <f t="shared" si="72"/>
        <v>#DIV/0!</v>
      </c>
      <c r="AL139" s="138" t="e">
        <f t="shared" si="72"/>
        <v>#DIV/0!</v>
      </c>
      <c r="AM139" s="138" t="e">
        <f t="shared" si="72"/>
        <v>#DIV/0!</v>
      </c>
      <c r="AN139" s="138" t="e">
        <f t="shared" si="72"/>
        <v>#DIV/0!</v>
      </c>
      <c r="AO139" s="391" t="e">
        <f t="shared" si="72"/>
        <v>#DIV/0!</v>
      </c>
    </row>
    <row r="140" spans="2:41" x14ac:dyDescent="0.15">
      <c r="B140" s="496"/>
      <c r="C140" s="137" t="s">
        <v>1009</v>
      </c>
      <c r="D140" s="136">
        <f>SUM(SUMIFS('caseload data'!E:E,'caseload data'!$D:$D,"SPO",'caseload data'!$B:$B,{"licence","community"}))</f>
        <v>0</v>
      </c>
      <c r="E140" s="136">
        <f>SUM(SUMIFS('caseload data'!F:F,'caseload data'!$D:$D,"SPO",'caseload data'!$B:$B,{"licence","community"}))</f>
        <v>0</v>
      </c>
      <c r="F140" s="136">
        <f>SUM(SUMIFS('caseload data'!G:G,'caseload data'!$D:$D,"SPO",'caseload data'!$B:$B,{"licence","community"}))</f>
        <v>0</v>
      </c>
      <c r="G140" s="136">
        <f>SUM(SUMIFS('caseload data'!H:H,'caseload data'!$D:$D,"SPO",'caseload data'!$B:$B,{"licence","community"}))</f>
        <v>0</v>
      </c>
      <c r="H140" s="136">
        <f>SUM(SUMIFS('caseload data'!I:I,'caseload data'!$D:$D,"SPO",'caseload data'!$B:$B,{"licence","community"}))</f>
        <v>0</v>
      </c>
      <c r="I140" s="136">
        <f>SUM(SUMIFS('caseload data'!J:J,'caseload data'!$D:$D,"SPO",'caseload data'!$B:$B,{"licence","community"}))</f>
        <v>0</v>
      </c>
      <c r="J140" s="136">
        <f>SUM(SUMIFS('caseload data'!K:K,'caseload data'!$D:$D,"SPO",'caseload data'!$B:$B,{"licence","community"}))</f>
        <v>0</v>
      </c>
      <c r="K140" s="136">
        <f>SUM(SUMIFS('caseload data'!L:L,'caseload data'!$D:$D,"SPO",'caseload data'!$B:$B,{"licence","community"}))</f>
        <v>0</v>
      </c>
      <c r="L140" s="136">
        <f>SUM(SUMIFS('caseload data'!M:M,'caseload data'!$D:$D,"SPO",'caseload data'!$B:$B,{"licence","community"}))</f>
        <v>0</v>
      </c>
      <c r="M140" s="136">
        <f>SUM(SUMIFS('caseload data'!N:N,'caseload data'!$D:$D,"SPO",'caseload data'!$B:$B,{"licence","community"}))</f>
        <v>0</v>
      </c>
      <c r="N140" s="136">
        <f>SUM(SUMIFS('caseload data'!O:O,'caseload data'!$D:$D,"SPO",'caseload data'!$B:$B,{"licence","community"}))</f>
        <v>0</v>
      </c>
      <c r="O140" s="136">
        <f>SUM(SUMIFS('caseload data'!P:P,'caseload data'!$D:$D,"SPO",'caseload data'!$B:$B,{"licence","community"}))</f>
        <v>0</v>
      </c>
      <c r="P140" s="136">
        <f>SUM(SUMIFS('caseload data'!Q:Q,'caseload data'!$D:$D,"SPO",'caseload data'!$B:$B,{"licence","community"}))</f>
        <v>0</v>
      </c>
      <c r="Q140" s="136">
        <f>SUM(SUMIFS('caseload data'!R:R,'caseload data'!$D:$D,"SPO",'caseload data'!$B:$B,{"licence","community"}))</f>
        <v>0</v>
      </c>
      <c r="R140" s="136">
        <f>SUM(SUMIFS('caseload data'!S:S,'caseload data'!$D:$D,"SPO",'caseload data'!$B:$B,{"licence","community"}))</f>
        <v>0</v>
      </c>
      <c r="S140" s="136">
        <f>SUM(SUMIFS('caseload data'!T:T,'caseload data'!$D:$D,"SPO",'caseload data'!$B:$B,{"licence","community"}))</f>
        <v>0</v>
      </c>
      <c r="T140" s="381">
        <f>SUM(SUMIFS('caseload data'!V:V,'caseload data'!$D:$D,"SPO",'caseload data'!$B:$B,{"licence","community"}))</f>
        <v>0</v>
      </c>
      <c r="U140" s="64"/>
      <c r="V140" s="64"/>
      <c r="W140" s="475"/>
      <c r="X140" s="137" t="s">
        <v>1009</v>
      </c>
      <c r="Y140" s="138" t="e">
        <f t="shared" si="73"/>
        <v>#DIV/0!</v>
      </c>
      <c r="Z140" s="138" t="e">
        <f t="shared" si="72"/>
        <v>#DIV/0!</v>
      </c>
      <c r="AA140" s="138" t="e">
        <f t="shared" si="72"/>
        <v>#DIV/0!</v>
      </c>
      <c r="AB140" s="138" t="e">
        <f t="shared" si="72"/>
        <v>#DIV/0!</v>
      </c>
      <c r="AC140" s="138" t="e">
        <f t="shared" si="72"/>
        <v>#DIV/0!</v>
      </c>
      <c r="AD140" s="138" t="e">
        <f t="shared" si="72"/>
        <v>#DIV/0!</v>
      </c>
      <c r="AE140" s="138" t="e">
        <f t="shared" si="72"/>
        <v>#DIV/0!</v>
      </c>
      <c r="AF140" s="138" t="e">
        <f t="shared" si="72"/>
        <v>#DIV/0!</v>
      </c>
      <c r="AG140" s="138" t="e">
        <f t="shared" si="72"/>
        <v>#DIV/0!</v>
      </c>
      <c r="AH140" s="138" t="e">
        <f t="shared" si="72"/>
        <v>#DIV/0!</v>
      </c>
      <c r="AI140" s="138" t="e">
        <f t="shared" si="72"/>
        <v>#DIV/0!</v>
      </c>
      <c r="AJ140" s="138" t="e">
        <f t="shared" si="72"/>
        <v>#DIV/0!</v>
      </c>
      <c r="AK140" s="138" t="e">
        <f t="shared" si="72"/>
        <v>#DIV/0!</v>
      </c>
      <c r="AL140" s="138" t="e">
        <f t="shared" si="72"/>
        <v>#DIV/0!</v>
      </c>
      <c r="AM140" s="138" t="e">
        <f t="shared" si="72"/>
        <v>#DIV/0!</v>
      </c>
      <c r="AN140" s="138" t="e">
        <f t="shared" si="72"/>
        <v>#DIV/0!</v>
      </c>
      <c r="AO140" s="391" t="e">
        <f t="shared" si="72"/>
        <v>#DIV/0!</v>
      </c>
    </row>
    <row r="141" spans="2:41" ht="15" thickBot="1" x14ac:dyDescent="0.2">
      <c r="B141" s="496"/>
      <c r="C141" s="137" t="s">
        <v>1344</v>
      </c>
      <c r="D141" s="136" cm="1">
        <f t="array" ref="D141">SUM(SUMIFS('caseload data'!E:E,'caseload data'!$D:$D,"DMY",'caseload data'!$B:$B,{"licence","community"}))</f>
        <v>0</v>
      </c>
      <c r="E141" s="136" cm="1">
        <f t="array" ref="E141">SUM(SUMIFS('caseload data'!F:F,'caseload data'!$D:$D,"DMY",'caseload data'!$B:$B,{"licence","community"}))</f>
        <v>0</v>
      </c>
      <c r="F141" s="136" cm="1">
        <f t="array" ref="F141">SUM(SUMIFS('caseload data'!G:G,'caseload data'!$D:$D,"DMY",'caseload data'!$B:$B,{"licence","community"}))</f>
        <v>0</v>
      </c>
      <c r="G141" s="136" cm="1">
        <f t="array" ref="G141">SUM(SUMIFS('caseload data'!H:H,'caseload data'!$D:$D,"DMY",'caseload data'!$B:$B,{"licence","community"}))</f>
        <v>0</v>
      </c>
      <c r="H141" s="136" cm="1">
        <f t="array" ref="H141">SUM(SUMIFS('caseload data'!I:I,'caseload data'!$D:$D,"DMY",'caseload data'!$B:$B,{"licence","community"}))</f>
        <v>0</v>
      </c>
      <c r="I141" s="136" cm="1">
        <f t="array" ref="I141">SUM(SUMIFS('caseload data'!J:J,'caseload data'!$D:$D,"DMY",'caseload data'!$B:$B,{"licence","community"}))</f>
        <v>0</v>
      </c>
      <c r="J141" s="136" cm="1">
        <f t="array" ref="J141">SUM(SUMIFS('caseload data'!K:K,'caseload data'!$D:$D,"DMY",'caseload data'!$B:$B,{"licence","community"}))</f>
        <v>0</v>
      </c>
      <c r="K141" s="136" cm="1">
        <f t="array" ref="K141">SUM(SUMIFS('caseload data'!L:L,'caseload data'!$D:$D,"DMY",'caseload data'!$B:$B,{"licence","community"}))</f>
        <v>0</v>
      </c>
      <c r="L141" s="136" cm="1">
        <f t="array" ref="L141">SUM(SUMIFS('caseload data'!M:M,'caseload data'!$D:$D,"DMY",'caseload data'!$B:$B,{"licence","community"}))</f>
        <v>0</v>
      </c>
      <c r="M141" s="136" cm="1">
        <f t="array" ref="M141">SUM(SUMIFS('caseload data'!N:N,'caseload data'!$D:$D,"DMY",'caseload data'!$B:$B,{"licence","community"}))</f>
        <v>0</v>
      </c>
      <c r="N141" s="136" cm="1">
        <f t="array" ref="N141">SUM(SUMIFS('caseload data'!O:O,'caseload data'!$D:$D,"DMY",'caseload data'!$B:$B,{"licence","community"}))</f>
        <v>0</v>
      </c>
      <c r="O141" s="136" cm="1">
        <f t="array" ref="O141">SUM(SUMIFS('caseload data'!P:P,'caseload data'!$D:$D,"DMY",'caseload data'!$B:$B,{"licence","community"}))</f>
        <v>0</v>
      </c>
      <c r="P141" s="136" cm="1">
        <f t="array" ref="P141">SUM(SUMIFS('caseload data'!Q:Q,'caseload data'!$D:$D,"DMY",'caseload data'!$B:$B,{"licence","community"}))</f>
        <v>0</v>
      </c>
      <c r="Q141" s="136" cm="1">
        <f t="array" ref="Q141">SUM(SUMIFS('caseload data'!R:R,'caseload data'!$D:$D,"DMY",'caseload data'!$B:$B,{"licence","community"}))</f>
        <v>0</v>
      </c>
      <c r="R141" s="136" cm="1">
        <f t="array" ref="R141">SUM(SUMIFS('caseload data'!S:S,'caseload data'!$D:$D,"DMY",'caseload data'!$B:$B,{"licence","community"}))</f>
        <v>0</v>
      </c>
      <c r="S141" s="136" cm="1">
        <f t="array" ref="S141">SUM(SUMIFS('caseload data'!T:T,'caseload data'!$D:$D,"DMY",'caseload data'!$B:$B,{"licence","community"}))</f>
        <v>0</v>
      </c>
      <c r="T141" s="381" cm="1">
        <f t="array" ref="T141">SUM(SUMIFS('caseload data'!V:V,'caseload data'!$D:$D,"DMY",'caseload data'!$B:$B,{"licence","community"}))</f>
        <v>0</v>
      </c>
      <c r="U141" s="64"/>
      <c r="V141" s="64"/>
      <c r="W141" s="476"/>
      <c r="X141" s="385" t="s">
        <v>1344</v>
      </c>
      <c r="Y141" s="389" t="e">
        <f t="shared" si="73"/>
        <v>#DIV/0!</v>
      </c>
      <c r="Z141" s="389" t="e">
        <f t="shared" si="72"/>
        <v>#DIV/0!</v>
      </c>
      <c r="AA141" s="389" t="e">
        <f t="shared" si="72"/>
        <v>#DIV/0!</v>
      </c>
      <c r="AB141" s="389" t="e">
        <f t="shared" si="72"/>
        <v>#DIV/0!</v>
      </c>
      <c r="AC141" s="389" t="e">
        <f t="shared" si="72"/>
        <v>#DIV/0!</v>
      </c>
      <c r="AD141" s="389" t="e">
        <f t="shared" si="72"/>
        <v>#DIV/0!</v>
      </c>
      <c r="AE141" s="389" t="e">
        <f t="shared" si="72"/>
        <v>#DIV/0!</v>
      </c>
      <c r="AF141" s="389" t="e">
        <f t="shared" si="72"/>
        <v>#DIV/0!</v>
      </c>
      <c r="AG141" s="389" t="e">
        <f t="shared" si="72"/>
        <v>#DIV/0!</v>
      </c>
      <c r="AH141" s="389" t="e">
        <f t="shared" si="72"/>
        <v>#DIV/0!</v>
      </c>
      <c r="AI141" s="389" t="e">
        <f t="shared" si="72"/>
        <v>#DIV/0!</v>
      </c>
      <c r="AJ141" s="389" t="e">
        <f t="shared" si="72"/>
        <v>#DIV/0!</v>
      </c>
      <c r="AK141" s="389" t="e">
        <f t="shared" si="72"/>
        <v>#DIV/0!</v>
      </c>
      <c r="AL141" s="389" t="e">
        <f t="shared" si="72"/>
        <v>#DIV/0!</v>
      </c>
      <c r="AM141" s="389" t="e">
        <f t="shared" si="72"/>
        <v>#DIV/0!</v>
      </c>
      <c r="AN141" s="389" t="e">
        <f t="shared" si="72"/>
        <v>#DIV/0!</v>
      </c>
      <c r="AO141" s="392" t="e">
        <f t="shared" si="72"/>
        <v>#DIV/0!</v>
      </c>
    </row>
    <row r="142" spans="2:41" ht="30" customHeight="1" thickBot="1" x14ac:dyDescent="0.2">
      <c r="B142" s="497"/>
      <c r="C142" s="382" t="s">
        <v>1081</v>
      </c>
      <c r="D142" s="383" cm="1">
        <f t="array" ref="D142">SUM(SUMIF('caseload data'!$B:$B,{"licence","community"},'caseload data'!E:E))</f>
        <v>0</v>
      </c>
      <c r="E142" s="383" cm="1">
        <f t="array" ref="E142">SUM(SUMIF('caseload data'!$B:$B,{"licence","community"},'caseload data'!F:F))</f>
        <v>0</v>
      </c>
      <c r="F142" s="383" cm="1">
        <f t="array" ref="F142">SUM(SUMIF('caseload data'!$B:$B,{"licence","community"},'caseload data'!G:G))</f>
        <v>0</v>
      </c>
      <c r="G142" s="383" cm="1">
        <f t="array" ref="G142">SUM(SUMIF('caseload data'!$B:$B,{"licence","community"},'caseload data'!H:H))</f>
        <v>0</v>
      </c>
      <c r="H142" s="383" cm="1">
        <f t="array" ref="H142">SUM(SUMIF('caseload data'!$B:$B,{"licence","community"},'caseload data'!I:I))</f>
        <v>0</v>
      </c>
      <c r="I142" s="383" cm="1">
        <f t="array" ref="I142">SUM(SUMIF('caseload data'!$B:$B,{"licence","community"},'caseload data'!J:J))</f>
        <v>0</v>
      </c>
      <c r="J142" s="383" cm="1">
        <f t="array" ref="J142">SUM(SUMIF('caseload data'!$B:$B,{"licence","community"},'caseload data'!K:K))</f>
        <v>0</v>
      </c>
      <c r="K142" s="383" cm="1">
        <f t="array" ref="K142">SUM(SUMIF('caseload data'!$B:$B,{"licence","community"},'caseload data'!L:L))</f>
        <v>0</v>
      </c>
      <c r="L142" s="383" cm="1">
        <f t="array" ref="L142">SUM(SUMIF('caseload data'!$B:$B,{"licence","community"},'caseload data'!M:M))</f>
        <v>0</v>
      </c>
      <c r="M142" s="383" cm="1">
        <f t="array" ref="M142">SUM(SUMIF('caseload data'!$B:$B,{"licence","community"},'caseload data'!N:N))</f>
        <v>0</v>
      </c>
      <c r="N142" s="383" cm="1">
        <f t="array" ref="N142">SUM(SUMIF('caseload data'!$B:$B,{"licence","community"},'caseload data'!O:O))</f>
        <v>0</v>
      </c>
      <c r="O142" s="383" cm="1">
        <f t="array" ref="O142">SUM(SUMIF('caseload data'!$B:$B,{"licence","community"},'caseload data'!P:P))</f>
        <v>0</v>
      </c>
      <c r="P142" s="383" cm="1">
        <f t="array" ref="P142">SUM(SUMIF('caseload data'!$B:$B,{"licence","community"},'caseload data'!Q:Q))</f>
        <v>0</v>
      </c>
      <c r="Q142" s="383" cm="1">
        <f t="array" ref="Q142">SUM(SUMIF('caseload data'!$B:$B,{"licence","community"},'caseload data'!R:R))</f>
        <v>0</v>
      </c>
      <c r="R142" s="383" cm="1">
        <f t="array" ref="R142">SUM(SUMIF('caseload data'!$B:$B,{"licence","community"},'caseload data'!S:S))</f>
        <v>0</v>
      </c>
      <c r="S142" s="383" cm="1">
        <f t="array" ref="S142">SUM(SUMIF('caseload data'!$B:$B,{"licence","community"},'caseload data'!T:T))</f>
        <v>0</v>
      </c>
      <c r="T142" s="384">
        <f>SUM(SUMIF('caseload data'!B:B,{"licence","community"},'caseload data'!V:V))</f>
        <v>0</v>
      </c>
      <c r="U142" s="64"/>
      <c r="V142" s="64"/>
      <c r="W142" s="131"/>
      <c r="X142" s="132"/>
      <c r="Y142" s="133"/>
      <c r="Z142" s="133"/>
      <c r="AA142" s="133"/>
      <c r="AB142" s="133"/>
      <c r="AC142" s="133"/>
      <c r="AD142" s="133"/>
      <c r="AE142" s="133"/>
    </row>
    <row r="144" spans="2:41" ht="15" thickBot="1" x14ac:dyDescent="0.2"/>
    <row r="145" spans="2:41" ht="17" thickBot="1" x14ac:dyDescent="0.25">
      <c r="B145" s="1"/>
      <c r="C145" s="2"/>
      <c r="D145" s="492" t="s">
        <v>1084</v>
      </c>
      <c r="E145" s="493"/>
      <c r="F145" s="493"/>
      <c r="G145" s="493"/>
      <c r="H145" s="493"/>
      <c r="I145" s="493"/>
      <c r="J145" s="493"/>
      <c r="K145" s="493"/>
      <c r="L145" s="493"/>
      <c r="M145" s="493"/>
      <c r="N145" s="493"/>
      <c r="O145" s="493"/>
      <c r="P145" s="493"/>
      <c r="Q145" s="493"/>
      <c r="R145" s="493"/>
      <c r="S145" s="493"/>
      <c r="T145" s="494"/>
      <c r="W145" s="1"/>
      <c r="X145" s="2"/>
      <c r="Y145" s="490" t="s">
        <v>1085</v>
      </c>
      <c r="Z145" s="491"/>
      <c r="AA145" s="491"/>
      <c r="AB145" s="491"/>
      <c r="AC145" s="491"/>
      <c r="AD145" s="491"/>
      <c r="AE145" s="491"/>
      <c r="AF145" s="491"/>
      <c r="AG145" s="491"/>
      <c r="AH145" s="491"/>
      <c r="AI145" s="491"/>
      <c r="AJ145" s="491"/>
      <c r="AK145" s="491"/>
      <c r="AL145" s="491"/>
      <c r="AM145" s="491"/>
      <c r="AN145" s="491"/>
    </row>
    <row r="146" spans="2:41" x14ac:dyDescent="0.15">
      <c r="B146" s="124" t="s">
        <v>843</v>
      </c>
      <c r="C146" s="126" t="s">
        <v>1001</v>
      </c>
      <c r="D146" s="38" t="s">
        <v>869</v>
      </c>
      <c r="E146" s="38" t="s">
        <v>870</v>
      </c>
      <c r="F146" s="38" t="s">
        <v>871</v>
      </c>
      <c r="G146" s="38" t="s">
        <v>872</v>
      </c>
      <c r="H146" s="38" t="s">
        <v>873</v>
      </c>
      <c r="I146" s="38" t="s">
        <v>874</v>
      </c>
      <c r="J146" s="38" t="s">
        <v>875</v>
      </c>
      <c r="K146" s="38" t="s">
        <v>876</v>
      </c>
      <c r="L146" s="38" t="s">
        <v>877</v>
      </c>
      <c r="M146" s="38" t="s">
        <v>878</v>
      </c>
      <c r="N146" s="38" t="s">
        <v>879</v>
      </c>
      <c r="O146" s="38" t="s">
        <v>880</v>
      </c>
      <c r="P146" s="38" t="s">
        <v>881</v>
      </c>
      <c r="Q146" s="38" t="s">
        <v>882</v>
      </c>
      <c r="R146" s="38" t="s">
        <v>883</v>
      </c>
      <c r="S146" s="38" t="s">
        <v>884</v>
      </c>
      <c r="T146" s="126" t="s">
        <v>886</v>
      </c>
      <c r="U146" s="64"/>
      <c r="V146" s="64"/>
      <c r="W146" s="124" t="s">
        <v>843</v>
      </c>
      <c r="X146" s="126" t="s">
        <v>1001</v>
      </c>
      <c r="Y146" s="38" t="s">
        <v>869</v>
      </c>
      <c r="Z146" s="38" t="s">
        <v>870</v>
      </c>
      <c r="AA146" s="38" t="s">
        <v>871</v>
      </c>
      <c r="AB146" s="38" t="s">
        <v>872</v>
      </c>
      <c r="AC146" s="38" t="s">
        <v>873</v>
      </c>
      <c r="AD146" s="38" t="s">
        <v>874</v>
      </c>
      <c r="AE146" s="38" t="s">
        <v>875</v>
      </c>
      <c r="AF146" s="38" t="s">
        <v>876</v>
      </c>
      <c r="AG146" s="38" t="s">
        <v>877</v>
      </c>
      <c r="AH146" s="38" t="s">
        <v>878</v>
      </c>
      <c r="AI146" s="38" t="s">
        <v>879</v>
      </c>
      <c r="AJ146" s="38" t="s">
        <v>880</v>
      </c>
      <c r="AK146" s="38" t="s">
        <v>881</v>
      </c>
      <c r="AL146" s="38" t="s">
        <v>882</v>
      </c>
      <c r="AM146" s="38" t="s">
        <v>883</v>
      </c>
      <c r="AN146" s="38" t="s">
        <v>884</v>
      </c>
      <c r="AO146" s="38" t="s">
        <v>999</v>
      </c>
    </row>
    <row r="147" spans="2:41" x14ac:dyDescent="0.15">
      <c r="B147" s="471" t="s">
        <v>17</v>
      </c>
      <c r="C147" s="128" t="s">
        <v>1002</v>
      </c>
      <c r="D147" s="94">
        <f>SUMIFS('caseload data'!E:E,'caseload data'!$D:$D,"PO",'caseload data'!$A:$A,'national caseload'!$B$147:$B$149,'caseload data'!$B:$B,"custody")</f>
        <v>0</v>
      </c>
      <c r="E147" s="94">
        <f>SUMIFS('caseload data'!F:F,'caseload data'!$D:$D,"PO",'caseload data'!$A:$A,'national caseload'!$B$147:$B$149,'caseload data'!$B:$B,"custody")</f>
        <v>0</v>
      </c>
      <c r="F147" s="94">
        <f>SUMIFS('caseload data'!G:G,'caseload data'!$D:$D,"PO",'caseload data'!$A:$A,'national caseload'!$B$147:$B$149,'caseload data'!$B:$B,"custody")</f>
        <v>0</v>
      </c>
      <c r="G147" s="94">
        <f>SUMIFS('caseload data'!H:H,'caseload data'!$D:$D,"PO",'caseload data'!$A:$A,'national caseload'!$B$147:$B$149,'caseload data'!$B:$B,"custody")</f>
        <v>0</v>
      </c>
      <c r="H147" s="94">
        <f>SUMIFS('caseload data'!I:I,'caseload data'!$D:$D,"PO",'caseload data'!$A:$A,'national caseload'!$B$147:$B$149,'caseload data'!$B:$B,"custody")</f>
        <v>0</v>
      </c>
      <c r="I147" s="94">
        <f>SUMIFS('caseload data'!J:J,'caseload data'!$D:$D,"PO",'caseload data'!$A:$A,'national caseload'!$B$147:$B$149,'caseload data'!$B:$B,"custody")</f>
        <v>0</v>
      </c>
      <c r="J147" s="94">
        <f>SUMIFS('caseload data'!K:K,'caseload data'!$D:$D,"PO",'caseload data'!$A:$A,'national caseload'!$B$147:$B$149,'caseload data'!$B:$B,"custody")</f>
        <v>0</v>
      </c>
      <c r="K147" s="94">
        <f>SUMIFS('caseload data'!L:L,'caseload data'!$D:$D,"PO",'caseload data'!$A:$A,'national caseload'!$B$147:$B$149,'caseload data'!$B:$B,"custody")</f>
        <v>0</v>
      </c>
      <c r="L147" s="94">
        <f>SUMIFS('caseload data'!M:M,'caseload data'!$D:$D,"PO",'caseload data'!$A:$A,'national caseload'!$B$147:$B$149,'caseload data'!$B:$B,"custody")</f>
        <v>0</v>
      </c>
      <c r="M147" s="94">
        <f>SUMIFS('caseload data'!N:N,'caseload data'!$D:$D,"PO",'caseload data'!$A:$A,'national caseload'!$B$147:$B$149,'caseload data'!$B:$B,"custody")</f>
        <v>0</v>
      </c>
      <c r="N147" s="94">
        <f>SUMIFS('caseload data'!O:O,'caseload data'!$D:$D,"PO",'caseload data'!$A:$A,'national caseload'!$B$147:$B$149,'caseload data'!$B:$B,"custody")</f>
        <v>0</v>
      </c>
      <c r="O147" s="94">
        <f>SUMIFS('caseload data'!P:P,'caseload data'!$D:$D,"PO",'caseload data'!$A:$A,'national caseload'!$B$147:$B$149,'caseload data'!$B:$B,"custody")</f>
        <v>0</v>
      </c>
      <c r="P147" s="94">
        <f>SUMIFS('caseload data'!Q:Q,'caseload data'!$D:$D,"PO",'caseload data'!$A:$A,'national caseload'!$B$147:$B$149,'caseload data'!$B:$B,"custody")</f>
        <v>0</v>
      </c>
      <c r="Q147" s="94">
        <f>SUMIFS('caseload data'!R:R,'caseload data'!$D:$D,"PO",'caseload data'!$A:$A,'national caseload'!$B$147:$B$149,'caseload data'!$B:$B,"custody")</f>
        <v>0</v>
      </c>
      <c r="R147" s="94">
        <f>SUMIFS('caseload data'!S:S,'caseload data'!$D:$D,"PO",'caseload data'!$A:$A,'national caseload'!$B$147:$B$149,'caseload data'!$B:$B,"custody")</f>
        <v>0</v>
      </c>
      <c r="S147" s="94">
        <f>SUMIFS('caseload data'!T:T,'caseload data'!$D:$D,"PO",'caseload data'!$A:$A,'national caseload'!$B$147:$B$149,'caseload data'!$B:$B,"custody")</f>
        <v>0</v>
      </c>
      <c r="T147" s="94">
        <f>SUMIFS('caseload data'!V:V,'caseload data'!D:D,"PO",'caseload data'!A:A,'national caseload'!B147:B149,'caseload data'!B:B,"custody")</f>
        <v>0</v>
      </c>
      <c r="U147" s="64"/>
      <c r="V147" s="64"/>
      <c r="W147" s="471" t="s">
        <v>17</v>
      </c>
      <c r="X147" s="128" t="s">
        <v>1002</v>
      </c>
      <c r="Y147" s="167" t="e">
        <f>SUM(D147)/SUM(D$147:D$151)</f>
        <v>#DIV/0!</v>
      </c>
      <c r="Z147" s="167" t="e">
        <f t="shared" ref="Z147:AD151" si="74">SUM(E147)/SUM(E$147:E$151)</f>
        <v>#DIV/0!</v>
      </c>
      <c r="AA147" s="167" t="e">
        <f t="shared" si="74"/>
        <v>#DIV/0!</v>
      </c>
      <c r="AB147" s="167" t="e">
        <f t="shared" si="74"/>
        <v>#DIV/0!</v>
      </c>
      <c r="AC147" s="167" t="e">
        <f t="shared" si="74"/>
        <v>#DIV/0!</v>
      </c>
      <c r="AD147" s="167" t="e">
        <f t="shared" si="74"/>
        <v>#DIV/0!</v>
      </c>
      <c r="AE147" s="167" t="e">
        <f t="shared" ref="AE147:AE151" si="75">SUM(J147)/SUM(J$147:J$151)</f>
        <v>#DIV/0!</v>
      </c>
      <c r="AF147" s="167" t="e">
        <f t="shared" ref="AF147:AF151" si="76">SUM(K147)/SUM(K$147:K$151)</f>
        <v>#DIV/0!</v>
      </c>
      <c r="AG147" s="167" t="e">
        <f t="shared" ref="AG147:AG151" si="77">SUM(L147)/SUM(L$147:L$151)</f>
        <v>#DIV/0!</v>
      </c>
      <c r="AH147" s="167" t="e">
        <f t="shared" ref="AH147:AH151" si="78">SUM(M147)/SUM(M$147:M$151)</f>
        <v>#DIV/0!</v>
      </c>
      <c r="AI147" s="167" t="e">
        <f t="shared" ref="AI147:AI151" si="79">SUM(N147)/SUM(N$147:N$151)</f>
        <v>#DIV/0!</v>
      </c>
      <c r="AJ147" s="167" t="e">
        <f t="shared" ref="AJ147:AJ151" si="80">SUM(O147)/SUM(O$147:O$151)</f>
        <v>#DIV/0!</v>
      </c>
      <c r="AK147" s="167" t="e">
        <f t="shared" ref="AK147:AK151" si="81">SUM(P147)/SUM(P$147:P$151)</f>
        <v>#DIV/0!</v>
      </c>
      <c r="AL147" s="167" t="e">
        <f t="shared" ref="AL147:AL151" si="82">SUM(Q147)/SUM(Q$147:Q$151)</f>
        <v>#DIV/0!</v>
      </c>
      <c r="AM147" s="167" t="e">
        <f t="shared" ref="AM147:AM151" si="83">SUM(R147)/SUM(R$147:R$151)</f>
        <v>#DIV/0!</v>
      </c>
      <c r="AN147" s="167" t="e">
        <f t="shared" ref="AN147:AO151" si="84">SUM(S147)/SUM(S$147:S$151)</f>
        <v>#DIV/0!</v>
      </c>
      <c r="AO147" s="167" t="e">
        <f>SUM(T147)/SUM(T$147:T$151)</f>
        <v>#DIV/0!</v>
      </c>
    </row>
    <row r="148" spans="2:41" x14ac:dyDescent="0.15">
      <c r="B148" s="472"/>
      <c r="C148" s="129" t="s">
        <v>1007</v>
      </c>
      <c r="D148" s="94">
        <f>SUMIFS('caseload data'!E:E,'caseload data'!$D:$D,"PSO",'caseload data'!$A:$A,"East Midlands Region",'caseload data'!$B:$B,"custody")</f>
        <v>0</v>
      </c>
      <c r="E148" s="94">
        <f>SUMIFS('caseload data'!F:F,'caseload data'!$D:$D,"PSO",'caseload data'!$A:$A,"East Midlands Region",'caseload data'!$B:$B,"custody")</f>
        <v>0</v>
      </c>
      <c r="F148" s="94">
        <f>SUMIFS('caseload data'!G:G,'caseload data'!$D:$D,"PSO",'caseload data'!$A:$A,"East Midlands Region",'caseload data'!$B:$B,"custody")</f>
        <v>0</v>
      </c>
      <c r="G148" s="94">
        <f>SUMIFS('caseload data'!H:H,'caseload data'!$D:$D,"PSO",'caseload data'!$A:$A,"East Midlands Region",'caseload data'!$B:$B,"custody")</f>
        <v>0</v>
      </c>
      <c r="H148" s="94">
        <f>SUMIFS('caseload data'!I:I,'caseload data'!$D:$D,"PSO",'caseload data'!$A:$A,"East Midlands Region",'caseload data'!$B:$B,"custody")</f>
        <v>0</v>
      </c>
      <c r="I148" s="94">
        <f>SUMIFS('caseload data'!J:J,'caseload data'!$D:$D,"PSO",'caseload data'!$A:$A,"East Midlands Region",'caseload data'!$B:$B,"custody")</f>
        <v>0</v>
      </c>
      <c r="J148" s="94">
        <f>SUMIFS('caseload data'!K:K,'caseload data'!$D:$D,"PSO",'caseload data'!$A:$A,"East Midlands Region",'caseload data'!$B:$B,"custody")</f>
        <v>0</v>
      </c>
      <c r="K148" s="94">
        <f>SUMIFS('caseload data'!L:L,'caseload data'!$D:$D,"PSO",'caseload data'!$A:$A,"East Midlands Region",'caseload data'!$B:$B,"custody")</f>
        <v>0</v>
      </c>
      <c r="L148" s="94">
        <f>SUMIFS('caseload data'!M:M,'caseload data'!$D:$D,"PSO",'caseload data'!$A:$A,"East Midlands Region",'caseload data'!$B:$B,"custody")</f>
        <v>0</v>
      </c>
      <c r="M148" s="94">
        <f>SUMIFS('caseload data'!N:N,'caseload data'!$D:$D,"PSO",'caseload data'!$A:$A,"East Midlands Region",'caseload data'!$B:$B,"custody")</f>
        <v>0</v>
      </c>
      <c r="N148" s="94">
        <f>SUMIFS('caseload data'!O:O,'caseload data'!$D:$D,"PSO",'caseload data'!$A:$A,"East Midlands Region",'caseload data'!$B:$B,"custody")</f>
        <v>0</v>
      </c>
      <c r="O148" s="94">
        <f>SUMIFS('caseload data'!P:P,'caseload data'!$D:$D,"PSO",'caseload data'!$A:$A,"East Midlands Region",'caseload data'!$B:$B,"custody")</f>
        <v>0</v>
      </c>
      <c r="P148" s="94">
        <f>SUMIFS('caseload data'!Q:Q,'caseload data'!$D:$D,"PSO",'caseload data'!$A:$A,"East Midlands Region",'caseload data'!$B:$B,"custody")</f>
        <v>0</v>
      </c>
      <c r="Q148" s="94">
        <f>SUMIFS('caseload data'!R:R,'caseload data'!$D:$D,"PSO",'caseload data'!$A:$A,"East Midlands Region",'caseload data'!$B:$B,"custody")</f>
        <v>0</v>
      </c>
      <c r="R148" s="94">
        <f>SUMIFS('caseload data'!S:S,'caseload data'!$D:$D,"PSO",'caseload data'!$A:$A,"East Midlands Region",'caseload data'!$B:$B,"custody")</f>
        <v>0</v>
      </c>
      <c r="S148" s="94">
        <f>SUMIFS('caseload data'!T:T,'caseload data'!$D:$D,"PSO",'caseload data'!$A:$A,"East Midlands Region",'caseload data'!$B:$B,"custody")</f>
        <v>0</v>
      </c>
      <c r="T148" s="94">
        <f>SUMIFS('caseload data'!V:V,'caseload data'!D:D,"PSO",'caseload data'!A:A,"East Midlands Region",'caseload data'!B:B,"custody")</f>
        <v>0</v>
      </c>
      <c r="U148" s="64"/>
      <c r="V148" s="64"/>
      <c r="W148" s="472"/>
      <c r="X148" s="129" t="s">
        <v>1007</v>
      </c>
      <c r="Y148" s="167" t="e">
        <f t="shared" ref="Y148:Y151" si="85">SUM(D148)/SUM(D$147:D$151)</f>
        <v>#DIV/0!</v>
      </c>
      <c r="Z148" s="167" t="e">
        <f t="shared" si="74"/>
        <v>#DIV/0!</v>
      </c>
      <c r="AA148" s="167" t="e">
        <f t="shared" si="74"/>
        <v>#DIV/0!</v>
      </c>
      <c r="AB148" s="167" t="e">
        <f t="shared" si="74"/>
        <v>#DIV/0!</v>
      </c>
      <c r="AC148" s="167" t="e">
        <f t="shared" si="74"/>
        <v>#DIV/0!</v>
      </c>
      <c r="AD148" s="167" t="e">
        <f t="shared" si="74"/>
        <v>#DIV/0!</v>
      </c>
      <c r="AE148" s="167" t="e">
        <f t="shared" si="75"/>
        <v>#DIV/0!</v>
      </c>
      <c r="AF148" s="167" t="e">
        <f t="shared" si="76"/>
        <v>#DIV/0!</v>
      </c>
      <c r="AG148" s="167" t="e">
        <f t="shared" si="77"/>
        <v>#DIV/0!</v>
      </c>
      <c r="AH148" s="167" t="e">
        <f t="shared" si="78"/>
        <v>#DIV/0!</v>
      </c>
      <c r="AI148" s="167" t="e">
        <f t="shared" si="79"/>
        <v>#DIV/0!</v>
      </c>
      <c r="AJ148" s="167" t="e">
        <f t="shared" si="80"/>
        <v>#DIV/0!</v>
      </c>
      <c r="AK148" s="167" t="e">
        <f t="shared" si="81"/>
        <v>#DIV/0!</v>
      </c>
      <c r="AL148" s="167" t="e">
        <f t="shared" si="82"/>
        <v>#DIV/0!</v>
      </c>
      <c r="AM148" s="167" t="e">
        <f t="shared" si="83"/>
        <v>#DIV/0!</v>
      </c>
      <c r="AN148" s="167" t="e">
        <f t="shared" si="84"/>
        <v>#DIV/0!</v>
      </c>
      <c r="AO148" s="167" t="e">
        <f t="shared" si="84"/>
        <v>#DIV/0!</v>
      </c>
    </row>
    <row r="149" spans="2:41" x14ac:dyDescent="0.15">
      <c r="B149" s="472"/>
      <c r="C149" s="129" t="s">
        <v>1008</v>
      </c>
      <c r="D149" s="94">
        <f>SUMIFS('caseload data'!E:E,'caseload data'!$D:$D,"TPO",'caseload data'!$A:$A,"East Midlands Region",'caseload data'!$B:$B,"custody")</f>
        <v>0</v>
      </c>
      <c r="E149" s="94">
        <f>SUMIFS('caseload data'!F:F,'caseload data'!$D:$D,"TPO",'caseload data'!$A:$A,"East Midlands Region",'caseload data'!$B:$B,"custody")</f>
        <v>0</v>
      </c>
      <c r="F149" s="94">
        <f>SUMIFS('caseload data'!G:G,'caseload data'!$D:$D,"TPO",'caseload data'!$A:$A,"East Midlands Region",'caseload data'!$B:$B,"custody")</f>
        <v>0</v>
      </c>
      <c r="G149" s="94">
        <f>SUMIFS('caseload data'!H:H,'caseload data'!$D:$D,"TPO",'caseload data'!$A:$A,"East Midlands Region",'caseload data'!$B:$B,"custody")</f>
        <v>0</v>
      </c>
      <c r="H149" s="94">
        <f>SUMIFS('caseload data'!I:I,'caseload data'!$D:$D,"TPO",'caseload data'!$A:$A,"East Midlands Region",'caseload data'!$B:$B,"custody")</f>
        <v>0</v>
      </c>
      <c r="I149" s="94">
        <f>SUMIFS('caseload data'!J:J,'caseload data'!$D:$D,"TPO",'caseload data'!$A:$A,"East Midlands Region",'caseload data'!$B:$B,"custody")</f>
        <v>0</v>
      </c>
      <c r="J149" s="94">
        <f>SUMIFS('caseload data'!K:K,'caseload data'!$D:$D,"TPO",'caseload data'!$A:$A,"East Midlands Region",'caseload data'!$B:$B,"custody")</f>
        <v>0</v>
      </c>
      <c r="K149" s="94">
        <f>SUMIFS('caseload data'!L:L,'caseload data'!$D:$D,"TPO",'caseload data'!$A:$A,"East Midlands Region",'caseload data'!$B:$B,"custody")</f>
        <v>0</v>
      </c>
      <c r="L149" s="94">
        <f>SUMIFS('caseload data'!M:M,'caseload data'!$D:$D,"TPO",'caseload data'!$A:$A,"East Midlands Region",'caseload data'!$B:$B,"custody")</f>
        <v>0</v>
      </c>
      <c r="M149" s="94">
        <f>SUMIFS('caseload data'!N:N,'caseload data'!$D:$D,"TPO",'caseload data'!$A:$A,"East Midlands Region",'caseload data'!$B:$B,"custody")</f>
        <v>0</v>
      </c>
      <c r="N149" s="94">
        <f>SUMIFS('caseload data'!O:O,'caseload data'!$D:$D,"TPO",'caseload data'!$A:$A,"East Midlands Region",'caseload data'!$B:$B,"custody")</f>
        <v>0</v>
      </c>
      <c r="O149" s="94">
        <f>SUMIFS('caseload data'!P:P,'caseload data'!$D:$D,"TPO",'caseload data'!$A:$A,"East Midlands Region",'caseload data'!$B:$B,"custody")</f>
        <v>0</v>
      </c>
      <c r="P149" s="94">
        <f>SUMIFS('caseload data'!Q:Q,'caseload data'!$D:$D,"TPO",'caseload data'!$A:$A,"East Midlands Region",'caseload data'!$B:$B,"custody")</f>
        <v>0</v>
      </c>
      <c r="Q149" s="94">
        <f>SUMIFS('caseload data'!R:R,'caseload data'!$D:$D,"TPO",'caseload data'!$A:$A,"East Midlands Region",'caseload data'!$B:$B,"custody")</f>
        <v>0</v>
      </c>
      <c r="R149" s="94">
        <f>SUMIFS('caseload data'!S:S,'caseload data'!$D:$D,"TPO",'caseload data'!$A:$A,"East Midlands Region",'caseload data'!$B:$B,"custody")</f>
        <v>0</v>
      </c>
      <c r="S149" s="94">
        <f>SUMIFS('caseload data'!T:T,'caseload data'!$D:$D,"TPO",'caseload data'!$A:$A,"East Midlands Region",'caseload data'!$B:$B,"custody")</f>
        <v>0</v>
      </c>
      <c r="T149" s="94">
        <f>SUMIFS('caseload data'!V:V,'caseload data'!D:D,"TPO",'caseload data'!A:A,"East Midlands Region",'caseload data'!B:B,"custody")</f>
        <v>0</v>
      </c>
      <c r="U149" s="64"/>
      <c r="V149" s="64"/>
      <c r="W149" s="472"/>
      <c r="X149" s="129" t="s">
        <v>1008</v>
      </c>
      <c r="Y149" s="167" t="e">
        <f t="shared" si="85"/>
        <v>#DIV/0!</v>
      </c>
      <c r="Z149" s="167" t="e">
        <f t="shared" si="74"/>
        <v>#DIV/0!</v>
      </c>
      <c r="AA149" s="167" t="e">
        <f t="shared" si="74"/>
        <v>#DIV/0!</v>
      </c>
      <c r="AB149" s="167" t="e">
        <f t="shared" si="74"/>
        <v>#DIV/0!</v>
      </c>
      <c r="AC149" s="167" t="e">
        <f t="shared" si="74"/>
        <v>#DIV/0!</v>
      </c>
      <c r="AD149" s="167" t="e">
        <f t="shared" si="74"/>
        <v>#DIV/0!</v>
      </c>
      <c r="AE149" s="167" t="e">
        <f t="shared" si="75"/>
        <v>#DIV/0!</v>
      </c>
      <c r="AF149" s="167" t="e">
        <f t="shared" si="76"/>
        <v>#DIV/0!</v>
      </c>
      <c r="AG149" s="167" t="e">
        <f t="shared" si="77"/>
        <v>#DIV/0!</v>
      </c>
      <c r="AH149" s="167" t="e">
        <f t="shared" si="78"/>
        <v>#DIV/0!</v>
      </c>
      <c r="AI149" s="167" t="e">
        <f t="shared" si="79"/>
        <v>#DIV/0!</v>
      </c>
      <c r="AJ149" s="167" t="e">
        <f t="shared" si="80"/>
        <v>#DIV/0!</v>
      </c>
      <c r="AK149" s="167" t="e">
        <f t="shared" si="81"/>
        <v>#DIV/0!</v>
      </c>
      <c r="AL149" s="167" t="e">
        <f t="shared" si="82"/>
        <v>#DIV/0!</v>
      </c>
      <c r="AM149" s="167" t="e">
        <f t="shared" si="83"/>
        <v>#DIV/0!</v>
      </c>
      <c r="AN149" s="167" t="e">
        <f t="shared" si="84"/>
        <v>#DIV/0!</v>
      </c>
      <c r="AO149" s="167" t="e">
        <f t="shared" si="84"/>
        <v>#DIV/0!</v>
      </c>
    </row>
    <row r="150" spans="2:41" x14ac:dyDescent="0.15">
      <c r="B150" s="472"/>
      <c r="C150" s="129" t="s">
        <v>1009</v>
      </c>
      <c r="D150" s="94">
        <f>SUMIFS('caseload data'!E:E,'caseload data'!$D:$D,"SPO",'caseload data'!$A:$A,"East Midlands Region",'caseload data'!$B:$B,"custody")</f>
        <v>0</v>
      </c>
      <c r="E150" s="94">
        <f>SUMIFS('caseload data'!F:F,'caseload data'!$D:$D,"SPO",'caseload data'!$A:$A,"East Midlands Region",'caseload data'!$B:$B,"custody")</f>
        <v>0</v>
      </c>
      <c r="F150" s="94">
        <f>SUMIFS('caseload data'!G:G,'caseload data'!$D:$D,"SPO",'caseload data'!$A:$A,"East Midlands Region",'caseload data'!$B:$B,"custody")</f>
        <v>0</v>
      </c>
      <c r="G150" s="94">
        <f>SUMIFS('caseload data'!H:H,'caseload data'!$D:$D,"SPO",'caseload data'!$A:$A,"East Midlands Region",'caseload data'!$B:$B,"custody")</f>
        <v>0</v>
      </c>
      <c r="H150" s="94">
        <f>SUMIFS('caseload data'!I:I,'caseload data'!$D:$D,"SPO",'caseload data'!$A:$A,"East Midlands Region",'caseload data'!$B:$B,"custody")</f>
        <v>0</v>
      </c>
      <c r="I150" s="94">
        <f>SUMIFS('caseload data'!J:J,'caseload data'!$D:$D,"SPO",'caseload data'!$A:$A,"East Midlands Region",'caseload data'!$B:$B,"custody")</f>
        <v>0</v>
      </c>
      <c r="J150" s="94">
        <f>SUMIFS('caseload data'!K:K,'caseload data'!$D:$D,"SPO",'caseload data'!$A:$A,"East Midlands Region",'caseload data'!$B:$B,"custody")</f>
        <v>0</v>
      </c>
      <c r="K150" s="94">
        <f>SUMIFS('caseload data'!L:L,'caseload data'!$D:$D,"SPO",'caseload data'!$A:$A,"East Midlands Region",'caseload data'!$B:$B,"custody")</f>
        <v>0</v>
      </c>
      <c r="L150" s="94">
        <f>SUMIFS('caseload data'!M:M,'caseload data'!$D:$D,"SPO",'caseload data'!$A:$A,"East Midlands Region",'caseload data'!$B:$B,"custody")</f>
        <v>0</v>
      </c>
      <c r="M150" s="94">
        <f>SUMIFS('caseload data'!N:N,'caseload data'!$D:$D,"SPO",'caseload data'!$A:$A,"East Midlands Region",'caseload data'!$B:$B,"custody")</f>
        <v>0</v>
      </c>
      <c r="N150" s="94">
        <f>SUMIFS('caseload data'!O:O,'caseload data'!$D:$D,"SPO",'caseload data'!$A:$A,"East Midlands Region",'caseload data'!$B:$B,"custody")</f>
        <v>0</v>
      </c>
      <c r="O150" s="94">
        <f>SUMIFS('caseload data'!P:P,'caseload data'!$D:$D,"SPO",'caseload data'!$A:$A,"East Midlands Region",'caseload data'!$B:$B,"custody")</f>
        <v>0</v>
      </c>
      <c r="P150" s="94">
        <f>SUMIFS('caseload data'!Q:Q,'caseload data'!$D:$D,"SPO",'caseload data'!$A:$A,"East Midlands Region",'caseload data'!$B:$B,"custody")</f>
        <v>0</v>
      </c>
      <c r="Q150" s="94">
        <f>SUMIFS('caseload data'!R:R,'caseload data'!$D:$D,"SPO",'caseload data'!$A:$A,"East Midlands Region",'caseload data'!$B:$B,"custody")</f>
        <v>0</v>
      </c>
      <c r="R150" s="94">
        <f>SUMIFS('caseload data'!S:S,'caseload data'!$D:$D,"SPO",'caseload data'!$A:$A,"East Midlands Region",'caseload data'!$B:$B,"custody")</f>
        <v>0</v>
      </c>
      <c r="S150" s="94">
        <f>SUMIFS('caseload data'!T:T,'caseload data'!$D:$D,"SPO",'caseload data'!$A:$A,"East Midlands Region",'caseload data'!$B:$B,"custody")</f>
        <v>0</v>
      </c>
      <c r="T150" s="94">
        <f>SUMIFS('caseload data'!V:V,'caseload data'!$D:$D,"SPO",'caseload data'!$A:$A,"East Midlands Region",'caseload data'!$B:$B,"custody")</f>
        <v>0</v>
      </c>
      <c r="U150" s="64"/>
      <c r="V150" s="64"/>
      <c r="W150" s="472"/>
      <c r="X150" s="129" t="s">
        <v>1009</v>
      </c>
      <c r="Y150" s="167" t="e">
        <f t="shared" si="85"/>
        <v>#DIV/0!</v>
      </c>
      <c r="Z150" s="167" t="e">
        <f t="shared" si="74"/>
        <v>#DIV/0!</v>
      </c>
      <c r="AA150" s="167" t="e">
        <f t="shared" si="74"/>
        <v>#DIV/0!</v>
      </c>
      <c r="AB150" s="167" t="e">
        <f t="shared" si="74"/>
        <v>#DIV/0!</v>
      </c>
      <c r="AC150" s="167" t="e">
        <f t="shared" si="74"/>
        <v>#DIV/0!</v>
      </c>
      <c r="AD150" s="167" t="e">
        <f t="shared" si="74"/>
        <v>#DIV/0!</v>
      </c>
      <c r="AE150" s="167" t="e">
        <f t="shared" si="75"/>
        <v>#DIV/0!</v>
      </c>
      <c r="AF150" s="167" t="e">
        <f t="shared" si="76"/>
        <v>#DIV/0!</v>
      </c>
      <c r="AG150" s="167" t="e">
        <f t="shared" si="77"/>
        <v>#DIV/0!</v>
      </c>
      <c r="AH150" s="167" t="e">
        <f t="shared" si="78"/>
        <v>#DIV/0!</v>
      </c>
      <c r="AI150" s="167" t="e">
        <f t="shared" si="79"/>
        <v>#DIV/0!</v>
      </c>
      <c r="AJ150" s="167" t="e">
        <f t="shared" si="80"/>
        <v>#DIV/0!</v>
      </c>
      <c r="AK150" s="167" t="e">
        <f t="shared" si="81"/>
        <v>#DIV/0!</v>
      </c>
      <c r="AL150" s="167" t="e">
        <f t="shared" si="82"/>
        <v>#DIV/0!</v>
      </c>
      <c r="AM150" s="167" t="e">
        <f t="shared" si="83"/>
        <v>#DIV/0!</v>
      </c>
      <c r="AN150" s="167" t="e">
        <f t="shared" si="84"/>
        <v>#DIV/0!</v>
      </c>
      <c r="AO150" s="167" t="e">
        <f t="shared" si="84"/>
        <v>#DIV/0!</v>
      </c>
    </row>
    <row r="151" spans="2:41" x14ac:dyDescent="0.15">
      <c r="B151" s="473"/>
      <c r="C151" s="130" t="s">
        <v>1344</v>
      </c>
      <c r="D151" s="94">
        <f>SUMIFS('caseload data'!E:E,'caseload data'!$D:$D,"DMY",'caseload data'!$A:$A,"East Midlands Region",'caseload data'!$B:$B,"custody")</f>
        <v>0</v>
      </c>
      <c r="E151" s="94">
        <f>SUMIFS('caseload data'!F:F,'caseload data'!$D:$D,"DMY",'caseload data'!$A:$A,"East Midlands Region",'caseload data'!$B:$B,"custody")</f>
        <v>0</v>
      </c>
      <c r="F151" s="94">
        <f>SUMIFS('caseload data'!G:G,'caseload data'!$D:$D,"DMY",'caseload data'!$A:$A,"East Midlands Region",'caseload data'!$B:$B,"custody")</f>
        <v>0</v>
      </c>
      <c r="G151" s="94">
        <f>SUMIFS('caseload data'!H:H,'caseload data'!$D:$D,"DMY",'caseload data'!$A:$A,"East Midlands Region",'caseload data'!$B:$B,"custody")</f>
        <v>0</v>
      </c>
      <c r="H151" s="94">
        <f>SUMIFS('caseload data'!I:I,'caseload data'!$D:$D,"DMY",'caseload data'!$A:$A,"East Midlands Region",'caseload data'!$B:$B,"custody")</f>
        <v>0</v>
      </c>
      <c r="I151" s="94">
        <f>SUMIFS('caseload data'!J:J,'caseload data'!$D:$D,"DMY",'caseload data'!$A:$A,"East Midlands Region",'caseload data'!$B:$B,"custody")</f>
        <v>0</v>
      </c>
      <c r="J151" s="94">
        <f>SUMIFS('caseload data'!K:K,'caseload data'!$D:$D,"DMY",'caseload data'!$A:$A,"East Midlands Region",'caseload data'!$B:$B,"custody")</f>
        <v>0</v>
      </c>
      <c r="K151" s="94">
        <f>SUMIFS('caseload data'!L:L,'caseload data'!$D:$D,"DMY",'caseload data'!$A:$A,"East Midlands Region",'caseload data'!$B:$B,"custody")</f>
        <v>0</v>
      </c>
      <c r="L151" s="94">
        <f>SUMIFS('caseload data'!M:M,'caseload data'!$D:$D,"DMY",'caseload data'!$A:$A,"East Midlands Region",'caseload data'!$B:$B,"custody")</f>
        <v>0</v>
      </c>
      <c r="M151" s="94">
        <f>SUMIFS('caseload data'!N:N,'caseload data'!$D:$D,"DMY",'caseload data'!$A:$A,"East Midlands Region",'caseload data'!$B:$B,"custody")</f>
        <v>0</v>
      </c>
      <c r="N151" s="94">
        <f>SUMIFS('caseload data'!O:O,'caseload data'!$D:$D,"DMY",'caseload data'!$A:$A,"East Midlands Region",'caseload data'!$B:$B,"custody")</f>
        <v>0</v>
      </c>
      <c r="O151" s="94">
        <f>SUMIFS('caseload data'!P:P,'caseload data'!$D:$D,"DMY",'caseload data'!$A:$A,"East Midlands Region",'caseload data'!$B:$B,"custody")</f>
        <v>0</v>
      </c>
      <c r="P151" s="94">
        <f>SUMIFS('caseload data'!Q:Q,'caseload data'!$D:$D,"DMY",'caseload data'!$A:$A,"East Midlands Region",'caseload data'!$B:$B,"custody")</f>
        <v>0</v>
      </c>
      <c r="Q151" s="94">
        <f>SUMIFS('caseload data'!R:R,'caseload data'!$D:$D,"DMY",'caseload data'!$A:$A,"East Midlands Region",'caseload data'!$B:$B,"custody")</f>
        <v>0</v>
      </c>
      <c r="R151" s="94">
        <f>SUMIFS('caseload data'!S:S,'caseload data'!$D:$D,"DMY",'caseload data'!$A:$A,"East Midlands Region",'caseload data'!$B:$B,"custody")</f>
        <v>0</v>
      </c>
      <c r="S151" s="94">
        <f>SUMIFS('caseload data'!T:T,'caseload data'!$D:$D,"DMY",'caseload data'!$A:$A,"East Midlands Region",'caseload data'!$B:$B,"custody")</f>
        <v>0</v>
      </c>
      <c r="T151" s="94">
        <f>SUMIFS('caseload data'!V:V,'caseload data'!$D:$D,"DMY",'caseload data'!$A:$A,"East Midlands Region",'caseload data'!$B:$B,"custody")</f>
        <v>0</v>
      </c>
      <c r="U151" s="64"/>
      <c r="V151" s="64"/>
      <c r="W151" s="473"/>
      <c r="X151" s="130" t="s">
        <v>1344</v>
      </c>
      <c r="Y151" s="167" t="e">
        <f t="shared" si="85"/>
        <v>#DIV/0!</v>
      </c>
      <c r="Z151" s="167" t="e">
        <f t="shared" si="74"/>
        <v>#DIV/0!</v>
      </c>
      <c r="AA151" s="167" t="e">
        <f t="shared" si="74"/>
        <v>#DIV/0!</v>
      </c>
      <c r="AB151" s="167" t="e">
        <f t="shared" si="74"/>
        <v>#DIV/0!</v>
      </c>
      <c r="AC151" s="167" t="e">
        <f t="shared" si="74"/>
        <v>#DIV/0!</v>
      </c>
      <c r="AD151" s="167" t="e">
        <f t="shared" si="74"/>
        <v>#DIV/0!</v>
      </c>
      <c r="AE151" s="167" t="e">
        <f t="shared" si="75"/>
        <v>#DIV/0!</v>
      </c>
      <c r="AF151" s="167" t="e">
        <f t="shared" si="76"/>
        <v>#DIV/0!</v>
      </c>
      <c r="AG151" s="167" t="e">
        <f t="shared" si="77"/>
        <v>#DIV/0!</v>
      </c>
      <c r="AH151" s="167" t="e">
        <f t="shared" si="78"/>
        <v>#DIV/0!</v>
      </c>
      <c r="AI151" s="167" t="e">
        <f t="shared" si="79"/>
        <v>#DIV/0!</v>
      </c>
      <c r="AJ151" s="167" t="e">
        <f t="shared" si="80"/>
        <v>#DIV/0!</v>
      </c>
      <c r="AK151" s="167" t="e">
        <f t="shared" si="81"/>
        <v>#DIV/0!</v>
      </c>
      <c r="AL151" s="167" t="e">
        <f t="shared" si="82"/>
        <v>#DIV/0!</v>
      </c>
      <c r="AM151" s="167" t="e">
        <f t="shared" si="83"/>
        <v>#DIV/0!</v>
      </c>
      <c r="AN151" s="167" t="e">
        <f t="shared" si="84"/>
        <v>#DIV/0!</v>
      </c>
      <c r="AO151" s="167" t="e">
        <f t="shared" si="84"/>
        <v>#DIV/0!</v>
      </c>
    </row>
    <row r="152" spans="2:41" x14ac:dyDescent="0.15">
      <c r="B152" s="471" t="s">
        <v>18</v>
      </c>
      <c r="C152" s="128" t="s">
        <v>1002</v>
      </c>
      <c r="D152" s="94">
        <f>SUMIFS('caseload data'!E:E,'caseload data'!$D:$D,"PO",'caseload data'!$A:$A,$B$152,'caseload data'!$B:$B,"custody")</f>
        <v>0</v>
      </c>
      <c r="E152" s="94">
        <f>SUMIFS('caseload data'!F:F,'caseload data'!$D:$D,"PO",'caseload data'!$A:$A,$B$152,'caseload data'!$B:$B,"custody")</f>
        <v>0</v>
      </c>
      <c r="F152" s="94">
        <f>SUMIFS('caseload data'!G:G,'caseload data'!$D:$D,"PO",'caseload data'!$A:$A,$B$152,'caseload data'!$B:$B,"custody")</f>
        <v>0</v>
      </c>
      <c r="G152" s="94">
        <f>SUMIFS('caseload data'!H:H,'caseload data'!$D:$D,"PO",'caseload data'!$A:$A,$B$152,'caseload data'!$B:$B,"custody")</f>
        <v>0</v>
      </c>
      <c r="H152" s="94">
        <f>SUMIFS('caseload data'!I:I,'caseload data'!$D:$D,"PO",'caseload data'!$A:$A,$B$152,'caseload data'!$B:$B,"custody")</f>
        <v>0</v>
      </c>
      <c r="I152" s="94">
        <f>SUMIFS('caseload data'!J:J,'caseload data'!$D:$D,"PO",'caseload data'!$A:$A,$B$152,'caseload data'!$B:$B,"custody")</f>
        <v>0</v>
      </c>
      <c r="J152" s="94">
        <f>SUMIFS('caseload data'!K:K,'caseload data'!$D:$D,"PO",'caseload data'!$A:$A,$B$152,'caseload data'!$B:$B,"custody")</f>
        <v>0</v>
      </c>
      <c r="K152" s="94">
        <f>SUMIFS('caseload data'!L:L,'caseload data'!$D:$D,"PO",'caseload data'!$A:$A,$B$152,'caseload data'!$B:$B,"custody")</f>
        <v>0</v>
      </c>
      <c r="L152" s="94">
        <f>SUMIFS('caseload data'!M:M,'caseload data'!$D:$D,"PO",'caseload data'!$A:$A,$B$152,'caseload data'!$B:$B,"custody")</f>
        <v>0</v>
      </c>
      <c r="M152" s="94">
        <f>SUMIFS('caseload data'!N:N,'caseload data'!$D:$D,"PO",'caseload data'!$A:$A,$B$152,'caseload data'!$B:$B,"custody")</f>
        <v>0</v>
      </c>
      <c r="N152" s="94">
        <f>SUMIFS('caseload data'!O:O,'caseload data'!$D:$D,"PO",'caseload data'!$A:$A,$B$152,'caseload data'!$B:$B,"custody")</f>
        <v>0</v>
      </c>
      <c r="O152" s="94">
        <f>SUMIFS('caseload data'!P:P,'caseload data'!$D:$D,"PO",'caseload data'!$A:$A,$B$152,'caseload data'!$B:$B,"custody")</f>
        <v>0</v>
      </c>
      <c r="P152" s="94">
        <f>SUMIFS('caseload data'!Q:Q,'caseload data'!$D:$D,"PO",'caseload data'!$A:$A,$B$152,'caseload data'!$B:$B,"custody")</f>
        <v>0</v>
      </c>
      <c r="Q152" s="94">
        <f>SUMIFS('caseload data'!R:R,'caseload data'!$D:$D,"PO",'caseload data'!$A:$A,$B$152,'caseload data'!$B:$B,"custody")</f>
        <v>0</v>
      </c>
      <c r="R152" s="94">
        <f>SUMIFS('caseload data'!S:S,'caseload data'!$D:$D,"PO",'caseload data'!$A:$A,$B$152,'caseload data'!$B:$B,"custody")</f>
        <v>0</v>
      </c>
      <c r="S152" s="94">
        <f>SUMIFS('caseload data'!T:T,'caseload data'!$D:$D,"PO",'caseload data'!$A:$A,$B$152,'caseload data'!$B:$B,"custody")</f>
        <v>0</v>
      </c>
      <c r="T152" s="94">
        <f>SUMIFS('caseload data'!V:V,'caseload data'!D:D,"PO",'caseload data'!A:A,B152,'caseload data'!B:B,"custody")</f>
        <v>0</v>
      </c>
      <c r="U152" s="64"/>
      <c r="V152" s="64"/>
      <c r="W152" s="471" t="s">
        <v>18</v>
      </c>
      <c r="X152" s="128" t="s">
        <v>1002</v>
      </c>
      <c r="Y152" s="167" t="e">
        <f>SUM(D152)/SUM(D$152:D$156)</f>
        <v>#DIV/0!</v>
      </c>
      <c r="Z152" s="167" t="e">
        <f t="shared" ref="Z152:AO156" si="86">SUM(E152)/SUM(E$152:E$156)</f>
        <v>#DIV/0!</v>
      </c>
      <c r="AA152" s="167" t="e">
        <f t="shared" si="86"/>
        <v>#DIV/0!</v>
      </c>
      <c r="AB152" s="167" t="e">
        <f t="shared" si="86"/>
        <v>#DIV/0!</v>
      </c>
      <c r="AC152" s="167" t="e">
        <f t="shared" si="86"/>
        <v>#DIV/0!</v>
      </c>
      <c r="AD152" s="167" t="e">
        <f t="shared" si="86"/>
        <v>#DIV/0!</v>
      </c>
      <c r="AE152" s="167" t="e">
        <f t="shared" si="86"/>
        <v>#DIV/0!</v>
      </c>
      <c r="AF152" s="167" t="e">
        <f t="shared" si="86"/>
        <v>#DIV/0!</v>
      </c>
      <c r="AG152" s="167" t="e">
        <f t="shared" si="86"/>
        <v>#DIV/0!</v>
      </c>
      <c r="AH152" s="167" t="e">
        <f t="shared" si="86"/>
        <v>#DIV/0!</v>
      </c>
      <c r="AI152" s="167" t="e">
        <f t="shared" si="86"/>
        <v>#DIV/0!</v>
      </c>
      <c r="AJ152" s="167" t="e">
        <f t="shared" si="86"/>
        <v>#DIV/0!</v>
      </c>
      <c r="AK152" s="167" t="e">
        <f t="shared" si="86"/>
        <v>#DIV/0!</v>
      </c>
      <c r="AL152" s="167" t="e">
        <f t="shared" si="86"/>
        <v>#DIV/0!</v>
      </c>
      <c r="AM152" s="167" t="e">
        <f t="shared" si="86"/>
        <v>#DIV/0!</v>
      </c>
      <c r="AN152" s="167" t="e">
        <f t="shared" si="86"/>
        <v>#DIV/0!</v>
      </c>
      <c r="AO152" s="167" t="e">
        <f t="shared" si="86"/>
        <v>#DIV/0!</v>
      </c>
    </row>
    <row r="153" spans="2:41" x14ac:dyDescent="0.15">
      <c r="B153" s="472"/>
      <c r="C153" s="129" t="s">
        <v>1007</v>
      </c>
      <c r="D153" s="94">
        <f>SUMIFS('caseload data'!E:E,'caseload data'!$D:$D,"PSO",'caseload data'!$A:$A,"East of England",'caseload data'!$B:$B,"custody")</f>
        <v>0</v>
      </c>
      <c r="E153" s="94">
        <f>SUMIFS('caseload data'!F:F,'caseload data'!$D:$D,"PSO",'caseload data'!$A:$A,"East of England",'caseload data'!$B:$B,"custody")</f>
        <v>0</v>
      </c>
      <c r="F153" s="94">
        <f>SUMIFS('caseload data'!G:G,'caseload data'!$D:$D,"PSO",'caseload data'!$A:$A,"East of England",'caseload data'!$B:$B,"custody")</f>
        <v>0</v>
      </c>
      <c r="G153" s="94">
        <f>SUMIFS('caseload data'!H:H,'caseload data'!$D:$D,"PSO",'caseload data'!$A:$A,"East of England",'caseload data'!$B:$B,"custody")</f>
        <v>0</v>
      </c>
      <c r="H153" s="94">
        <f>SUMIFS('caseload data'!I:I,'caseload data'!$D:$D,"PSO",'caseload data'!$A:$A,"East of England",'caseload data'!$B:$B,"custody")</f>
        <v>0</v>
      </c>
      <c r="I153" s="94">
        <f>SUMIFS('caseload data'!J:J,'caseload data'!$D:$D,"PSO",'caseload data'!$A:$A,"East of England",'caseload data'!$B:$B,"custody")</f>
        <v>0</v>
      </c>
      <c r="J153" s="94">
        <f>SUMIFS('caseload data'!K:K,'caseload data'!$D:$D,"PSO",'caseload data'!$A:$A,"East of England",'caseload data'!$B:$B,"custody")</f>
        <v>0</v>
      </c>
      <c r="K153" s="94">
        <f>SUMIFS('caseload data'!L:L,'caseload data'!$D:$D,"PSO",'caseload data'!$A:$A,"East of England",'caseload data'!$B:$B,"custody")</f>
        <v>0</v>
      </c>
      <c r="L153" s="94">
        <f>SUMIFS('caseload data'!M:M,'caseload data'!$D:$D,"PSO",'caseload data'!$A:$A,"East of England",'caseload data'!$B:$B,"custody")</f>
        <v>0</v>
      </c>
      <c r="M153" s="94">
        <f>SUMIFS('caseload data'!N:N,'caseload data'!$D:$D,"PSO",'caseload data'!$A:$A,"East of England",'caseload data'!$B:$B,"custody")</f>
        <v>0</v>
      </c>
      <c r="N153" s="94">
        <f>SUMIFS('caseload data'!O:O,'caseload data'!$D:$D,"PSO",'caseload data'!$A:$A,"East of England",'caseload data'!$B:$B,"custody")</f>
        <v>0</v>
      </c>
      <c r="O153" s="94">
        <f>SUMIFS('caseload data'!P:P,'caseload data'!$D:$D,"PSO",'caseload data'!$A:$A,"East of England",'caseload data'!$B:$B,"custody")</f>
        <v>0</v>
      </c>
      <c r="P153" s="94">
        <f>SUMIFS('caseload data'!Q:Q,'caseload data'!$D:$D,"PSO",'caseload data'!$A:$A,"East of England",'caseload data'!$B:$B,"custody")</f>
        <v>0</v>
      </c>
      <c r="Q153" s="94">
        <f>SUMIFS('caseload data'!R:R,'caseload data'!$D:$D,"PSO",'caseload data'!$A:$A,"East of England",'caseload data'!$B:$B,"custody")</f>
        <v>0</v>
      </c>
      <c r="R153" s="94">
        <f>SUMIFS('caseload data'!S:S,'caseload data'!$D:$D,"PSO",'caseload data'!$A:$A,"East of England",'caseload data'!$B:$B,"custody")</f>
        <v>0</v>
      </c>
      <c r="S153" s="94">
        <f>SUMIFS('caseload data'!T:T,'caseload data'!$D:$D,"PSO",'caseload data'!$A:$A,"East of England",'caseload data'!$B:$B,"custody")</f>
        <v>0</v>
      </c>
      <c r="T153" s="94">
        <f>SUMIFS('caseload data'!V:V,'caseload data'!D:D,"PSO",'caseload data'!A:A,"East of England",'caseload data'!B:B,"custody")</f>
        <v>0</v>
      </c>
      <c r="U153" s="64"/>
      <c r="V153" s="64"/>
      <c r="W153" s="472"/>
      <c r="X153" s="129" t="s">
        <v>1007</v>
      </c>
      <c r="Y153" s="167" t="e">
        <f t="shared" ref="Y153:Y156" si="87">SUM(D153)/SUM(D$152:D$156)</f>
        <v>#DIV/0!</v>
      </c>
      <c r="Z153" s="167" t="e">
        <f t="shared" si="86"/>
        <v>#DIV/0!</v>
      </c>
      <c r="AA153" s="167" t="e">
        <f t="shared" si="86"/>
        <v>#DIV/0!</v>
      </c>
      <c r="AB153" s="167" t="e">
        <f t="shared" si="86"/>
        <v>#DIV/0!</v>
      </c>
      <c r="AC153" s="167" t="e">
        <f t="shared" si="86"/>
        <v>#DIV/0!</v>
      </c>
      <c r="AD153" s="167" t="e">
        <f t="shared" si="86"/>
        <v>#DIV/0!</v>
      </c>
      <c r="AE153" s="167" t="e">
        <f t="shared" si="86"/>
        <v>#DIV/0!</v>
      </c>
      <c r="AF153" s="167" t="e">
        <f t="shared" si="86"/>
        <v>#DIV/0!</v>
      </c>
      <c r="AG153" s="167" t="e">
        <f t="shared" si="86"/>
        <v>#DIV/0!</v>
      </c>
      <c r="AH153" s="167" t="e">
        <f t="shared" si="86"/>
        <v>#DIV/0!</v>
      </c>
      <c r="AI153" s="167" t="e">
        <f t="shared" si="86"/>
        <v>#DIV/0!</v>
      </c>
      <c r="AJ153" s="167" t="e">
        <f t="shared" si="86"/>
        <v>#DIV/0!</v>
      </c>
      <c r="AK153" s="167" t="e">
        <f t="shared" si="86"/>
        <v>#DIV/0!</v>
      </c>
      <c r="AL153" s="167" t="e">
        <f t="shared" si="86"/>
        <v>#DIV/0!</v>
      </c>
      <c r="AM153" s="167" t="e">
        <f t="shared" si="86"/>
        <v>#DIV/0!</v>
      </c>
      <c r="AN153" s="167" t="e">
        <f t="shared" si="86"/>
        <v>#DIV/0!</v>
      </c>
      <c r="AO153" s="167" t="e">
        <f t="shared" si="86"/>
        <v>#DIV/0!</v>
      </c>
    </row>
    <row r="154" spans="2:41" x14ac:dyDescent="0.15">
      <c r="B154" s="472"/>
      <c r="C154" s="129" t="s">
        <v>1008</v>
      </c>
      <c r="D154" s="94">
        <f>SUMIFS('caseload data'!E:E,'caseload data'!$D:$D,"TPO",'caseload data'!$A:$A,"East of England",'caseload data'!$B:$B,"custody")</f>
        <v>0</v>
      </c>
      <c r="E154" s="94">
        <f>SUMIFS('caseload data'!F:F,'caseload data'!$D:$D,"TPO",'caseload data'!$A:$A,"East of England",'caseload data'!$B:$B,"custody")</f>
        <v>0</v>
      </c>
      <c r="F154" s="94">
        <f>SUMIFS('caseload data'!G:G,'caseload data'!$D:$D,"TPO",'caseload data'!$A:$A,"East of England",'caseload data'!$B:$B,"custody")</f>
        <v>0</v>
      </c>
      <c r="G154" s="94">
        <f>SUMIFS('caseload data'!H:H,'caseload data'!$D:$D,"TPO",'caseload data'!$A:$A,"East of England",'caseload data'!$B:$B,"custody")</f>
        <v>0</v>
      </c>
      <c r="H154" s="94">
        <f>SUMIFS('caseload data'!I:I,'caseload data'!$D:$D,"TPO",'caseload data'!$A:$A,"East of England",'caseload data'!$B:$B,"custody")</f>
        <v>0</v>
      </c>
      <c r="I154" s="94">
        <f>SUMIFS('caseload data'!J:J,'caseload data'!$D:$D,"TPO",'caseload data'!$A:$A,"East of England",'caseload data'!$B:$B,"custody")</f>
        <v>0</v>
      </c>
      <c r="J154" s="94">
        <f>SUMIFS('caseload data'!K:K,'caseload data'!$D:$D,"TPO",'caseload data'!$A:$A,"East of England",'caseload data'!$B:$B,"custody")</f>
        <v>0</v>
      </c>
      <c r="K154" s="94">
        <f>SUMIFS('caseload data'!L:L,'caseload data'!$D:$D,"TPO",'caseload data'!$A:$A,"East of England",'caseload data'!$B:$B,"custody")</f>
        <v>0</v>
      </c>
      <c r="L154" s="94">
        <f>SUMIFS('caseload data'!M:M,'caseload data'!$D:$D,"TPO",'caseload data'!$A:$A,"East of England",'caseload data'!$B:$B,"custody")</f>
        <v>0</v>
      </c>
      <c r="M154" s="94">
        <f>SUMIFS('caseload data'!N:N,'caseload data'!$D:$D,"TPO",'caseload data'!$A:$A,"East of England",'caseload data'!$B:$B,"custody")</f>
        <v>0</v>
      </c>
      <c r="N154" s="94">
        <f>SUMIFS('caseload data'!O:O,'caseload data'!$D:$D,"TPO",'caseload data'!$A:$A,"East of England",'caseload data'!$B:$B,"custody")</f>
        <v>0</v>
      </c>
      <c r="O154" s="94">
        <f>SUMIFS('caseload data'!P:P,'caseload data'!$D:$D,"TPO",'caseload data'!$A:$A,"East of England",'caseload data'!$B:$B,"custody")</f>
        <v>0</v>
      </c>
      <c r="P154" s="94">
        <f>SUMIFS('caseload data'!Q:Q,'caseload data'!$D:$D,"TPO",'caseload data'!$A:$A,"East of England",'caseload data'!$B:$B,"custody")</f>
        <v>0</v>
      </c>
      <c r="Q154" s="94">
        <f>SUMIFS('caseload data'!R:R,'caseload data'!$D:$D,"TPO",'caseload data'!$A:$A,"East of England",'caseload data'!$B:$B,"custody")</f>
        <v>0</v>
      </c>
      <c r="R154" s="94">
        <f>SUMIFS('caseload data'!S:S,'caseload data'!$D:$D,"TPO",'caseload data'!$A:$A,"East of England",'caseload data'!$B:$B,"custody")</f>
        <v>0</v>
      </c>
      <c r="S154" s="94">
        <f>SUMIFS('caseload data'!T:T,'caseload data'!$D:$D,"TPO",'caseload data'!$A:$A,"East of England",'caseload data'!$B:$B,"custody")</f>
        <v>0</v>
      </c>
      <c r="T154" s="94">
        <f>SUMIFS('caseload data'!V:V,'caseload data'!D:D,"TPO",'caseload data'!A:A,"East of England",'caseload data'!B:B,"custody")</f>
        <v>0</v>
      </c>
      <c r="U154" s="64"/>
      <c r="V154" s="64"/>
      <c r="W154" s="472"/>
      <c r="X154" s="129" t="s">
        <v>1008</v>
      </c>
      <c r="Y154" s="167" t="e">
        <f t="shared" si="87"/>
        <v>#DIV/0!</v>
      </c>
      <c r="Z154" s="167" t="e">
        <f t="shared" si="86"/>
        <v>#DIV/0!</v>
      </c>
      <c r="AA154" s="167" t="e">
        <f t="shared" si="86"/>
        <v>#DIV/0!</v>
      </c>
      <c r="AB154" s="167" t="e">
        <f t="shared" si="86"/>
        <v>#DIV/0!</v>
      </c>
      <c r="AC154" s="167" t="e">
        <f t="shared" si="86"/>
        <v>#DIV/0!</v>
      </c>
      <c r="AD154" s="167" t="e">
        <f t="shared" si="86"/>
        <v>#DIV/0!</v>
      </c>
      <c r="AE154" s="167" t="e">
        <f t="shared" si="86"/>
        <v>#DIV/0!</v>
      </c>
      <c r="AF154" s="167" t="e">
        <f t="shared" si="86"/>
        <v>#DIV/0!</v>
      </c>
      <c r="AG154" s="167" t="e">
        <f t="shared" si="86"/>
        <v>#DIV/0!</v>
      </c>
      <c r="AH154" s="167" t="e">
        <f t="shared" si="86"/>
        <v>#DIV/0!</v>
      </c>
      <c r="AI154" s="167" t="e">
        <f t="shared" si="86"/>
        <v>#DIV/0!</v>
      </c>
      <c r="AJ154" s="167" t="e">
        <f t="shared" si="86"/>
        <v>#DIV/0!</v>
      </c>
      <c r="AK154" s="167" t="e">
        <f t="shared" si="86"/>
        <v>#DIV/0!</v>
      </c>
      <c r="AL154" s="167" t="e">
        <f t="shared" si="86"/>
        <v>#DIV/0!</v>
      </c>
      <c r="AM154" s="167" t="e">
        <f t="shared" si="86"/>
        <v>#DIV/0!</v>
      </c>
      <c r="AN154" s="167" t="e">
        <f t="shared" si="86"/>
        <v>#DIV/0!</v>
      </c>
      <c r="AO154" s="167" t="e">
        <f t="shared" si="86"/>
        <v>#DIV/0!</v>
      </c>
    </row>
    <row r="155" spans="2:41" x14ac:dyDescent="0.15">
      <c r="B155" s="472"/>
      <c r="C155" s="129" t="s">
        <v>1009</v>
      </c>
      <c r="D155" s="94">
        <f>SUMIFS('caseload data'!E:E,'caseload data'!$D:$D,"SPO",'caseload data'!$A:$A,"East of England",'caseload data'!$B:$B,"custody")</f>
        <v>0</v>
      </c>
      <c r="E155" s="94">
        <f>SUMIFS('caseload data'!F:F,'caseload data'!$D:$D,"SPO",'caseload data'!$A:$A,"East of England",'caseload data'!$B:$B,"custody")</f>
        <v>0</v>
      </c>
      <c r="F155" s="94">
        <f>SUMIFS('caseload data'!G:G,'caseload data'!$D:$D,"SPO",'caseload data'!$A:$A,"East of England",'caseload data'!$B:$B,"custody")</f>
        <v>0</v>
      </c>
      <c r="G155" s="94">
        <f>SUMIFS('caseload data'!H:H,'caseload data'!$D:$D,"SPO",'caseload data'!$A:$A,"East of England",'caseload data'!$B:$B,"custody")</f>
        <v>0</v>
      </c>
      <c r="H155" s="94">
        <f>SUMIFS('caseload data'!I:I,'caseload data'!$D:$D,"SPO",'caseload data'!$A:$A,"East of England",'caseload data'!$B:$B,"custody")</f>
        <v>0</v>
      </c>
      <c r="I155" s="94">
        <f>SUMIFS('caseload data'!J:J,'caseload data'!$D:$D,"SPO",'caseload data'!$A:$A,"East of England",'caseload data'!$B:$B,"custody")</f>
        <v>0</v>
      </c>
      <c r="J155" s="94">
        <f>SUMIFS('caseload data'!K:K,'caseload data'!$D:$D,"SPO",'caseload data'!$A:$A,"East of England",'caseload data'!$B:$B,"custody")</f>
        <v>0</v>
      </c>
      <c r="K155" s="94">
        <f>SUMIFS('caseload data'!L:L,'caseload data'!$D:$D,"SPO",'caseload data'!$A:$A,"East of England",'caseload data'!$B:$B,"custody")</f>
        <v>0</v>
      </c>
      <c r="L155" s="94">
        <f>SUMIFS('caseload data'!M:M,'caseload data'!$D:$D,"SPO",'caseload data'!$A:$A,"East of England",'caseload data'!$B:$B,"custody")</f>
        <v>0</v>
      </c>
      <c r="M155" s="94">
        <f>SUMIFS('caseload data'!N:N,'caseload data'!$D:$D,"SPO",'caseload data'!$A:$A,"East of England",'caseload data'!$B:$B,"custody")</f>
        <v>0</v>
      </c>
      <c r="N155" s="94">
        <f>SUMIFS('caseload data'!O:O,'caseload data'!$D:$D,"SPO",'caseload data'!$A:$A,"East of England",'caseload data'!$B:$B,"custody")</f>
        <v>0</v>
      </c>
      <c r="O155" s="94">
        <f>SUMIFS('caseload data'!P:P,'caseload data'!$D:$D,"SPO",'caseload data'!$A:$A,"East of England",'caseload data'!$B:$B,"custody")</f>
        <v>0</v>
      </c>
      <c r="P155" s="94">
        <f>SUMIFS('caseload data'!Q:Q,'caseload data'!$D:$D,"SPO",'caseload data'!$A:$A,"East of England",'caseload data'!$B:$B,"custody")</f>
        <v>0</v>
      </c>
      <c r="Q155" s="94">
        <f>SUMIFS('caseload data'!R:R,'caseload data'!$D:$D,"SPO",'caseload data'!$A:$A,"East of England",'caseload data'!$B:$B,"custody")</f>
        <v>0</v>
      </c>
      <c r="R155" s="94">
        <f>SUMIFS('caseload data'!S:S,'caseload data'!$D:$D,"SPO",'caseload data'!$A:$A,"East of England",'caseload data'!$B:$B,"custody")</f>
        <v>0</v>
      </c>
      <c r="S155" s="94">
        <f>SUMIFS('caseload data'!T:T,'caseload data'!$D:$D,"SPO",'caseload data'!$A:$A,"East of England",'caseload data'!$B:$B,"custody")</f>
        <v>0</v>
      </c>
      <c r="T155" s="94">
        <f>SUMIFS('caseload data'!V:V,'caseload data'!$D:$D,"SPO",'caseload data'!$A:$A,"East of England",'caseload data'!$B:$B,"custody")</f>
        <v>0</v>
      </c>
      <c r="U155" s="64"/>
      <c r="V155" s="64"/>
      <c r="W155" s="472"/>
      <c r="X155" s="129" t="s">
        <v>1009</v>
      </c>
      <c r="Y155" s="167" t="e">
        <f t="shared" si="87"/>
        <v>#DIV/0!</v>
      </c>
      <c r="Z155" s="167" t="e">
        <f t="shared" si="86"/>
        <v>#DIV/0!</v>
      </c>
      <c r="AA155" s="167" t="e">
        <f t="shared" si="86"/>
        <v>#DIV/0!</v>
      </c>
      <c r="AB155" s="167" t="e">
        <f t="shared" si="86"/>
        <v>#DIV/0!</v>
      </c>
      <c r="AC155" s="167" t="e">
        <f t="shared" si="86"/>
        <v>#DIV/0!</v>
      </c>
      <c r="AD155" s="167" t="e">
        <f t="shared" si="86"/>
        <v>#DIV/0!</v>
      </c>
      <c r="AE155" s="167" t="e">
        <f t="shared" si="86"/>
        <v>#DIV/0!</v>
      </c>
      <c r="AF155" s="167" t="e">
        <f t="shared" si="86"/>
        <v>#DIV/0!</v>
      </c>
      <c r="AG155" s="167" t="e">
        <f t="shared" si="86"/>
        <v>#DIV/0!</v>
      </c>
      <c r="AH155" s="167" t="e">
        <f t="shared" si="86"/>
        <v>#DIV/0!</v>
      </c>
      <c r="AI155" s="167" t="e">
        <f t="shared" si="86"/>
        <v>#DIV/0!</v>
      </c>
      <c r="AJ155" s="167" t="e">
        <f t="shared" si="86"/>
        <v>#DIV/0!</v>
      </c>
      <c r="AK155" s="167" t="e">
        <f t="shared" si="86"/>
        <v>#DIV/0!</v>
      </c>
      <c r="AL155" s="167" t="e">
        <f t="shared" si="86"/>
        <v>#DIV/0!</v>
      </c>
      <c r="AM155" s="167" t="e">
        <f t="shared" si="86"/>
        <v>#DIV/0!</v>
      </c>
      <c r="AN155" s="167" t="e">
        <f t="shared" si="86"/>
        <v>#DIV/0!</v>
      </c>
      <c r="AO155" s="167" t="e">
        <f t="shared" si="86"/>
        <v>#DIV/0!</v>
      </c>
    </row>
    <row r="156" spans="2:41" x14ac:dyDescent="0.15">
      <c r="B156" s="473"/>
      <c r="C156" s="130" t="s">
        <v>1344</v>
      </c>
      <c r="D156" s="94">
        <f>SUMIFS('caseload data'!E:E,'caseload data'!$D:$D,"DMY",'caseload data'!$A:$A,"East of England",'caseload data'!$B:$B,"custody")</f>
        <v>0</v>
      </c>
      <c r="E156" s="94">
        <f>SUMIFS('caseload data'!F:F,'caseload data'!$D:$D,"DMY",'caseload data'!$A:$A,"East of England",'caseload data'!$B:$B,"custody")</f>
        <v>0</v>
      </c>
      <c r="F156" s="94">
        <f>SUMIFS('caseload data'!G:G,'caseload data'!$D:$D,"DMY",'caseload data'!$A:$A,"East of England",'caseload data'!$B:$B,"custody")</f>
        <v>0</v>
      </c>
      <c r="G156" s="94">
        <f>SUMIFS('caseload data'!H:H,'caseload data'!$D:$D,"DMY",'caseload data'!$A:$A,"East of England",'caseload data'!$B:$B,"custody")</f>
        <v>0</v>
      </c>
      <c r="H156" s="94">
        <f>SUMIFS('caseload data'!I:I,'caseload data'!$D:$D,"DMY",'caseload data'!$A:$A,"East of England",'caseload data'!$B:$B,"custody")</f>
        <v>0</v>
      </c>
      <c r="I156" s="94">
        <f>SUMIFS('caseload data'!J:J,'caseload data'!$D:$D,"DMY",'caseload data'!$A:$A,"East of England",'caseload data'!$B:$B,"custody")</f>
        <v>0</v>
      </c>
      <c r="J156" s="94">
        <f>SUMIFS('caseload data'!K:K,'caseload data'!$D:$D,"DMY",'caseload data'!$A:$A,"East of England",'caseload data'!$B:$B,"custody")</f>
        <v>0</v>
      </c>
      <c r="K156" s="94">
        <f>SUMIFS('caseload data'!L:L,'caseload data'!$D:$D,"DMY",'caseload data'!$A:$A,"East of England",'caseload data'!$B:$B,"custody")</f>
        <v>0</v>
      </c>
      <c r="L156" s="94">
        <f>SUMIFS('caseload data'!M:M,'caseload data'!$D:$D,"DMY",'caseload data'!$A:$A,"East of England",'caseload data'!$B:$B,"custody")</f>
        <v>0</v>
      </c>
      <c r="M156" s="94">
        <f>SUMIFS('caseload data'!N:N,'caseload data'!$D:$D,"DMY",'caseload data'!$A:$A,"East of England",'caseload data'!$B:$B,"custody")</f>
        <v>0</v>
      </c>
      <c r="N156" s="94">
        <f>SUMIFS('caseload data'!O:O,'caseload data'!$D:$D,"DMY",'caseload data'!$A:$A,"East of England",'caseload data'!$B:$B,"custody")</f>
        <v>0</v>
      </c>
      <c r="O156" s="94">
        <f>SUMIFS('caseload data'!P:P,'caseload data'!$D:$D,"DMY",'caseload data'!$A:$A,"East of England",'caseload data'!$B:$B,"custody")</f>
        <v>0</v>
      </c>
      <c r="P156" s="94">
        <f>SUMIFS('caseload data'!Q:Q,'caseload data'!$D:$D,"DMY",'caseload data'!$A:$A,"East of England",'caseload data'!$B:$B,"custody")</f>
        <v>0</v>
      </c>
      <c r="Q156" s="94">
        <f>SUMIFS('caseload data'!R:R,'caseload data'!$D:$D,"DMY",'caseload data'!$A:$A,"East of England",'caseload data'!$B:$B,"custody")</f>
        <v>0</v>
      </c>
      <c r="R156" s="94">
        <f>SUMIFS('caseload data'!S:S,'caseload data'!$D:$D,"DMY",'caseload data'!$A:$A,"East of England",'caseload data'!$B:$B,"custody")</f>
        <v>0</v>
      </c>
      <c r="S156" s="94">
        <f>SUMIFS('caseload data'!T:T,'caseload data'!$D:$D,"DMY",'caseload data'!$A:$A,"East of England",'caseload data'!$B:$B,"custody")</f>
        <v>0</v>
      </c>
      <c r="T156" s="94">
        <f>SUMIFS('caseload data'!V:V,'caseload data'!$D:$D,"DMY",'caseload data'!$A:$A,"East of England",'caseload data'!$B:$B,"custody")</f>
        <v>0</v>
      </c>
      <c r="U156" s="64"/>
      <c r="V156" s="64"/>
      <c r="W156" s="473"/>
      <c r="X156" s="130" t="s">
        <v>1344</v>
      </c>
      <c r="Y156" s="167" t="e">
        <f t="shared" si="87"/>
        <v>#DIV/0!</v>
      </c>
      <c r="Z156" s="167" t="e">
        <f t="shared" si="86"/>
        <v>#DIV/0!</v>
      </c>
      <c r="AA156" s="167" t="e">
        <f t="shared" si="86"/>
        <v>#DIV/0!</v>
      </c>
      <c r="AB156" s="167" t="e">
        <f t="shared" si="86"/>
        <v>#DIV/0!</v>
      </c>
      <c r="AC156" s="167" t="e">
        <f t="shared" si="86"/>
        <v>#DIV/0!</v>
      </c>
      <c r="AD156" s="167" t="e">
        <f t="shared" si="86"/>
        <v>#DIV/0!</v>
      </c>
      <c r="AE156" s="167" t="e">
        <f t="shared" si="86"/>
        <v>#DIV/0!</v>
      </c>
      <c r="AF156" s="167" t="e">
        <f t="shared" si="86"/>
        <v>#DIV/0!</v>
      </c>
      <c r="AG156" s="167" t="e">
        <f t="shared" si="86"/>
        <v>#DIV/0!</v>
      </c>
      <c r="AH156" s="167" t="e">
        <f t="shared" si="86"/>
        <v>#DIV/0!</v>
      </c>
      <c r="AI156" s="167" t="e">
        <f t="shared" si="86"/>
        <v>#DIV/0!</v>
      </c>
      <c r="AJ156" s="167" t="e">
        <f t="shared" si="86"/>
        <v>#DIV/0!</v>
      </c>
      <c r="AK156" s="167" t="e">
        <f t="shared" si="86"/>
        <v>#DIV/0!</v>
      </c>
      <c r="AL156" s="167" t="e">
        <f t="shared" si="86"/>
        <v>#DIV/0!</v>
      </c>
      <c r="AM156" s="167" t="e">
        <f t="shared" si="86"/>
        <v>#DIV/0!</v>
      </c>
      <c r="AN156" s="167" t="e">
        <f t="shared" si="86"/>
        <v>#DIV/0!</v>
      </c>
      <c r="AO156" s="167" t="e">
        <f t="shared" si="86"/>
        <v>#DIV/0!</v>
      </c>
    </row>
    <row r="157" spans="2:41" x14ac:dyDescent="0.15">
      <c r="B157" s="471" t="s">
        <v>19</v>
      </c>
      <c r="C157" s="128" t="s">
        <v>1002</v>
      </c>
      <c r="D157" s="94">
        <f>SUMIFS('caseload data'!E:E,'caseload data'!$D:$D,"PO",'caseload data'!$A:$A,"Greater Manchester",'caseload data'!$B:$B,"custody")</f>
        <v>0</v>
      </c>
      <c r="E157" s="94">
        <f>SUMIFS('caseload data'!F:F,'caseload data'!$D:$D,"PO",'caseload data'!$A:$A,"Greater Manchester",'caseload data'!$B:$B,"custody")</f>
        <v>0</v>
      </c>
      <c r="F157" s="94">
        <f>SUMIFS('caseload data'!G:G,'caseload data'!$D:$D,"PO",'caseload data'!$A:$A,"Greater Manchester",'caseload data'!$B:$B,"custody")</f>
        <v>0</v>
      </c>
      <c r="G157" s="94">
        <f>SUMIFS('caseload data'!H:H,'caseload data'!$D:$D,"PO",'caseload data'!$A:$A,"Greater Manchester",'caseload data'!$B:$B,"custody")</f>
        <v>0</v>
      </c>
      <c r="H157" s="94">
        <f>SUMIFS('caseload data'!I:I,'caseload data'!$D:$D,"PO",'caseload data'!$A:$A,"Greater Manchester",'caseload data'!$B:$B,"custody")</f>
        <v>0</v>
      </c>
      <c r="I157" s="94">
        <f>SUMIFS('caseload data'!J:J,'caseload data'!$D:$D,"PO",'caseload data'!$A:$A,"Greater Manchester",'caseload data'!$B:$B,"custody")</f>
        <v>0</v>
      </c>
      <c r="J157" s="94">
        <f>SUMIFS('caseload data'!K:K,'caseload data'!$D:$D,"PO",'caseload data'!$A:$A,"Greater Manchester",'caseload data'!$B:$B,"custody")</f>
        <v>0</v>
      </c>
      <c r="K157" s="94">
        <f>SUMIFS('caseload data'!L:L,'caseload data'!$D:$D,"PO",'caseload data'!$A:$A,"Greater Manchester",'caseload data'!$B:$B,"custody")</f>
        <v>0</v>
      </c>
      <c r="L157" s="94">
        <f>SUMIFS('caseload data'!M:M,'caseload data'!$D:$D,"PO",'caseload data'!$A:$A,"Greater Manchester",'caseload data'!$B:$B,"custody")</f>
        <v>0</v>
      </c>
      <c r="M157" s="94">
        <f>SUMIFS('caseload data'!N:N,'caseload data'!$D:$D,"PO",'caseload data'!$A:$A,"Greater Manchester",'caseload data'!$B:$B,"custody")</f>
        <v>0</v>
      </c>
      <c r="N157" s="94">
        <f>SUMIFS('caseload data'!O:O,'caseload data'!$D:$D,"PO",'caseload data'!$A:$A,"Greater Manchester",'caseload data'!$B:$B,"custody")</f>
        <v>0</v>
      </c>
      <c r="O157" s="94">
        <f>SUMIFS('caseload data'!P:P,'caseload data'!$D:$D,"PO",'caseload data'!$A:$A,"Greater Manchester",'caseload data'!$B:$B,"custody")</f>
        <v>0</v>
      </c>
      <c r="P157" s="94">
        <f>SUMIFS('caseload data'!Q:Q,'caseload data'!$D:$D,"PO",'caseload data'!$A:$A,"Greater Manchester",'caseload data'!$B:$B,"custody")</f>
        <v>0</v>
      </c>
      <c r="Q157" s="94">
        <f>SUMIFS('caseload data'!R:R,'caseload data'!$D:$D,"PO",'caseload data'!$A:$A,"Greater Manchester",'caseload data'!$B:$B,"custody")</f>
        <v>0</v>
      </c>
      <c r="R157" s="94">
        <f>SUMIFS('caseload data'!S:S,'caseload data'!$D:$D,"PO",'caseload data'!$A:$A,"Greater Manchester",'caseload data'!$B:$B,"custody")</f>
        <v>0</v>
      </c>
      <c r="S157" s="94">
        <f>SUMIFS('caseload data'!T:T,'caseload data'!$D:$D,"PO",'caseload data'!$A:$A,"Greater Manchester",'caseload data'!$B:$B,"custody")</f>
        <v>0</v>
      </c>
      <c r="T157" s="94">
        <f>SUMIFS('caseload data'!V:V,'caseload data'!D:D,"PO",'caseload data'!A:A,"Greater Manchester",'caseload data'!B:B,"custody")</f>
        <v>0</v>
      </c>
      <c r="U157" s="64"/>
      <c r="V157" s="64"/>
      <c r="W157" s="471" t="s">
        <v>19</v>
      </c>
      <c r="X157" s="128" t="s">
        <v>1002</v>
      </c>
      <c r="Y157" s="167" t="e">
        <f>SUM(D157)/SUM(D$157:D$161)</f>
        <v>#DIV/0!</v>
      </c>
      <c r="Z157" s="167" t="e">
        <f t="shared" ref="Z157:AO161" si="88">SUM(E157)/SUM(E$157:E$161)</f>
        <v>#DIV/0!</v>
      </c>
      <c r="AA157" s="167" t="e">
        <f t="shared" si="88"/>
        <v>#DIV/0!</v>
      </c>
      <c r="AB157" s="167" t="e">
        <f t="shared" si="88"/>
        <v>#DIV/0!</v>
      </c>
      <c r="AC157" s="167" t="e">
        <f t="shared" si="88"/>
        <v>#DIV/0!</v>
      </c>
      <c r="AD157" s="167" t="e">
        <f t="shared" si="88"/>
        <v>#DIV/0!</v>
      </c>
      <c r="AE157" s="167" t="e">
        <f t="shared" si="88"/>
        <v>#DIV/0!</v>
      </c>
      <c r="AF157" s="167" t="e">
        <f t="shared" si="88"/>
        <v>#DIV/0!</v>
      </c>
      <c r="AG157" s="167" t="e">
        <f t="shared" si="88"/>
        <v>#DIV/0!</v>
      </c>
      <c r="AH157" s="167" t="e">
        <f t="shared" si="88"/>
        <v>#DIV/0!</v>
      </c>
      <c r="AI157" s="167" t="e">
        <f t="shared" si="88"/>
        <v>#DIV/0!</v>
      </c>
      <c r="AJ157" s="167" t="e">
        <f t="shared" si="88"/>
        <v>#DIV/0!</v>
      </c>
      <c r="AK157" s="167" t="e">
        <f t="shared" si="88"/>
        <v>#DIV/0!</v>
      </c>
      <c r="AL157" s="167" t="e">
        <f t="shared" si="88"/>
        <v>#DIV/0!</v>
      </c>
      <c r="AM157" s="167" t="e">
        <f t="shared" si="88"/>
        <v>#DIV/0!</v>
      </c>
      <c r="AN157" s="167" t="e">
        <f t="shared" si="88"/>
        <v>#DIV/0!</v>
      </c>
      <c r="AO157" s="167" t="e">
        <f t="shared" si="88"/>
        <v>#DIV/0!</v>
      </c>
    </row>
    <row r="158" spans="2:41" x14ac:dyDescent="0.15">
      <c r="B158" s="472"/>
      <c r="C158" s="129" t="s">
        <v>1007</v>
      </c>
      <c r="D158" s="94">
        <f>SUMIFS('caseload data'!E:E,'caseload data'!$D:$D,"PSO",'caseload data'!$A:$A,"Greater Manchester",'caseload data'!$B:$B,"custody")</f>
        <v>0</v>
      </c>
      <c r="E158" s="94">
        <f>SUMIFS('caseload data'!F:F,'caseload data'!$D:$D,"PSO",'caseload data'!$A:$A,"Greater Manchester",'caseload data'!$B:$B,"custody")</f>
        <v>0</v>
      </c>
      <c r="F158" s="94">
        <f>SUMIFS('caseload data'!G:G,'caseload data'!$D:$D,"PSO",'caseload data'!$A:$A,"Greater Manchester",'caseload data'!$B:$B,"custody")</f>
        <v>0</v>
      </c>
      <c r="G158" s="94">
        <f>SUMIFS('caseload data'!H:H,'caseload data'!$D:$D,"PSO",'caseload data'!$A:$A,"Greater Manchester",'caseload data'!$B:$B,"custody")</f>
        <v>0</v>
      </c>
      <c r="H158" s="94">
        <f>SUMIFS('caseload data'!I:I,'caseload data'!$D:$D,"PSO",'caseload data'!$A:$A,"Greater Manchester",'caseload data'!$B:$B,"custody")</f>
        <v>0</v>
      </c>
      <c r="I158" s="94">
        <f>SUMIFS('caseload data'!J:J,'caseload data'!$D:$D,"PSO",'caseload data'!$A:$A,"Greater Manchester",'caseload data'!$B:$B,"custody")</f>
        <v>0</v>
      </c>
      <c r="J158" s="94">
        <f>SUMIFS('caseload data'!K:K,'caseload data'!$D:$D,"PSO",'caseload data'!$A:$A,"Greater Manchester",'caseload data'!$B:$B,"custody")</f>
        <v>0</v>
      </c>
      <c r="K158" s="94">
        <f>SUMIFS('caseload data'!L:L,'caseload data'!$D:$D,"PSO",'caseload data'!$A:$A,"Greater Manchester",'caseload data'!$B:$B,"custody")</f>
        <v>0</v>
      </c>
      <c r="L158" s="94">
        <f>SUMIFS('caseload data'!M:M,'caseload data'!$D:$D,"PSO",'caseload data'!$A:$A,"Greater Manchester",'caseload data'!$B:$B,"custody")</f>
        <v>0</v>
      </c>
      <c r="M158" s="94">
        <f>SUMIFS('caseload data'!N:N,'caseload data'!$D:$D,"PSO",'caseload data'!$A:$A,"Greater Manchester",'caseload data'!$B:$B,"custody")</f>
        <v>0</v>
      </c>
      <c r="N158" s="94">
        <f>SUMIFS('caseload data'!O:O,'caseload data'!$D:$D,"PSO",'caseload data'!$A:$A,"Greater Manchester",'caseload data'!$B:$B,"custody")</f>
        <v>0</v>
      </c>
      <c r="O158" s="94">
        <f>SUMIFS('caseload data'!P:P,'caseload data'!$D:$D,"PSO",'caseload data'!$A:$A,"Greater Manchester",'caseload data'!$B:$B,"custody")</f>
        <v>0</v>
      </c>
      <c r="P158" s="94">
        <f>SUMIFS('caseload data'!Q:Q,'caseload data'!$D:$D,"PSO",'caseload data'!$A:$A,"Greater Manchester",'caseload data'!$B:$B,"custody")</f>
        <v>0</v>
      </c>
      <c r="Q158" s="94">
        <f>SUMIFS('caseload data'!R:R,'caseload data'!$D:$D,"PSO",'caseload data'!$A:$A,"Greater Manchester",'caseload data'!$B:$B,"custody")</f>
        <v>0</v>
      </c>
      <c r="R158" s="94">
        <f>SUMIFS('caseload data'!S:S,'caseload data'!$D:$D,"PSO",'caseload data'!$A:$A,"Greater Manchester",'caseload data'!$B:$B,"custody")</f>
        <v>0</v>
      </c>
      <c r="S158" s="94">
        <f>SUMIFS('caseload data'!T:T,'caseload data'!$D:$D,"PSO",'caseload data'!$A:$A,"Greater Manchester",'caseload data'!$B:$B,"custody")</f>
        <v>0</v>
      </c>
      <c r="T158" s="94">
        <f>SUMIFS('caseload data'!V:V,'caseload data'!D:D,"PSO",'caseload data'!A:A,"Greater Manchester",'caseload data'!B:B,"custody")</f>
        <v>0</v>
      </c>
      <c r="U158" s="64"/>
      <c r="V158" s="64"/>
      <c r="W158" s="472"/>
      <c r="X158" s="129" t="s">
        <v>1007</v>
      </c>
      <c r="Y158" s="167" t="e">
        <f t="shared" ref="Y158:Y161" si="89">SUM(D158)/SUM(D$157:D$161)</f>
        <v>#DIV/0!</v>
      </c>
      <c r="Z158" s="167" t="e">
        <f t="shared" si="88"/>
        <v>#DIV/0!</v>
      </c>
      <c r="AA158" s="167" t="e">
        <f t="shared" si="88"/>
        <v>#DIV/0!</v>
      </c>
      <c r="AB158" s="167" t="e">
        <f t="shared" si="88"/>
        <v>#DIV/0!</v>
      </c>
      <c r="AC158" s="167" t="e">
        <f t="shared" si="88"/>
        <v>#DIV/0!</v>
      </c>
      <c r="AD158" s="167" t="e">
        <f t="shared" si="88"/>
        <v>#DIV/0!</v>
      </c>
      <c r="AE158" s="167" t="e">
        <f t="shared" si="88"/>
        <v>#DIV/0!</v>
      </c>
      <c r="AF158" s="167" t="e">
        <f t="shared" si="88"/>
        <v>#DIV/0!</v>
      </c>
      <c r="AG158" s="167" t="e">
        <f t="shared" si="88"/>
        <v>#DIV/0!</v>
      </c>
      <c r="AH158" s="167" t="e">
        <f t="shared" si="88"/>
        <v>#DIV/0!</v>
      </c>
      <c r="AI158" s="167" t="e">
        <f t="shared" si="88"/>
        <v>#DIV/0!</v>
      </c>
      <c r="AJ158" s="167" t="e">
        <f t="shared" si="88"/>
        <v>#DIV/0!</v>
      </c>
      <c r="AK158" s="167" t="e">
        <f t="shared" si="88"/>
        <v>#DIV/0!</v>
      </c>
      <c r="AL158" s="167" t="e">
        <f t="shared" si="88"/>
        <v>#DIV/0!</v>
      </c>
      <c r="AM158" s="167" t="e">
        <f t="shared" si="88"/>
        <v>#DIV/0!</v>
      </c>
      <c r="AN158" s="167" t="e">
        <f t="shared" si="88"/>
        <v>#DIV/0!</v>
      </c>
      <c r="AO158" s="167" t="e">
        <f t="shared" si="88"/>
        <v>#DIV/0!</v>
      </c>
    </row>
    <row r="159" spans="2:41" x14ac:dyDescent="0.15">
      <c r="B159" s="472"/>
      <c r="C159" s="129" t="s">
        <v>1008</v>
      </c>
      <c r="D159" s="94">
        <f>SUMIFS('caseload data'!E:E,'caseload data'!$D:$D,"TPO",'caseload data'!$A:$A,"Greater Manchester",'caseload data'!$B:$B,"custody")</f>
        <v>0</v>
      </c>
      <c r="E159" s="94">
        <f>SUMIFS('caseload data'!F:F,'caseload data'!$D:$D,"TPO",'caseload data'!$A:$A,"Greater Manchester",'caseload data'!$B:$B,"custody")</f>
        <v>0</v>
      </c>
      <c r="F159" s="94">
        <f>SUMIFS('caseload data'!G:G,'caseload data'!$D:$D,"TPO",'caseload data'!$A:$A,"Greater Manchester",'caseload data'!$B:$B,"custody")</f>
        <v>0</v>
      </c>
      <c r="G159" s="94">
        <f>SUMIFS('caseload data'!H:H,'caseload data'!$D:$D,"TPO",'caseload data'!$A:$A,"Greater Manchester",'caseload data'!$B:$B,"custody")</f>
        <v>0</v>
      </c>
      <c r="H159" s="94">
        <f>SUMIFS('caseload data'!I:I,'caseload data'!$D:$D,"TPO",'caseload data'!$A:$A,"Greater Manchester",'caseload data'!$B:$B,"custody")</f>
        <v>0</v>
      </c>
      <c r="I159" s="94">
        <f>SUMIFS('caseload data'!J:J,'caseload data'!$D:$D,"TPO",'caseload data'!$A:$A,"Greater Manchester",'caseload data'!$B:$B,"custody")</f>
        <v>0</v>
      </c>
      <c r="J159" s="94">
        <f>SUMIFS('caseload data'!K:K,'caseload data'!$D:$D,"TPO",'caseload data'!$A:$A,"Greater Manchester",'caseload data'!$B:$B,"custody")</f>
        <v>0</v>
      </c>
      <c r="K159" s="94">
        <f>SUMIFS('caseload data'!L:L,'caseload data'!$D:$D,"TPO",'caseload data'!$A:$A,"Greater Manchester",'caseload data'!$B:$B,"custody")</f>
        <v>0</v>
      </c>
      <c r="L159" s="94">
        <f>SUMIFS('caseload data'!M:M,'caseload data'!$D:$D,"TPO",'caseload data'!$A:$A,"Greater Manchester",'caseload data'!$B:$B,"custody")</f>
        <v>0</v>
      </c>
      <c r="M159" s="94">
        <f>SUMIFS('caseload data'!N:N,'caseload data'!$D:$D,"TPO",'caseload data'!$A:$A,"Greater Manchester",'caseload data'!$B:$B,"custody")</f>
        <v>0</v>
      </c>
      <c r="N159" s="94">
        <f>SUMIFS('caseload data'!O:O,'caseload data'!$D:$D,"TPO",'caseload data'!$A:$A,"Greater Manchester",'caseload data'!$B:$B,"custody")</f>
        <v>0</v>
      </c>
      <c r="O159" s="94">
        <f>SUMIFS('caseload data'!P:P,'caseload data'!$D:$D,"TPO",'caseload data'!$A:$A,"Greater Manchester",'caseload data'!$B:$B,"custody")</f>
        <v>0</v>
      </c>
      <c r="P159" s="94">
        <f>SUMIFS('caseload data'!Q:Q,'caseload data'!$D:$D,"TPO",'caseload data'!$A:$A,"Greater Manchester",'caseload data'!$B:$B,"custody")</f>
        <v>0</v>
      </c>
      <c r="Q159" s="94">
        <f>SUMIFS('caseload data'!R:R,'caseload data'!$D:$D,"TPO",'caseload data'!$A:$A,"Greater Manchester",'caseload data'!$B:$B,"custody")</f>
        <v>0</v>
      </c>
      <c r="R159" s="94">
        <f>SUMIFS('caseload data'!S:S,'caseload data'!$D:$D,"TPO",'caseload data'!$A:$A,"Greater Manchester",'caseload data'!$B:$B,"custody")</f>
        <v>0</v>
      </c>
      <c r="S159" s="94">
        <f>SUMIFS('caseload data'!T:T,'caseload data'!$D:$D,"TPO",'caseload data'!$A:$A,"Greater Manchester",'caseload data'!$B:$B,"custody")</f>
        <v>0</v>
      </c>
      <c r="T159" s="94">
        <f>SUMIFS('caseload data'!V:V,'caseload data'!D:D,"TPO",'caseload data'!A:A,"Greater Manchester",'caseload data'!B:B,"custody")</f>
        <v>0</v>
      </c>
      <c r="U159" s="64"/>
      <c r="V159" s="64"/>
      <c r="W159" s="472"/>
      <c r="X159" s="129" t="s">
        <v>1008</v>
      </c>
      <c r="Y159" s="167" t="e">
        <f t="shared" si="89"/>
        <v>#DIV/0!</v>
      </c>
      <c r="Z159" s="167" t="e">
        <f t="shared" si="88"/>
        <v>#DIV/0!</v>
      </c>
      <c r="AA159" s="167" t="e">
        <f t="shared" si="88"/>
        <v>#DIV/0!</v>
      </c>
      <c r="AB159" s="167" t="e">
        <f t="shared" si="88"/>
        <v>#DIV/0!</v>
      </c>
      <c r="AC159" s="167" t="e">
        <f t="shared" si="88"/>
        <v>#DIV/0!</v>
      </c>
      <c r="AD159" s="167" t="e">
        <f t="shared" si="88"/>
        <v>#DIV/0!</v>
      </c>
      <c r="AE159" s="167" t="e">
        <f t="shared" si="88"/>
        <v>#DIV/0!</v>
      </c>
      <c r="AF159" s="167" t="e">
        <f t="shared" si="88"/>
        <v>#DIV/0!</v>
      </c>
      <c r="AG159" s="167" t="e">
        <f t="shared" si="88"/>
        <v>#DIV/0!</v>
      </c>
      <c r="AH159" s="167" t="e">
        <f t="shared" si="88"/>
        <v>#DIV/0!</v>
      </c>
      <c r="AI159" s="167" t="e">
        <f t="shared" si="88"/>
        <v>#DIV/0!</v>
      </c>
      <c r="AJ159" s="167" t="e">
        <f t="shared" si="88"/>
        <v>#DIV/0!</v>
      </c>
      <c r="AK159" s="167" t="e">
        <f t="shared" si="88"/>
        <v>#DIV/0!</v>
      </c>
      <c r="AL159" s="167" t="e">
        <f t="shared" si="88"/>
        <v>#DIV/0!</v>
      </c>
      <c r="AM159" s="167" t="e">
        <f t="shared" si="88"/>
        <v>#DIV/0!</v>
      </c>
      <c r="AN159" s="167" t="e">
        <f t="shared" si="88"/>
        <v>#DIV/0!</v>
      </c>
      <c r="AO159" s="167" t="e">
        <f t="shared" si="88"/>
        <v>#DIV/0!</v>
      </c>
    </row>
    <row r="160" spans="2:41" x14ac:dyDescent="0.15">
      <c r="B160" s="472"/>
      <c r="C160" s="129" t="s">
        <v>1009</v>
      </c>
      <c r="D160" s="94">
        <f>SUMIFS('caseload data'!E:E,'caseload data'!$D:$D,"SPO",'caseload data'!$A:$A,"Greater Manchester",'caseload data'!$B:$B,"custody")</f>
        <v>0</v>
      </c>
      <c r="E160" s="94">
        <f>SUMIFS('caseload data'!F:F,'caseload data'!$D:$D,"SPO",'caseload data'!$A:$A,"Greater Manchester",'caseload data'!$B:$B,"custody")</f>
        <v>0</v>
      </c>
      <c r="F160" s="94">
        <f>SUMIFS('caseload data'!G:G,'caseload data'!$D:$D,"SPO",'caseload data'!$A:$A,"Greater Manchester",'caseload data'!$B:$B,"custody")</f>
        <v>0</v>
      </c>
      <c r="G160" s="94">
        <f>SUMIFS('caseload data'!H:H,'caseload data'!$D:$D,"SPO",'caseload data'!$A:$A,"Greater Manchester",'caseload data'!$B:$B,"custody")</f>
        <v>0</v>
      </c>
      <c r="H160" s="94">
        <f>SUMIFS('caseload data'!I:I,'caseload data'!$D:$D,"SPO",'caseload data'!$A:$A,"Greater Manchester",'caseload data'!$B:$B,"custody")</f>
        <v>0</v>
      </c>
      <c r="I160" s="94">
        <f>SUMIFS('caseload data'!J:J,'caseload data'!$D:$D,"SPO",'caseload data'!$A:$A,"Greater Manchester",'caseload data'!$B:$B,"custody")</f>
        <v>0</v>
      </c>
      <c r="J160" s="94">
        <f>SUMIFS('caseload data'!K:K,'caseload data'!$D:$D,"SPO",'caseload data'!$A:$A,"Greater Manchester",'caseload data'!$B:$B,"custody")</f>
        <v>0</v>
      </c>
      <c r="K160" s="94">
        <f>SUMIFS('caseload data'!L:L,'caseload data'!$D:$D,"SPO",'caseload data'!$A:$A,"Greater Manchester",'caseload data'!$B:$B,"custody")</f>
        <v>0</v>
      </c>
      <c r="L160" s="94">
        <f>SUMIFS('caseload data'!M:M,'caseload data'!$D:$D,"SPO",'caseload data'!$A:$A,"Greater Manchester",'caseload data'!$B:$B,"custody")</f>
        <v>0</v>
      </c>
      <c r="M160" s="94">
        <f>SUMIFS('caseload data'!N:N,'caseload data'!$D:$D,"SPO",'caseload data'!$A:$A,"Greater Manchester",'caseload data'!$B:$B,"custody")</f>
        <v>0</v>
      </c>
      <c r="N160" s="94">
        <f>SUMIFS('caseload data'!O:O,'caseload data'!$D:$D,"SPO",'caseload data'!$A:$A,"Greater Manchester",'caseload data'!$B:$B,"custody")</f>
        <v>0</v>
      </c>
      <c r="O160" s="94">
        <f>SUMIFS('caseload data'!P:P,'caseload data'!$D:$D,"SPO",'caseload data'!$A:$A,"Greater Manchester",'caseload data'!$B:$B,"custody")</f>
        <v>0</v>
      </c>
      <c r="P160" s="94">
        <f>SUMIFS('caseload data'!Q:Q,'caseload data'!$D:$D,"SPO",'caseload data'!$A:$A,"Greater Manchester",'caseload data'!$B:$B,"custody")</f>
        <v>0</v>
      </c>
      <c r="Q160" s="94">
        <f>SUMIFS('caseload data'!R:R,'caseload data'!$D:$D,"SPO",'caseload data'!$A:$A,"Greater Manchester",'caseload data'!$B:$B,"custody")</f>
        <v>0</v>
      </c>
      <c r="R160" s="94">
        <f>SUMIFS('caseload data'!S:S,'caseload data'!$D:$D,"SPO",'caseload data'!$A:$A,"Greater Manchester",'caseload data'!$B:$B,"custody")</f>
        <v>0</v>
      </c>
      <c r="S160" s="94">
        <f>SUMIFS('caseload data'!T:T,'caseload data'!$D:$D,"SPO",'caseload data'!$A:$A,"Greater Manchester",'caseload data'!$B:$B,"custody")</f>
        <v>0</v>
      </c>
      <c r="T160" s="94">
        <f>SUMIFS('caseload data'!V:V,'caseload data'!$D:$D,"SPO",'caseload data'!$A:$A,"Greater Manchester",'caseload data'!$B:$B,"custody")</f>
        <v>0</v>
      </c>
      <c r="U160" s="64"/>
      <c r="V160" s="64"/>
      <c r="W160" s="472"/>
      <c r="X160" s="129" t="s">
        <v>1009</v>
      </c>
      <c r="Y160" s="167" t="e">
        <f t="shared" si="89"/>
        <v>#DIV/0!</v>
      </c>
      <c r="Z160" s="167" t="e">
        <f t="shared" si="88"/>
        <v>#DIV/0!</v>
      </c>
      <c r="AA160" s="167" t="e">
        <f t="shared" si="88"/>
        <v>#DIV/0!</v>
      </c>
      <c r="AB160" s="167" t="e">
        <f t="shared" si="88"/>
        <v>#DIV/0!</v>
      </c>
      <c r="AC160" s="167" t="e">
        <f t="shared" si="88"/>
        <v>#DIV/0!</v>
      </c>
      <c r="AD160" s="167" t="e">
        <f t="shared" si="88"/>
        <v>#DIV/0!</v>
      </c>
      <c r="AE160" s="167" t="e">
        <f t="shared" si="88"/>
        <v>#DIV/0!</v>
      </c>
      <c r="AF160" s="167" t="e">
        <f t="shared" si="88"/>
        <v>#DIV/0!</v>
      </c>
      <c r="AG160" s="167" t="e">
        <f t="shared" si="88"/>
        <v>#DIV/0!</v>
      </c>
      <c r="AH160" s="167" t="e">
        <f t="shared" si="88"/>
        <v>#DIV/0!</v>
      </c>
      <c r="AI160" s="167" t="e">
        <f t="shared" si="88"/>
        <v>#DIV/0!</v>
      </c>
      <c r="AJ160" s="167" t="e">
        <f t="shared" si="88"/>
        <v>#DIV/0!</v>
      </c>
      <c r="AK160" s="167" t="e">
        <f t="shared" si="88"/>
        <v>#DIV/0!</v>
      </c>
      <c r="AL160" s="167" t="e">
        <f t="shared" si="88"/>
        <v>#DIV/0!</v>
      </c>
      <c r="AM160" s="167" t="e">
        <f t="shared" si="88"/>
        <v>#DIV/0!</v>
      </c>
      <c r="AN160" s="167" t="e">
        <f t="shared" si="88"/>
        <v>#DIV/0!</v>
      </c>
      <c r="AO160" s="167" t="e">
        <f t="shared" si="88"/>
        <v>#DIV/0!</v>
      </c>
    </row>
    <row r="161" spans="2:41" x14ac:dyDescent="0.15">
      <c r="B161" s="473"/>
      <c r="C161" s="130" t="s">
        <v>1344</v>
      </c>
      <c r="D161" s="94">
        <f>SUMIFS('caseload data'!E:E,'caseload data'!$D:$D,"DMY",'caseload data'!$A:$A,"Greater Manchester",'caseload data'!$B:$B,"custody")</f>
        <v>0</v>
      </c>
      <c r="E161" s="94">
        <f>SUMIFS('caseload data'!F:F,'caseload data'!$D:$D,"DMY",'caseload data'!$A:$A,"Greater Manchester",'caseload data'!$B:$B,"custody")</f>
        <v>0</v>
      </c>
      <c r="F161" s="94">
        <f>SUMIFS('caseload data'!G:G,'caseload data'!$D:$D,"DMY",'caseload data'!$A:$A,"Greater Manchester",'caseload data'!$B:$B,"custody")</f>
        <v>0</v>
      </c>
      <c r="G161" s="94">
        <f>SUMIFS('caseload data'!H:H,'caseload data'!$D:$D,"DMY",'caseload data'!$A:$A,"Greater Manchester",'caseload data'!$B:$B,"custody")</f>
        <v>0</v>
      </c>
      <c r="H161" s="94">
        <f>SUMIFS('caseload data'!I:I,'caseload data'!$D:$D,"DMY",'caseload data'!$A:$A,"Greater Manchester",'caseload data'!$B:$B,"custody")</f>
        <v>0</v>
      </c>
      <c r="I161" s="94">
        <f>SUMIFS('caseload data'!J:J,'caseload data'!$D:$D,"DMY",'caseload data'!$A:$A,"Greater Manchester",'caseload data'!$B:$B,"custody")</f>
        <v>0</v>
      </c>
      <c r="J161" s="94">
        <f>SUMIFS('caseload data'!K:K,'caseload data'!$D:$D,"DMY",'caseload data'!$A:$A,"Greater Manchester",'caseload data'!$B:$B,"custody")</f>
        <v>0</v>
      </c>
      <c r="K161" s="94">
        <f>SUMIFS('caseload data'!L:L,'caseload data'!$D:$D,"DMY",'caseload data'!$A:$A,"Greater Manchester",'caseload data'!$B:$B,"custody")</f>
        <v>0</v>
      </c>
      <c r="L161" s="94">
        <f>SUMIFS('caseload data'!M:M,'caseload data'!$D:$D,"DMY",'caseload data'!$A:$A,"Greater Manchester",'caseload data'!$B:$B,"custody")</f>
        <v>0</v>
      </c>
      <c r="M161" s="94">
        <f>SUMIFS('caseload data'!N:N,'caseload data'!$D:$D,"DMY",'caseload data'!$A:$A,"Greater Manchester",'caseload data'!$B:$B,"custody")</f>
        <v>0</v>
      </c>
      <c r="N161" s="94">
        <f>SUMIFS('caseload data'!O:O,'caseload data'!$D:$D,"DMY",'caseload data'!$A:$A,"Greater Manchester",'caseload data'!$B:$B,"custody")</f>
        <v>0</v>
      </c>
      <c r="O161" s="94">
        <f>SUMIFS('caseload data'!P:P,'caseload data'!$D:$D,"DMY",'caseload data'!$A:$A,"Greater Manchester",'caseload data'!$B:$B,"custody")</f>
        <v>0</v>
      </c>
      <c r="P161" s="94">
        <f>SUMIFS('caseload data'!Q:Q,'caseload data'!$D:$D,"DMY",'caseload data'!$A:$A,"Greater Manchester",'caseload data'!$B:$B,"custody")</f>
        <v>0</v>
      </c>
      <c r="Q161" s="94">
        <f>SUMIFS('caseload data'!R:R,'caseload data'!$D:$D,"DMY",'caseload data'!$A:$A,"Greater Manchester",'caseload data'!$B:$B,"custody")</f>
        <v>0</v>
      </c>
      <c r="R161" s="94">
        <f>SUMIFS('caseload data'!S:S,'caseload data'!$D:$D,"DMY",'caseload data'!$A:$A,"Greater Manchester",'caseload data'!$B:$B,"custody")</f>
        <v>0</v>
      </c>
      <c r="S161" s="94">
        <f>SUMIFS('caseload data'!T:T,'caseload data'!$D:$D,"DMY",'caseload data'!$A:$A,"Greater Manchester",'caseload data'!$B:$B,"custody")</f>
        <v>0</v>
      </c>
      <c r="T161" s="94">
        <f>SUMIFS('caseload data'!V:V,'caseload data'!$D:$D,"DMY",'caseload data'!$A:$A,"Greater Manchester",'caseload data'!$B:$B,"custody")</f>
        <v>0</v>
      </c>
      <c r="U161" s="64"/>
      <c r="V161" s="64"/>
      <c r="W161" s="473"/>
      <c r="X161" s="130" t="s">
        <v>1344</v>
      </c>
      <c r="Y161" s="167" t="e">
        <f t="shared" si="89"/>
        <v>#DIV/0!</v>
      </c>
      <c r="Z161" s="167" t="e">
        <f t="shared" si="88"/>
        <v>#DIV/0!</v>
      </c>
      <c r="AA161" s="167" t="e">
        <f t="shared" si="88"/>
        <v>#DIV/0!</v>
      </c>
      <c r="AB161" s="167" t="e">
        <f t="shared" si="88"/>
        <v>#DIV/0!</v>
      </c>
      <c r="AC161" s="167" t="e">
        <f t="shared" si="88"/>
        <v>#DIV/0!</v>
      </c>
      <c r="AD161" s="167" t="e">
        <f t="shared" si="88"/>
        <v>#DIV/0!</v>
      </c>
      <c r="AE161" s="167" t="e">
        <f t="shared" si="88"/>
        <v>#DIV/0!</v>
      </c>
      <c r="AF161" s="167" t="e">
        <f t="shared" si="88"/>
        <v>#DIV/0!</v>
      </c>
      <c r="AG161" s="167" t="e">
        <f t="shared" si="88"/>
        <v>#DIV/0!</v>
      </c>
      <c r="AH161" s="167" t="e">
        <f t="shared" si="88"/>
        <v>#DIV/0!</v>
      </c>
      <c r="AI161" s="167" t="e">
        <f t="shared" si="88"/>
        <v>#DIV/0!</v>
      </c>
      <c r="AJ161" s="167" t="e">
        <f t="shared" si="88"/>
        <v>#DIV/0!</v>
      </c>
      <c r="AK161" s="167" t="e">
        <f t="shared" si="88"/>
        <v>#DIV/0!</v>
      </c>
      <c r="AL161" s="167" t="e">
        <f t="shared" si="88"/>
        <v>#DIV/0!</v>
      </c>
      <c r="AM161" s="167" t="e">
        <f t="shared" si="88"/>
        <v>#DIV/0!</v>
      </c>
      <c r="AN161" s="167" t="e">
        <f t="shared" si="88"/>
        <v>#DIV/0!</v>
      </c>
      <c r="AO161" s="167" t="e">
        <f t="shared" si="88"/>
        <v>#DIV/0!</v>
      </c>
    </row>
    <row r="162" spans="2:41" x14ac:dyDescent="0.15">
      <c r="B162" s="471" t="s">
        <v>20</v>
      </c>
      <c r="C162" s="128" t="s">
        <v>1002</v>
      </c>
      <c r="D162" s="94">
        <f>SUMIFS('caseload data'!E:E,'caseload data'!$D:$D,"PO",'caseload data'!$A:$A,'national caseload'!$B$162:$B$164,'caseload data'!$B:$B,"custody")</f>
        <v>0</v>
      </c>
      <c r="E162" s="94">
        <f>SUMIFS('caseload data'!F:F,'caseload data'!$D:$D,"PO",'caseload data'!$A:$A,'national caseload'!$B$162:$B$164,'caseload data'!$B:$B,"custody")</f>
        <v>0</v>
      </c>
      <c r="F162" s="94">
        <f>SUMIFS('caseload data'!G:G,'caseload data'!$D:$D,"PO",'caseload data'!$A:$A,'national caseload'!$B$162:$B$164,'caseload data'!$B:$B,"custody")</f>
        <v>0</v>
      </c>
      <c r="G162" s="94">
        <f>SUMIFS('caseload data'!H:H,'caseload data'!$D:$D,"PO",'caseload data'!$A:$A,'national caseload'!$B$162:$B$164,'caseload data'!$B:$B,"custody")</f>
        <v>0</v>
      </c>
      <c r="H162" s="94">
        <f>SUMIFS('caseload data'!I:I,'caseload data'!$D:$D,"PO",'caseload data'!$A:$A,'national caseload'!$B$162:$B$164,'caseload data'!$B:$B,"custody")</f>
        <v>0</v>
      </c>
      <c r="I162" s="94">
        <f>SUMIFS('caseload data'!J:J,'caseload data'!$D:$D,"PO",'caseload data'!$A:$A,'national caseload'!$B$162:$B$164,'caseload data'!$B:$B,"custody")</f>
        <v>0</v>
      </c>
      <c r="J162" s="94">
        <f>SUMIFS('caseload data'!K:K,'caseload data'!$D:$D,"PO",'caseload data'!$A:$A,'national caseload'!$B$162:$B$164,'caseload data'!$B:$B,"custody")</f>
        <v>0</v>
      </c>
      <c r="K162" s="94">
        <f>SUMIFS('caseload data'!L:L,'caseload data'!$D:$D,"PO",'caseload data'!$A:$A,'national caseload'!$B$162:$B$164,'caseload data'!$B:$B,"custody")</f>
        <v>0</v>
      </c>
      <c r="L162" s="94">
        <f>SUMIFS('caseload data'!M:M,'caseload data'!$D:$D,"PO",'caseload data'!$A:$A,'national caseload'!$B$162:$B$164,'caseload data'!$B:$B,"custody")</f>
        <v>0</v>
      </c>
      <c r="M162" s="94">
        <f>SUMIFS('caseload data'!N:N,'caseload data'!$D:$D,"PO",'caseload data'!$A:$A,'national caseload'!$B$162:$B$164,'caseload data'!$B:$B,"custody")</f>
        <v>0</v>
      </c>
      <c r="N162" s="94">
        <f>SUMIFS('caseload data'!O:O,'caseload data'!$D:$D,"PO",'caseload data'!$A:$A,'national caseload'!$B$162:$B$164,'caseload data'!$B:$B,"custody")</f>
        <v>0</v>
      </c>
      <c r="O162" s="94">
        <f>SUMIFS('caseload data'!P:P,'caseload data'!$D:$D,"PO",'caseload data'!$A:$A,'national caseload'!$B$162:$B$164,'caseload data'!$B:$B,"custody")</f>
        <v>0</v>
      </c>
      <c r="P162" s="94">
        <f>SUMIFS('caseload data'!Q:Q,'caseload data'!$D:$D,"PO",'caseload data'!$A:$A,'national caseload'!$B$162:$B$164,'caseload data'!$B:$B,"custody")</f>
        <v>0</v>
      </c>
      <c r="Q162" s="94">
        <f>SUMIFS('caseload data'!R:R,'caseload data'!$D:$D,"PO",'caseload data'!$A:$A,'national caseload'!$B$162:$B$164,'caseload data'!$B:$B,"custody")</f>
        <v>0</v>
      </c>
      <c r="R162" s="94">
        <f>SUMIFS('caseload data'!S:S,'caseload data'!$D:$D,"PO",'caseload data'!$A:$A,'national caseload'!$B$162:$B$164,'caseload data'!$B:$B,"custody")</f>
        <v>0</v>
      </c>
      <c r="S162" s="94">
        <f>SUMIFS('caseload data'!T:T,'caseload data'!$D:$D,"PO",'caseload data'!$A:$A,'national caseload'!$B$162:$B$164,'caseload data'!$B:$B,"custody")</f>
        <v>0</v>
      </c>
      <c r="T162" s="94">
        <f>SUMIFS('caseload data'!V:V,'caseload data'!D:D,"PO",'caseload data'!A:A,'national caseload'!B162:B164,'caseload data'!B:B,"custody")</f>
        <v>0</v>
      </c>
      <c r="U162" s="64"/>
      <c r="V162" s="64"/>
      <c r="W162" s="471" t="s">
        <v>20</v>
      </c>
      <c r="X162" s="128" t="s">
        <v>1002</v>
      </c>
      <c r="Y162" s="167" t="e">
        <f>SUM(D162)/SUM(D$162:D$166)</f>
        <v>#DIV/0!</v>
      </c>
      <c r="Z162" s="167" t="e">
        <f t="shared" ref="Z162:AO166" si="90">SUM(E162)/SUM(E$162:E$166)</f>
        <v>#DIV/0!</v>
      </c>
      <c r="AA162" s="167" t="e">
        <f t="shared" si="90"/>
        <v>#DIV/0!</v>
      </c>
      <c r="AB162" s="167" t="e">
        <f t="shared" si="90"/>
        <v>#DIV/0!</v>
      </c>
      <c r="AC162" s="167" t="e">
        <f t="shared" si="90"/>
        <v>#DIV/0!</v>
      </c>
      <c r="AD162" s="167" t="e">
        <f t="shared" si="90"/>
        <v>#DIV/0!</v>
      </c>
      <c r="AE162" s="167" t="e">
        <f t="shared" si="90"/>
        <v>#DIV/0!</v>
      </c>
      <c r="AF162" s="167" t="e">
        <f t="shared" si="90"/>
        <v>#DIV/0!</v>
      </c>
      <c r="AG162" s="167" t="e">
        <f t="shared" si="90"/>
        <v>#DIV/0!</v>
      </c>
      <c r="AH162" s="167" t="e">
        <f t="shared" si="90"/>
        <v>#DIV/0!</v>
      </c>
      <c r="AI162" s="167" t="e">
        <f t="shared" si="90"/>
        <v>#DIV/0!</v>
      </c>
      <c r="AJ162" s="167" t="e">
        <f t="shared" si="90"/>
        <v>#DIV/0!</v>
      </c>
      <c r="AK162" s="167" t="e">
        <f t="shared" si="90"/>
        <v>#DIV/0!</v>
      </c>
      <c r="AL162" s="167" t="e">
        <f t="shared" si="90"/>
        <v>#DIV/0!</v>
      </c>
      <c r="AM162" s="167" t="e">
        <f t="shared" si="90"/>
        <v>#DIV/0!</v>
      </c>
      <c r="AN162" s="167" t="e">
        <f t="shared" si="90"/>
        <v>#DIV/0!</v>
      </c>
      <c r="AO162" s="167" t="e">
        <f t="shared" si="90"/>
        <v>#DIV/0!</v>
      </c>
    </row>
    <row r="163" spans="2:41" x14ac:dyDescent="0.15">
      <c r="B163" s="472"/>
      <c r="C163" s="129" t="s">
        <v>1007</v>
      </c>
      <c r="D163" s="94">
        <f>SUMIFS('caseload data'!E:E,'caseload data'!$D:$D,"PSO",'caseload data'!$A:$A,"Kent Surrey Sussex Region",'caseload data'!$B:$B,"custody")</f>
        <v>0</v>
      </c>
      <c r="E163" s="94">
        <f>SUMIFS('caseload data'!F:F,'caseload data'!$D:$D,"PSO",'caseload data'!$A:$A,"Kent Surrey Sussex Region",'caseload data'!$B:$B,"custody")</f>
        <v>0</v>
      </c>
      <c r="F163" s="94">
        <f>SUMIFS('caseload data'!G:G,'caseload data'!$D:$D,"PSO",'caseload data'!$A:$A,"Kent Surrey Sussex Region",'caseload data'!$B:$B,"custody")</f>
        <v>0</v>
      </c>
      <c r="G163" s="94">
        <f>SUMIFS('caseload data'!H:H,'caseload data'!$D:$D,"PSO",'caseload data'!$A:$A,"Kent Surrey Sussex Region",'caseload data'!$B:$B,"custody")</f>
        <v>0</v>
      </c>
      <c r="H163" s="94">
        <f>SUMIFS('caseload data'!I:I,'caseload data'!$D:$D,"PSO",'caseload data'!$A:$A,"Kent Surrey Sussex Region",'caseload data'!$B:$B,"custody")</f>
        <v>0</v>
      </c>
      <c r="I163" s="94">
        <f>SUMIFS('caseload data'!J:J,'caseload data'!$D:$D,"PSO",'caseload data'!$A:$A,"Kent Surrey Sussex Region",'caseload data'!$B:$B,"custody")</f>
        <v>0</v>
      </c>
      <c r="J163" s="94">
        <f>SUMIFS('caseload data'!K:K,'caseload data'!$D:$D,"PSO",'caseload data'!$A:$A,"Kent Surrey Sussex Region",'caseload data'!$B:$B,"custody")</f>
        <v>0</v>
      </c>
      <c r="K163" s="94">
        <f>SUMIFS('caseload data'!L:L,'caseload data'!$D:$D,"PSO",'caseload data'!$A:$A,"Kent Surrey Sussex Region",'caseload data'!$B:$B,"custody")</f>
        <v>0</v>
      </c>
      <c r="L163" s="94">
        <f>SUMIFS('caseload data'!M:M,'caseload data'!$D:$D,"PSO",'caseload data'!$A:$A,"Kent Surrey Sussex Region",'caseload data'!$B:$B,"custody")</f>
        <v>0</v>
      </c>
      <c r="M163" s="94">
        <f>SUMIFS('caseload data'!N:N,'caseload data'!$D:$D,"PSO",'caseload data'!$A:$A,"Kent Surrey Sussex Region",'caseload data'!$B:$B,"custody")</f>
        <v>0</v>
      </c>
      <c r="N163" s="94">
        <f>SUMIFS('caseload data'!O:O,'caseload data'!$D:$D,"PSO",'caseload data'!$A:$A,"Kent Surrey Sussex Region",'caseload data'!$B:$B,"custody")</f>
        <v>0</v>
      </c>
      <c r="O163" s="94">
        <f>SUMIFS('caseload data'!P:P,'caseload data'!$D:$D,"PSO",'caseload data'!$A:$A,"Kent Surrey Sussex Region",'caseload data'!$B:$B,"custody")</f>
        <v>0</v>
      </c>
      <c r="P163" s="94">
        <f>SUMIFS('caseload data'!Q:Q,'caseload data'!$D:$D,"PSO",'caseload data'!$A:$A,"Kent Surrey Sussex Region",'caseload data'!$B:$B,"custody")</f>
        <v>0</v>
      </c>
      <c r="Q163" s="94">
        <f>SUMIFS('caseload data'!R:R,'caseload data'!$D:$D,"PSO",'caseload data'!$A:$A,"Kent Surrey Sussex Region",'caseload data'!$B:$B,"custody")</f>
        <v>0</v>
      </c>
      <c r="R163" s="94">
        <f>SUMIFS('caseload data'!S:S,'caseload data'!$D:$D,"PSO",'caseload data'!$A:$A,"Kent Surrey Sussex Region",'caseload data'!$B:$B,"custody")</f>
        <v>0</v>
      </c>
      <c r="S163" s="94">
        <f>SUMIFS('caseload data'!T:T,'caseload data'!$D:$D,"PSO",'caseload data'!$A:$A,"Kent Surrey Sussex Region",'caseload data'!$B:$B,"custody")</f>
        <v>0</v>
      </c>
      <c r="T163" s="94">
        <f>SUMIFS('caseload data'!V:V,'caseload data'!D:D,"PSO",'caseload data'!A:A,"Kent Surrey Sussex Region",'caseload data'!B:B,"custody")</f>
        <v>0</v>
      </c>
      <c r="U163" s="64"/>
      <c r="V163" s="64"/>
      <c r="W163" s="472"/>
      <c r="X163" s="129" t="s">
        <v>1007</v>
      </c>
      <c r="Y163" s="167" t="e">
        <f t="shared" ref="Y163:Y166" si="91">SUM(D163)/SUM(D$162:D$166)</f>
        <v>#DIV/0!</v>
      </c>
      <c r="Z163" s="167" t="e">
        <f t="shared" si="90"/>
        <v>#DIV/0!</v>
      </c>
      <c r="AA163" s="167" t="e">
        <f t="shared" si="90"/>
        <v>#DIV/0!</v>
      </c>
      <c r="AB163" s="167" t="e">
        <f t="shared" si="90"/>
        <v>#DIV/0!</v>
      </c>
      <c r="AC163" s="167" t="e">
        <f t="shared" si="90"/>
        <v>#DIV/0!</v>
      </c>
      <c r="AD163" s="167" t="e">
        <f t="shared" si="90"/>
        <v>#DIV/0!</v>
      </c>
      <c r="AE163" s="167" t="e">
        <f t="shared" si="90"/>
        <v>#DIV/0!</v>
      </c>
      <c r="AF163" s="167" t="e">
        <f t="shared" si="90"/>
        <v>#DIV/0!</v>
      </c>
      <c r="AG163" s="167" t="e">
        <f t="shared" si="90"/>
        <v>#DIV/0!</v>
      </c>
      <c r="AH163" s="167" t="e">
        <f t="shared" si="90"/>
        <v>#DIV/0!</v>
      </c>
      <c r="AI163" s="167" t="e">
        <f t="shared" si="90"/>
        <v>#DIV/0!</v>
      </c>
      <c r="AJ163" s="167" t="e">
        <f t="shared" si="90"/>
        <v>#DIV/0!</v>
      </c>
      <c r="AK163" s="167" t="e">
        <f t="shared" si="90"/>
        <v>#DIV/0!</v>
      </c>
      <c r="AL163" s="167" t="e">
        <f t="shared" si="90"/>
        <v>#DIV/0!</v>
      </c>
      <c r="AM163" s="167" t="e">
        <f t="shared" si="90"/>
        <v>#DIV/0!</v>
      </c>
      <c r="AN163" s="167" t="e">
        <f t="shared" si="90"/>
        <v>#DIV/0!</v>
      </c>
      <c r="AO163" s="167" t="e">
        <f t="shared" si="90"/>
        <v>#DIV/0!</v>
      </c>
    </row>
    <row r="164" spans="2:41" x14ac:dyDescent="0.15">
      <c r="B164" s="472"/>
      <c r="C164" s="129" t="s">
        <v>1008</v>
      </c>
      <c r="D164" s="94">
        <f>SUMIFS('caseload data'!E:E,'caseload data'!$D:$D,"TPO",'caseload data'!$A:$A,"Kent Surrey Sussex Region",'caseload data'!$B:$B,"custody")</f>
        <v>0</v>
      </c>
      <c r="E164" s="94">
        <f>SUMIFS('caseload data'!F:F,'caseload data'!$D:$D,"TPO",'caseload data'!$A:$A,"Kent Surrey Sussex Region",'caseload data'!$B:$B,"custody")</f>
        <v>0</v>
      </c>
      <c r="F164" s="94">
        <f>SUMIFS('caseload data'!G:G,'caseload data'!$D:$D,"TPO",'caseload data'!$A:$A,"Kent Surrey Sussex Region",'caseload data'!$B:$B,"custody")</f>
        <v>0</v>
      </c>
      <c r="G164" s="94">
        <f>SUMIFS('caseload data'!H:H,'caseload data'!$D:$D,"TPO",'caseload data'!$A:$A,"Kent Surrey Sussex Region",'caseload data'!$B:$B,"custody")</f>
        <v>0</v>
      </c>
      <c r="H164" s="94">
        <f>SUMIFS('caseload data'!I:I,'caseload data'!$D:$D,"TPO",'caseload data'!$A:$A,"Kent Surrey Sussex Region",'caseload data'!$B:$B,"custody")</f>
        <v>0</v>
      </c>
      <c r="I164" s="94">
        <f>SUMIFS('caseload data'!J:J,'caseload data'!$D:$D,"TPO",'caseload data'!$A:$A,"Kent Surrey Sussex Region",'caseload data'!$B:$B,"custody")</f>
        <v>0</v>
      </c>
      <c r="J164" s="94">
        <f>SUMIFS('caseload data'!K:K,'caseload data'!$D:$D,"TPO",'caseload data'!$A:$A,"Kent Surrey Sussex Region",'caseload data'!$B:$B,"custody")</f>
        <v>0</v>
      </c>
      <c r="K164" s="94">
        <f>SUMIFS('caseload data'!L:L,'caseload data'!$D:$D,"TPO",'caseload data'!$A:$A,"Kent Surrey Sussex Region",'caseload data'!$B:$B,"custody")</f>
        <v>0</v>
      </c>
      <c r="L164" s="94">
        <f>SUMIFS('caseload data'!M:M,'caseload data'!$D:$D,"TPO",'caseload data'!$A:$A,"Kent Surrey Sussex Region",'caseload data'!$B:$B,"custody")</f>
        <v>0</v>
      </c>
      <c r="M164" s="94">
        <f>SUMIFS('caseload data'!N:N,'caseload data'!$D:$D,"TPO",'caseload data'!$A:$A,"Kent Surrey Sussex Region",'caseload data'!$B:$B,"custody")</f>
        <v>0</v>
      </c>
      <c r="N164" s="94">
        <f>SUMIFS('caseload data'!O:O,'caseload data'!$D:$D,"TPO",'caseload data'!$A:$A,"Kent Surrey Sussex Region",'caseload data'!$B:$B,"custody")</f>
        <v>0</v>
      </c>
      <c r="O164" s="94">
        <f>SUMIFS('caseload data'!P:P,'caseload data'!$D:$D,"TPO",'caseload data'!$A:$A,"Kent Surrey Sussex Region",'caseload data'!$B:$B,"custody")</f>
        <v>0</v>
      </c>
      <c r="P164" s="94">
        <f>SUMIFS('caseload data'!Q:Q,'caseload data'!$D:$D,"TPO",'caseload data'!$A:$A,"Kent Surrey Sussex Region",'caseload data'!$B:$B,"custody")</f>
        <v>0</v>
      </c>
      <c r="Q164" s="94">
        <f>SUMIFS('caseload data'!R:R,'caseload data'!$D:$D,"TPO",'caseload data'!$A:$A,"Kent Surrey Sussex Region",'caseload data'!$B:$B,"custody")</f>
        <v>0</v>
      </c>
      <c r="R164" s="94">
        <f>SUMIFS('caseload data'!S:S,'caseload data'!$D:$D,"TPO",'caseload data'!$A:$A,"Kent Surrey Sussex Region",'caseload data'!$B:$B,"custody")</f>
        <v>0</v>
      </c>
      <c r="S164" s="94">
        <f>SUMIFS('caseload data'!T:T,'caseload data'!$D:$D,"TPO",'caseload data'!$A:$A,"Kent Surrey Sussex Region",'caseload data'!$B:$B,"custody")</f>
        <v>0</v>
      </c>
      <c r="T164" s="94">
        <f>SUMIFS('caseload data'!V:V,'caseload data'!D:D,"TPO",'caseload data'!A:A,"Kent Surrey Sussex Region",'caseload data'!B:B,"custody")</f>
        <v>0</v>
      </c>
      <c r="U164" s="64"/>
      <c r="V164" s="64"/>
      <c r="W164" s="472"/>
      <c r="X164" s="129" t="s">
        <v>1008</v>
      </c>
      <c r="Y164" s="167" t="e">
        <f t="shared" si="91"/>
        <v>#DIV/0!</v>
      </c>
      <c r="Z164" s="167" t="e">
        <f t="shared" si="90"/>
        <v>#DIV/0!</v>
      </c>
      <c r="AA164" s="167" t="e">
        <f t="shared" si="90"/>
        <v>#DIV/0!</v>
      </c>
      <c r="AB164" s="167" t="e">
        <f t="shared" si="90"/>
        <v>#DIV/0!</v>
      </c>
      <c r="AC164" s="167" t="e">
        <f t="shared" si="90"/>
        <v>#DIV/0!</v>
      </c>
      <c r="AD164" s="167" t="e">
        <f t="shared" si="90"/>
        <v>#DIV/0!</v>
      </c>
      <c r="AE164" s="167" t="e">
        <f t="shared" si="90"/>
        <v>#DIV/0!</v>
      </c>
      <c r="AF164" s="167" t="e">
        <f t="shared" si="90"/>
        <v>#DIV/0!</v>
      </c>
      <c r="AG164" s="167" t="e">
        <f t="shared" si="90"/>
        <v>#DIV/0!</v>
      </c>
      <c r="AH164" s="167" t="e">
        <f t="shared" si="90"/>
        <v>#DIV/0!</v>
      </c>
      <c r="AI164" s="167" t="e">
        <f t="shared" si="90"/>
        <v>#DIV/0!</v>
      </c>
      <c r="AJ164" s="167" t="e">
        <f t="shared" si="90"/>
        <v>#DIV/0!</v>
      </c>
      <c r="AK164" s="167" t="e">
        <f t="shared" si="90"/>
        <v>#DIV/0!</v>
      </c>
      <c r="AL164" s="167" t="e">
        <f t="shared" si="90"/>
        <v>#DIV/0!</v>
      </c>
      <c r="AM164" s="167" t="e">
        <f t="shared" si="90"/>
        <v>#DIV/0!</v>
      </c>
      <c r="AN164" s="167" t="e">
        <f t="shared" si="90"/>
        <v>#DIV/0!</v>
      </c>
      <c r="AO164" s="167" t="e">
        <f t="shared" si="90"/>
        <v>#DIV/0!</v>
      </c>
    </row>
    <row r="165" spans="2:41" x14ac:dyDescent="0.15">
      <c r="B165" s="472"/>
      <c r="C165" s="129" t="s">
        <v>1009</v>
      </c>
      <c r="D165" s="94">
        <f>SUMIFS('caseload data'!E:E,'caseload data'!$D:$D,"SPO",'caseload data'!$A:$A,"Kent Surrey Sussex Region",'caseload data'!$B:$B,"custody")</f>
        <v>0</v>
      </c>
      <c r="E165" s="94">
        <f>SUMIFS('caseload data'!F:F,'caseload data'!$D:$D,"SPO",'caseload data'!$A:$A,"Kent Surrey Sussex Region",'caseload data'!$B:$B,"custody")</f>
        <v>0</v>
      </c>
      <c r="F165" s="94">
        <f>SUMIFS('caseload data'!G:G,'caseload data'!$D:$D,"SPO",'caseload data'!$A:$A,"Kent Surrey Sussex Region",'caseload data'!$B:$B,"custody")</f>
        <v>0</v>
      </c>
      <c r="G165" s="94">
        <f>SUMIFS('caseload data'!H:H,'caseload data'!$D:$D,"SPO",'caseload data'!$A:$A,"Kent Surrey Sussex Region",'caseload data'!$B:$B,"custody")</f>
        <v>0</v>
      </c>
      <c r="H165" s="94">
        <f>SUMIFS('caseload data'!I:I,'caseload data'!$D:$D,"SPO",'caseload data'!$A:$A,"Kent Surrey Sussex Region",'caseload data'!$B:$B,"custody")</f>
        <v>0</v>
      </c>
      <c r="I165" s="94">
        <f>SUMIFS('caseload data'!J:J,'caseload data'!$D:$D,"SPO",'caseload data'!$A:$A,"Kent Surrey Sussex Region",'caseload data'!$B:$B,"custody")</f>
        <v>0</v>
      </c>
      <c r="J165" s="94">
        <f>SUMIFS('caseload data'!K:K,'caseload data'!$D:$D,"SPO",'caseload data'!$A:$A,"Kent Surrey Sussex Region",'caseload data'!$B:$B,"custody")</f>
        <v>0</v>
      </c>
      <c r="K165" s="94">
        <f>SUMIFS('caseload data'!L:L,'caseload data'!$D:$D,"SPO",'caseload data'!$A:$A,"Kent Surrey Sussex Region",'caseload data'!$B:$B,"custody")</f>
        <v>0</v>
      </c>
      <c r="L165" s="94">
        <f>SUMIFS('caseload data'!M:M,'caseload data'!$D:$D,"SPO",'caseload data'!$A:$A,"Kent Surrey Sussex Region",'caseload data'!$B:$B,"custody")</f>
        <v>0</v>
      </c>
      <c r="M165" s="94">
        <f>SUMIFS('caseload data'!N:N,'caseload data'!$D:$D,"SPO",'caseload data'!$A:$A,"Kent Surrey Sussex Region",'caseload data'!$B:$B,"custody")</f>
        <v>0</v>
      </c>
      <c r="N165" s="94">
        <f>SUMIFS('caseload data'!O:O,'caseload data'!$D:$D,"SPO",'caseload data'!$A:$A,"Kent Surrey Sussex Region",'caseload data'!$B:$B,"custody")</f>
        <v>0</v>
      </c>
      <c r="O165" s="94">
        <f>SUMIFS('caseload data'!P:P,'caseload data'!$D:$D,"SPO",'caseload data'!$A:$A,"Kent Surrey Sussex Region",'caseload data'!$B:$B,"custody")</f>
        <v>0</v>
      </c>
      <c r="P165" s="94">
        <f>SUMIFS('caseload data'!Q:Q,'caseload data'!$D:$D,"SPO",'caseload data'!$A:$A,"Kent Surrey Sussex Region",'caseload data'!$B:$B,"custody")</f>
        <v>0</v>
      </c>
      <c r="Q165" s="94">
        <f>SUMIFS('caseload data'!R:R,'caseload data'!$D:$D,"SPO",'caseload data'!$A:$A,"Kent Surrey Sussex Region",'caseload data'!$B:$B,"custody")</f>
        <v>0</v>
      </c>
      <c r="R165" s="94">
        <f>SUMIFS('caseload data'!S:S,'caseload data'!$D:$D,"SPO",'caseload data'!$A:$A,"Kent Surrey Sussex Region",'caseload data'!$B:$B,"custody")</f>
        <v>0</v>
      </c>
      <c r="S165" s="94">
        <f>SUMIFS('caseload data'!T:T,'caseload data'!$D:$D,"SPO",'caseload data'!$A:$A,"Kent Surrey Sussex Region",'caseload data'!$B:$B,"custody")</f>
        <v>0</v>
      </c>
      <c r="T165" s="94">
        <f>SUMIFS('caseload data'!V:V,'caseload data'!$D:$D,"SPO",'caseload data'!$A:$A,"Kent Surrey Sussex Region",'caseload data'!$B:$B,"custody")</f>
        <v>0</v>
      </c>
      <c r="U165" s="64"/>
      <c r="V165" s="64"/>
      <c r="W165" s="472"/>
      <c r="X165" s="129" t="s">
        <v>1009</v>
      </c>
      <c r="Y165" s="167" t="e">
        <f t="shared" si="91"/>
        <v>#DIV/0!</v>
      </c>
      <c r="Z165" s="167" t="e">
        <f t="shared" si="90"/>
        <v>#DIV/0!</v>
      </c>
      <c r="AA165" s="167" t="e">
        <f t="shared" si="90"/>
        <v>#DIV/0!</v>
      </c>
      <c r="AB165" s="167" t="e">
        <f t="shared" si="90"/>
        <v>#DIV/0!</v>
      </c>
      <c r="AC165" s="167" t="e">
        <f t="shared" si="90"/>
        <v>#DIV/0!</v>
      </c>
      <c r="AD165" s="167" t="e">
        <f t="shared" si="90"/>
        <v>#DIV/0!</v>
      </c>
      <c r="AE165" s="167" t="e">
        <f t="shared" si="90"/>
        <v>#DIV/0!</v>
      </c>
      <c r="AF165" s="167" t="e">
        <f t="shared" si="90"/>
        <v>#DIV/0!</v>
      </c>
      <c r="AG165" s="167" t="e">
        <f t="shared" si="90"/>
        <v>#DIV/0!</v>
      </c>
      <c r="AH165" s="167" t="e">
        <f t="shared" si="90"/>
        <v>#DIV/0!</v>
      </c>
      <c r="AI165" s="167" t="e">
        <f t="shared" si="90"/>
        <v>#DIV/0!</v>
      </c>
      <c r="AJ165" s="167" t="e">
        <f t="shared" si="90"/>
        <v>#DIV/0!</v>
      </c>
      <c r="AK165" s="167" t="e">
        <f t="shared" si="90"/>
        <v>#DIV/0!</v>
      </c>
      <c r="AL165" s="167" t="e">
        <f t="shared" si="90"/>
        <v>#DIV/0!</v>
      </c>
      <c r="AM165" s="167" t="e">
        <f t="shared" si="90"/>
        <v>#DIV/0!</v>
      </c>
      <c r="AN165" s="167" t="e">
        <f t="shared" si="90"/>
        <v>#DIV/0!</v>
      </c>
      <c r="AO165" s="167" t="e">
        <f t="shared" si="90"/>
        <v>#DIV/0!</v>
      </c>
    </row>
    <row r="166" spans="2:41" x14ac:dyDescent="0.15">
      <c r="B166" s="473"/>
      <c r="C166" s="130" t="s">
        <v>1344</v>
      </c>
      <c r="D166" s="94">
        <f>SUMIFS('caseload data'!E:E,'caseload data'!$D:$D,"DMY",'caseload data'!$A:$A,"Kent Surrey Sussex Region",'caseload data'!$B:$B,"custody")</f>
        <v>0</v>
      </c>
      <c r="E166" s="94">
        <f>SUMIFS('caseload data'!F:F,'caseload data'!$D:$D,"DMY",'caseload data'!$A:$A,"Kent Surrey Sussex Region",'caseload data'!$B:$B,"custody")</f>
        <v>0</v>
      </c>
      <c r="F166" s="94">
        <f>SUMIFS('caseload data'!G:G,'caseload data'!$D:$D,"DMY",'caseload data'!$A:$A,"Kent Surrey Sussex Region",'caseload data'!$B:$B,"custody")</f>
        <v>0</v>
      </c>
      <c r="G166" s="94">
        <f>SUMIFS('caseload data'!H:H,'caseload data'!$D:$D,"DMY",'caseload data'!$A:$A,"Kent Surrey Sussex Region",'caseload data'!$B:$B,"custody")</f>
        <v>0</v>
      </c>
      <c r="H166" s="94">
        <f>SUMIFS('caseload data'!I:I,'caseload data'!$D:$D,"DMY",'caseload data'!$A:$A,"Kent Surrey Sussex Region",'caseload data'!$B:$B,"custody")</f>
        <v>0</v>
      </c>
      <c r="I166" s="94">
        <f>SUMIFS('caseload data'!J:J,'caseload data'!$D:$D,"DMY",'caseload data'!$A:$A,"Kent Surrey Sussex Region",'caseload data'!$B:$B,"custody")</f>
        <v>0</v>
      </c>
      <c r="J166" s="94">
        <f>SUMIFS('caseload data'!K:K,'caseload data'!$D:$D,"DMY",'caseload data'!$A:$A,"Kent Surrey Sussex Region",'caseload data'!$B:$B,"custody")</f>
        <v>0</v>
      </c>
      <c r="K166" s="94">
        <f>SUMIFS('caseload data'!L:L,'caseload data'!$D:$D,"DMY",'caseload data'!$A:$A,"Kent Surrey Sussex Region",'caseload data'!$B:$B,"custody")</f>
        <v>0</v>
      </c>
      <c r="L166" s="94">
        <f>SUMIFS('caseload data'!M:M,'caseload data'!$D:$D,"DMY",'caseload data'!$A:$A,"Kent Surrey Sussex Region",'caseload data'!$B:$B,"custody")</f>
        <v>0</v>
      </c>
      <c r="M166" s="94">
        <f>SUMIFS('caseload data'!N:N,'caseload data'!$D:$D,"DMY",'caseload data'!$A:$A,"Kent Surrey Sussex Region",'caseload data'!$B:$B,"custody")</f>
        <v>0</v>
      </c>
      <c r="N166" s="94">
        <f>SUMIFS('caseload data'!O:O,'caseload data'!$D:$D,"DMY",'caseload data'!$A:$A,"Kent Surrey Sussex Region",'caseload data'!$B:$B,"custody")</f>
        <v>0</v>
      </c>
      <c r="O166" s="94">
        <f>SUMIFS('caseload data'!P:P,'caseload data'!$D:$D,"DMY",'caseload data'!$A:$A,"Kent Surrey Sussex Region",'caseload data'!$B:$B,"custody")</f>
        <v>0</v>
      </c>
      <c r="P166" s="94">
        <f>SUMIFS('caseload data'!Q:Q,'caseload data'!$D:$D,"DMY",'caseload data'!$A:$A,"Kent Surrey Sussex Region",'caseload data'!$B:$B,"custody")</f>
        <v>0</v>
      </c>
      <c r="Q166" s="94">
        <f>SUMIFS('caseload data'!R:R,'caseload data'!$D:$D,"DMY",'caseload data'!$A:$A,"Kent Surrey Sussex Region",'caseload data'!$B:$B,"custody")</f>
        <v>0</v>
      </c>
      <c r="R166" s="94">
        <f>SUMIFS('caseload data'!S:S,'caseload data'!$D:$D,"DMY",'caseload data'!$A:$A,"Kent Surrey Sussex Region",'caseload data'!$B:$B,"custody")</f>
        <v>0</v>
      </c>
      <c r="S166" s="94">
        <f>SUMIFS('caseload data'!T:T,'caseload data'!$D:$D,"DMY",'caseload data'!$A:$A,"Kent Surrey Sussex Region",'caseload data'!$B:$B,"custody")</f>
        <v>0</v>
      </c>
      <c r="T166" s="94">
        <f>SUMIFS('caseload data'!V:V,'caseload data'!$D:$D,"DMY",'caseload data'!$A:$A,"Kent Surrey Sussex Region",'caseload data'!$B:$B,"custody")</f>
        <v>0</v>
      </c>
      <c r="U166" s="64"/>
      <c r="V166" s="64"/>
      <c r="W166" s="473"/>
      <c r="X166" s="130" t="s">
        <v>1344</v>
      </c>
      <c r="Y166" s="167" t="e">
        <f t="shared" si="91"/>
        <v>#DIV/0!</v>
      </c>
      <c r="Z166" s="167" t="e">
        <f t="shared" si="90"/>
        <v>#DIV/0!</v>
      </c>
      <c r="AA166" s="167" t="e">
        <f t="shared" si="90"/>
        <v>#DIV/0!</v>
      </c>
      <c r="AB166" s="167" t="e">
        <f t="shared" si="90"/>
        <v>#DIV/0!</v>
      </c>
      <c r="AC166" s="167" t="e">
        <f t="shared" si="90"/>
        <v>#DIV/0!</v>
      </c>
      <c r="AD166" s="167" t="e">
        <f t="shared" si="90"/>
        <v>#DIV/0!</v>
      </c>
      <c r="AE166" s="167" t="e">
        <f t="shared" si="90"/>
        <v>#DIV/0!</v>
      </c>
      <c r="AF166" s="167" t="e">
        <f t="shared" si="90"/>
        <v>#DIV/0!</v>
      </c>
      <c r="AG166" s="167" t="e">
        <f t="shared" si="90"/>
        <v>#DIV/0!</v>
      </c>
      <c r="AH166" s="167" t="e">
        <f t="shared" si="90"/>
        <v>#DIV/0!</v>
      </c>
      <c r="AI166" s="167" t="e">
        <f t="shared" si="90"/>
        <v>#DIV/0!</v>
      </c>
      <c r="AJ166" s="167" t="e">
        <f t="shared" si="90"/>
        <v>#DIV/0!</v>
      </c>
      <c r="AK166" s="167" t="e">
        <f t="shared" si="90"/>
        <v>#DIV/0!</v>
      </c>
      <c r="AL166" s="167" t="e">
        <f t="shared" si="90"/>
        <v>#DIV/0!</v>
      </c>
      <c r="AM166" s="167" t="e">
        <f t="shared" si="90"/>
        <v>#DIV/0!</v>
      </c>
      <c r="AN166" s="167" t="e">
        <f t="shared" si="90"/>
        <v>#DIV/0!</v>
      </c>
      <c r="AO166" s="167" t="e">
        <f t="shared" si="90"/>
        <v>#DIV/0!</v>
      </c>
    </row>
    <row r="167" spans="2:41" x14ac:dyDescent="0.15">
      <c r="B167" s="471" t="s">
        <v>21</v>
      </c>
      <c r="C167" s="128" t="s">
        <v>1002</v>
      </c>
      <c r="D167" s="94">
        <f>SUMIFS('caseload data'!E:E,'caseload data'!$D:$D,"PO",'caseload data'!$A:$A,$B$167,'caseload data'!$B:$B,"custody")</f>
        <v>0</v>
      </c>
      <c r="E167" s="94">
        <f>SUMIFS('caseload data'!F:F,'caseload data'!$D:$D,"PO",'caseload data'!$A:$A,$B$167,'caseload data'!$B:$B,"custody")</f>
        <v>0</v>
      </c>
      <c r="F167" s="94">
        <f>SUMIFS('caseload data'!G:G,'caseload data'!$D:$D,"PO",'caseload data'!$A:$A,$B$167,'caseload data'!$B:$B,"custody")</f>
        <v>0</v>
      </c>
      <c r="G167" s="94">
        <f>SUMIFS('caseload data'!H:H,'caseload data'!$D:$D,"PO",'caseload data'!$A:$A,$B$167,'caseload data'!$B:$B,"custody")</f>
        <v>0</v>
      </c>
      <c r="H167" s="94">
        <f>SUMIFS('caseload data'!I:I,'caseload data'!$D:$D,"PO",'caseload data'!$A:$A,$B$167,'caseload data'!$B:$B,"custody")</f>
        <v>0</v>
      </c>
      <c r="I167" s="94">
        <f>SUMIFS('caseload data'!J:J,'caseload data'!$D:$D,"PO",'caseload data'!$A:$A,$B$167,'caseload data'!$B:$B,"custody")</f>
        <v>0</v>
      </c>
      <c r="J167" s="94">
        <f>SUMIFS('caseload data'!K:K,'caseload data'!$D:$D,"PO",'caseload data'!$A:$A,$B$167,'caseload data'!$B:$B,"custody")</f>
        <v>0</v>
      </c>
      <c r="K167" s="94">
        <f>SUMIFS('caseload data'!L:L,'caseload data'!$D:$D,"PO",'caseload data'!$A:$A,$B$167,'caseload data'!$B:$B,"custody")</f>
        <v>0</v>
      </c>
      <c r="L167" s="94">
        <f>SUMIFS('caseload data'!M:M,'caseload data'!$D:$D,"PO",'caseload data'!$A:$A,$B$167,'caseload data'!$B:$B,"custody")</f>
        <v>0</v>
      </c>
      <c r="M167" s="94">
        <f>SUMIFS('caseload data'!N:N,'caseload data'!$D:$D,"PO",'caseload data'!$A:$A,$B$167,'caseload data'!$B:$B,"custody")</f>
        <v>0</v>
      </c>
      <c r="N167" s="94">
        <f>SUMIFS('caseload data'!O:O,'caseload data'!$D:$D,"PO",'caseload data'!$A:$A,$B$167,'caseload data'!$B:$B,"custody")</f>
        <v>0</v>
      </c>
      <c r="O167" s="94">
        <f>SUMIFS('caseload data'!P:P,'caseload data'!$D:$D,"PO",'caseload data'!$A:$A,$B$167,'caseload data'!$B:$B,"custody")</f>
        <v>0</v>
      </c>
      <c r="P167" s="94">
        <f>SUMIFS('caseload data'!Q:Q,'caseload data'!$D:$D,"PO",'caseload data'!$A:$A,$B$167,'caseload data'!$B:$B,"custody")</f>
        <v>0</v>
      </c>
      <c r="Q167" s="94">
        <f>SUMIFS('caseload data'!R:R,'caseload data'!$D:$D,"PO",'caseload data'!$A:$A,$B$167,'caseload data'!$B:$B,"custody")</f>
        <v>0</v>
      </c>
      <c r="R167" s="94">
        <f>SUMIFS('caseload data'!S:S,'caseload data'!$D:$D,"PO",'caseload data'!$A:$A,$B$167,'caseload data'!$B:$B,"custody")</f>
        <v>0</v>
      </c>
      <c r="S167" s="94">
        <f>SUMIFS('caseload data'!T:T,'caseload data'!$D:$D,"PO",'caseload data'!$A:$A,$B$167,'caseload data'!$B:$B,"custody")</f>
        <v>0</v>
      </c>
      <c r="T167" s="94">
        <f>SUMIFS('caseload data'!V:V,'caseload data'!D:D,"PO",'caseload data'!A:A,B167,'caseload data'!B:B,"custody")</f>
        <v>0</v>
      </c>
      <c r="U167" s="64"/>
      <c r="V167" s="64"/>
      <c r="W167" s="471" t="s">
        <v>21</v>
      </c>
      <c r="X167" s="128" t="s">
        <v>1002</v>
      </c>
      <c r="Y167" s="167" t="e">
        <f>SUM(D167)/SUM(D$167:D$171)</f>
        <v>#DIV/0!</v>
      </c>
      <c r="Z167" s="167" t="e">
        <f t="shared" ref="Z167:AO171" si="92">SUM(E167)/SUM(E$167:E$171)</f>
        <v>#DIV/0!</v>
      </c>
      <c r="AA167" s="167" t="e">
        <f t="shared" si="92"/>
        <v>#DIV/0!</v>
      </c>
      <c r="AB167" s="167" t="e">
        <f t="shared" si="92"/>
        <v>#DIV/0!</v>
      </c>
      <c r="AC167" s="167" t="e">
        <f t="shared" si="92"/>
        <v>#DIV/0!</v>
      </c>
      <c r="AD167" s="167" t="e">
        <f t="shared" si="92"/>
        <v>#DIV/0!</v>
      </c>
      <c r="AE167" s="167" t="e">
        <f t="shared" si="92"/>
        <v>#DIV/0!</v>
      </c>
      <c r="AF167" s="167" t="e">
        <f t="shared" si="92"/>
        <v>#DIV/0!</v>
      </c>
      <c r="AG167" s="167" t="e">
        <f t="shared" si="92"/>
        <v>#DIV/0!</v>
      </c>
      <c r="AH167" s="167" t="e">
        <f t="shared" si="92"/>
        <v>#DIV/0!</v>
      </c>
      <c r="AI167" s="167" t="e">
        <f t="shared" si="92"/>
        <v>#DIV/0!</v>
      </c>
      <c r="AJ167" s="167" t="e">
        <f t="shared" si="92"/>
        <v>#DIV/0!</v>
      </c>
      <c r="AK167" s="167" t="e">
        <f t="shared" si="92"/>
        <v>#DIV/0!</v>
      </c>
      <c r="AL167" s="167" t="e">
        <f t="shared" si="92"/>
        <v>#DIV/0!</v>
      </c>
      <c r="AM167" s="167" t="e">
        <f t="shared" si="92"/>
        <v>#DIV/0!</v>
      </c>
      <c r="AN167" s="167" t="e">
        <f t="shared" si="92"/>
        <v>#DIV/0!</v>
      </c>
      <c r="AO167" s="167" t="e">
        <f t="shared" si="92"/>
        <v>#DIV/0!</v>
      </c>
    </row>
    <row r="168" spans="2:41" x14ac:dyDescent="0.15">
      <c r="B168" s="472"/>
      <c r="C168" s="129" t="s">
        <v>1007</v>
      </c>
      <c r="D168" s="94">
        <f>SUMIFS('caseload data'!E:E,'caseload data'!$D:$D,"PSO",'caseload data'!$A:$A,"London",'caseload data'!$B:$B,"custody")</f>
        <v>0</v>
      </c>
      <c r="E168" s="94">
        <f>SUMIFS('caseload data'!F:F,'caseload data'!$D:$D,"PSO",'caseload data'!$A:$A,"London",'caseload data'!$B:$B,"custody")</f>
        <v>0</v>
      </c>
      <c r="F168" s="94">
        <f>SUMIFS('caseload data'!G:G,'caseload data'!$D:$D,"PSO",'caseload data'!$A:$A,"London",'caseload data'!$B:$B,"custody")</f>
        <v>0</v>
      </c>
      <c r="G168" s="94">
        <f>SUMIFS('caseload data'!H:H,'caseload data'!$D:$D,"PSO",'caseload data'!$A:$A,"London",'caseload data'!$B:$B,"custody")</f>
        <v>0</v>
      </c>
      <c r="H168" s="94">
        <f>SUMIFS('caseload data'!I:I,'caseload data'!$D:$D,"PSO",'caseload data'!$A:$A,"London",'caseload data'!$B:$B,"custody")</f>
        <v>0</v>
      </c>
      <c r="I168" s="94">
        <f>SUMIFS('caseload data'!J:J,'caseload data'!$D:$D,"PSO",'caseload data'!$A:$A,"London",'caseload data'!$B:$B,"custody")</f>
        <v>0</v>
      </c>
      <c r="J168" s="94">
        <f>SUMIFS('caseload data'!K:K,'caseload data'!$D:$D,"PSO",'caseload data'!$A:$A,"London",'caseload data'!$B:$B,"custody")</f>
        <v>0</v>
      </c>
      <c r="K168" s="94">
        <f>SUMIFS('caseload data'!L:L,'caseload data'!$D:$D,"PSO",'caseload data'!$A:$A,"London",'caseload data'!$B:$B,"custody")</f>
        <v>0</v>
      </c>
      <c r="L168" s="94">
        <f>SUMIFS('caseload data'!M:M,'caseload data'!$D:$D,"PSO",'caseload data'!$A:$A,"London",'caseload data'!$B:$B,"custody")</f>
        <v>0</v>
      </c>
      <c r="M168" s="94">
        <f>SUMIFS('caseload data'!N:N,'caseload data'!$D:$D,"PSO",'caseload data'!$A:$A,"London",'caseload data'!$B:$B,"custody")</f>
        <v>0</v>
      </c>
      <c r="N168" s="94">
        <f>SUMIFS('caseload data'!O:O,'caseload data'!$D:$D,"PSO",'caseload data'!$A:$A,"London",'caseload data'!$B:$B,"custody")</f>
        <v>0</v>
      </c>
      <c r="O168" s="94">
        <f>SUMIFS('caseload data'!P:P,'caseload data'!$D:$D,"PSO",'caseload data'!$A:$A,"London",'caseload data'!$B:$B,"custody")</f>
        <v>0</v>
      </c>
      <c r="P168" s="94">
        <f>SUMIFS('caseload data'!Q:Q,'caseload data'!$D:$D,"PSO",'caseload data'!$A:$A,"London",'caseload data'!$B:$B,"custody")</f>
        <v>0</v>
      </c>
      <c r="Q168" s="94">
        <f>SUMIFS('caseload data'!R:R,'caseload data'!$D:$D,"PSO",'caseload data'!$A:$A,"London",'caseload data'!$B:$B,"custody")</f>
        <v>0</v>
      </c>
      <c r="R168" s="94">
        <f>SUMIFS('caseload data'!S:S,'caseload data'!$D:$D,"PSO",'caseload data'!$A:$A,"London",'caseload data'!$B:$B,"custody")</f>
        <v>0</v>
      </c>
      <c r="S168" s="94">
        <f>SUMIFS('caseload data'!T:T,'caseload data'!$D:$D,"PSO",'caseload data'!$A:$A,"London",'caseload data'!$B:$B,"custody")</f>
        <v>0</v>
      </c>
      <c r="T168" s="94">
        <f>SUMIFS('caseload data'!V:V,'caseload data'!D:D,"PSO",'caseload data'!A:A,"London",'caseload data'!B:B,"custody")</f>
        <v>0</v>
      </c>
      <c r="U168" s="64"/>
      <c r="V168" s="64"/>
      <c r="W168" s="472"/>
      <c r="X168" s="129" t="s">
        <v>1007</v>
      </c>
      <c r="Y168" s="167" t="e">
        <f t="shared" ref="Y168:Y171" si="93">SUM(D168)/SUM(D$167:D$171)</f>
        <v>#DIV/0!</v>
      </c>
      <c r="Z168" s="167" t="e">
        <f t="shared" si="92"/>
        <v>#DIV/0!</v>
      </c>
      <c r="AA168" s="167" t="e">
        <f t="shared" si="92"/>
        <v>#DIV/0!</v>
      </c>
      <c r="AB168" s="167" t="e">
        <f t="shared" si="92"/>
        <v>#DIV/0!</v>
      </c>
      <c r="AC168" s="167" t="e">
        <f t="shared" si="92"/>
        <v>#DIV/0!</v>
      </c>
      <c r="AD168" s="167" t="e">
        <f t="shared" si="92"/>
        <v>#DIV/0!</v>
      </c>
      <c r="AE168" s="167" t="e">
        <f t="shared" si="92"/>
        <v>#DIV/0!</v>
      </c>
      <c r="AF168" s="167" t="e">
        <f t="shared" si="92"/>
        <v>#DIV/0!</v>
      </c>
      <c r="AG168" s="167" t="e">
        <f t="shared" si="92"/>
        <v>#DIV/0!</v>
      </c>
      <c r="AH168" s="167" t="e">
        <f t="shared" si="92"/>
        <v>#DIV/0!</v>
      </c>
      <c r="AI168" s="167" t="e">
        <f t="shared" si="92"/>
        <v>#DIV/0!</v>
      </c>
      <c r="AJ168" s="167" t="e">
        <f t="shared" si="92"/>
        <v>#DIV/0!</v>
      </c>
      <c r="AK168" s="167" t="e">
        <f t="shared" si="92"/>
        <v>#DIV/0!</v>
      </c>
      <c r="AL168" s="167" t="e">
        <f t="shared" si="92"/>
        <v>#DIV/0!</v>
      </c>
      <c r="AM168" s="167" t="e">
        <f t="shared" si="92"/>
        <v>#DIV/0!</v>
      </c>
      <c r="AN168" s="167" t="e">
        <f t="shared" si="92"/>
        <v>#DIV/0!</v>
      </c>
      <c r="AO168" s="167" t="e">
        <f t="shared" si="92"/>
        <v>#DIV/0!</v>
      </c>
    </row>
    <row r="169" spans="2:41" x14ac:dyDescent="0.15">
      <c r="B169" s="472"/>
      <c r="C169" s="129" t="s">
        <v>1008</v>
      </c>
      <c r="D169" s="94">
        <f>SUMIFS('caseload data'!E:E,'caseload data'!$D:$D,"TPO",'caseload data'!$A:$A,"London",'caseload data'!$B:$B,"custody")</f>
        <v>0</v>
      </c>
      <c r="E169" s="94">
        <f>SUMIFS('caseload data'!F:F,'caseload data'!$D:$D,"TPO",'caseload data'!$A:$A,"London",'caseload data'!$B:$B,"custody")</f>
        <v>0</v>
      </c>
      <c r="F169" s="94">
        <f>SUMIFS('caseload data'!G:G,'caseload data'!$D:$D,"TPO",'caseload data'!$A:$A,"London",'caseload data'!$B:$B,"custody")</f>
        <v>0</v>
      </c>
      <c r="G169" s="94">
        <f>SUMIFS('caseload data'!H:H,'caseload data'!$D:$D,"TPO",'caseload data'!$A:$A,"London",'caseload data'!$B:$B,"custody")</f>
        <v>0</v>
      </c>
      <c r="H169" s="94">
        <f>SUMIFS('caseload data'!I:I,'caseload data'!$D:$D,"TPO",'caseload data'!$A:$A,"London",'caseload data'!$B:$B,"custody")</f>
        <v>0</v>
      </c>
      <c r="I169" s="94">
        <f>SUMIFS('caseload data'!J:J,'caseload data'!$D:$D,"TPO",'caseload data'!$A:$A,"London",'caseload data'!$B:$B,"custody")</f>
        <v>0</v>
      </c>
      <c r="J169" s="94">
        <f>SUMIFS('caseload data'!K:K,'caseload data'!$D:$D,"TPO",'caseload data'!$A:$A,"London",'caseload data'!$B:$B,"custody")</f>
        <v>0</v>
      </c>
      <c r="K169" s="94">
        <f>SUMIFS('caseload data'!L:L,'caseload data'!$D:$D,"TPO",'caseload data'!$A:$A,"London",'caseload data'!$B:$B,"custody")</f>
        <v>0</v>
      </c>
      <c r="L169" s="94">
        <f>SUMIFS('caseload data'!M:M,'caseload data'!$D:$D,"TPO",'caseload data'!$A:$A,"London",'caseload data'!$B:$B,"custody")</f>
        <v>0</v>
      </c>
      <c r="M169" s="94">
        <f>SUMIFS('caseload data'!N:N,'caseload data'!$D:$D,"TPO",'caseload data'!$A:$A,"London",'caseload data'!$B:$B,"custody")</f>
        <v>0</v>
      </c>
      <c r="N169" s="94">
        <f>SUMIFS('caseload data'!O:O,'caseload data'!$D:$D,"TPO",'caseload data'!$A:$A,"London",'caseload data'!$B:$B,"custody")</f>
        <v>0</v>
      </c>
      <c r="O169" s="94">
        <f>SUMIFS('caseload data'!P:P,'caseload data'!$D:$D,"TPO",'caseload data'!$A:$A,"London",'caseload data'!$B:$B,"custody")</f>
        <v>0</v>
      </c>
      <c r="P169" s="94">
        <f>SUMIFS('caseload data'!Q:Q,'caseload data'!$D:$D,"TPO",'caseload data'!$A:$A,"London",'caseload data'!$B:$B,"custody")</f>
        <v>0</v>
      </c>
      <c r="Q169" s="94">
        <f>SUMIFS('caseload data'!R:R,'caseload data'!$D:$D,"TPO",'caseload data'!$A:$A,"London",'caseload data'!$B:$B,"custody")</f>
        <v>0</v>
      </c>
      <c r="R169" s="94">
        <f>SUMIFS('caseload data'!S:S,'caseload data'!$D:$D,"TPO",'caseload data'!$A:$A,"London",'caseload data'!$B:$B,"custody")</f>
        <v>0</v>
      </c>
      <c r="S169" s="94">
        <f>SUMIFS('caseload data'!T:T,'caseload data'!$D:$D,"TPO",'caseload data'!$A:$A,"London",'caseload data'!$B:$B,"custody")</f>
        <v>0</v>
      </c>
      <c r="T169" s="94">
        <f>SUMIFS('caseload data'!V:V,'caseload data'!D:D,"TPO",'caseload data'!A:A,"London",'caseload data'!B:B,"custody")</f>
        <v>0</v>
      </c>
      <c r="U169" s="64"/>
      <c r="V169" s="64"/>
      <c r="W169" s="472"/>
      <c r="X169" s="129" t="s">
        <v>1008</v>
      </c>
      <c r="Y169" s="167" t="e">
        <f t="shared" si="93"/>
        <v>#DIV/0!</v>
      </c>
      <c r="Z169" s="167" t="e">
        <f t="shared" si="92"/>
        <v>#DIV/0!</v>
      </c>
      <c r="AA169" s="167" t="e">
        <f t="shared" si="92"/>
        <v>#DIV/0!</v>
      </c>
      <c r="AB169" s="167" t="e">
        <f t="shared" si="92"/>
        <v>#DIV/0!</v>
      </c>
      <c r="AC169" s="167" t="e">
        <f t="shared" si="92"/>
        <v>#DIV/0!</v>
      </c>
      <c r="AD169" s="167" t="e">
        <f t="shared" si="92"/>
        <v>#DIV/0!</v>
      </c>
      <c r="AE169" s="167" t="e">
        <f t="shared" si="92"/>
        <v>#DIV/0!</v>
      </c>
      <c r="AF169" s="167" t="e">
        <f t="shared" si="92"/>
        <v>#DIV/0!</v>
      </c>
      <c r="AG169" s="167" t="e">
        <f t="shared" si="92"/>
        <v>#DIV/0!</v>
      </c>
      <c r="AH169" s="167" t="e">
        <f t="shared" si="92"/>
        <v>#DIV/0!</v>
      </c>
      <c r="AI169" s="167" t="e">
        <f t="shared" si="92"/>
        <v>#DIV/0!</v>
      </c>
      <c r="AJ169" s="167" t="e">
        <f t="shared" si="92"/>
        <v>#DIV/0!</v>
      </c>
      <c r="AK169" s="167" t="e">
        <f t="shared" si="92"/>
        <v>#DIV/0!</v>
      </c>
      <c r="AL169" s="167" t="e">
        <f t="shared" si="92"/>
        <v>#DIV/0!</v>
      </c>
      <c r="AM169" s="167" t="e">
        <f t="shared" si="92"/>
        <v>#DIV/0!</v>
      </c>
      <c r="AN169" s="167" t="e">
        <f t="shared" si="92"/>
        <v>#DIV/0!</v>
      </c>
      <c r="AO169" s="167" t="e">
        <f t="shared" si="92"/>
        <v>#DIV/0!</v>
      </c>
    </row>
    <row r="170" spans="2:41" x14ac:dyDescent="0.15">
      <c r="B170" s="472"/>
      <c r="C170" s="129" t="s">
        <v>1009</v>
      </c>
      <c r="D170" s="94">
        <f>SUMIFS('caseload data'!E:E,'caseload data'!$D:$D,"SPO",'caseload data'!$A:$A,"London",'caseload data'!$B:$B,"custody")</f>
        <v>0</v>
      </c>
      <c r="E170" s="94">
        <f>SUMIFS('caseload data'!F:F,'caseload data'!$D:$D,"SPO",'caseload data'!$A:$A,"London",'caseload data'!$B:$B,"custody")</f>
        <v>0</v>
      </c>
      <c r="F170" s="94">
        <f>SUMIFS('caseload data'!G:G,'caseload data'!$D:$D,"SPO",'caseload data'!$A:$A,"London",'caseload data'!$B:$B,"custody")</f>
        <v>0</v>
      </c>
      <c r="G170" s="94">
        <f>SUMIFS('caseload data'!H:H,'caseload data'!$D:$D,"SPO",'caseload data'!$A:$A,"London",'caseload data'!$B:$B,"custody")</f>
        <v>0</v>
      </c>
      <c r="H170" s="94">
        <f>SUMIFS('caseload data'!I:I,'caseload data'!$D:$D,"SPO",'caseload data'!$A:$A,"London",'caseload data'!$B:$B,"custody")</f>
        <v>0</v>
      </c>
      <c r="I170" s="94">
        <f>SUMIFS('caseload data'!J:J,'caseload data'!$D:$D,"SPO",'caseload data'!$A:$A,"London",'caseload data'!$B:$B,"custody")</f>
        <v>0</v>
      </c>
      <c r="J170" s="94">
        <f>SUMIFS('caseload data'!K:K,'caseload data'!$D:$D,"SPO",'caseload data'!$A:$A,"London",'caseload data'!$B:$B,"custody")</f>
        <v>0</v>
      </c>
      <c r="K170" s="94">
        <f>SUMIFS('caseload data'!L:L,'caseload data'!$D:$D,"SPO",'caseload data'!$A:$A,"London",'caseload data'!$B:$B,"custody")</f>
        <v>0</v>
      </c>
      <c r="L170" s="94">
        <f>SUMIFS('caseload data'!M:M,'caseload data'!$D:$D,"SPO",'caseload data'!$A:$A,"London",'caseload data'!$B:$B,"custody")</f>
        <v>0</v>
      </c>
      <c r="M170" s="94">
        <f>SUMIFS('caseload data'!N:N,'caseload data'!$D:$D,"SPO",'caseload data'!$A:$A,"London",'caseload data'!$B:$B,"custody")</f>
        <v>0</v>
      </c>
      <c r="N170" s="94">
        <f>SUMIFS('caseload data'!O:O,'caseload data'!$D:$D,"SPO",'caseload data'!$A:$A,"London",'caseload data'!$B:$B,"custody")</f>
        <v>0</v>
      </c>
      <c r="O170" s="94">
        <f>SUMIFS('caseload data'!P:P,'caseload data'!$D:$D,"SPO",'caseload data'!$A:$A,"London",'caseload data'!$B:$B,"custody")</f>
        <v>0</v>
      </c>
      <c r="P170" s="94">
        <f>SUMIFS('caseload data'!Q:Q,'caseload data'!$D:$D,"SPO",'caseload data'!$A:$A,"London",'caseload data'!$B:$B,"custody")</f>
        <v>0</v>
      </c>
      <c r="Q170" s="94">
        <f>SUMIFS('caseload data'!R:R,'caseload data'!$D:$D,"SPO",'caseload data'!$A:$A,"London",'caseload data'!$B:$B,"custody")</f>
        <v>0</v>
      </c>
      <c r="R170" s="94">
        <f>SUMIFS('caseload data'!S:S,'caseload data'!$D:$D,"SPO",'caseload data'!$A:$A,"London",'caseload data'!$B:$B,"custody")</f>
        <v>0</v>
      </c>
      <c r="S170" s="94">
        <f>SUMIFS('caseload data'!T:T,'caseload data'!$D:$D,"SPO",'caseload data'!$A:$A,"London",'caseload data'!$B:$B,"custody")</f>
        <v>0</v>
      </c>
      <c r="T170" s="94">
        <f>SUMIFS('caseload data'!V:V,'caseload data'!$D:$D,"SPO",'caseload data'!$A:$A,"London",'caseload data'!$B:$B,"custody")</f>
        <v>0</v>
      </c>
      <c r="U170" s="64"/>
      <c r="V170" s="64"/>
      <c r="W170" s="472"/>
      <c r="X170" s="129" t="s">
        <v>1009</v>
      </c>
      <c r="Y170" s="167" t="e">
        <f t="shared" si="93"/>
        <v>#DIV/0!</v>
      </c>
      <c r="Z170" s="167" t="e">
        <f t="shared" si="92"/>
        <v>#DIV/0!</v>
      </c>
      <c r="AA170" s="167" t="e">
        <f t="shared" si="92"/>
        <v>#DIV/0!</v>
      </c>
      <c r="AB170" s="167" t="e">
        <f t="shared" si="92"/>
        <v>#DIV/0!</v>
      </c>
      <c r="AC170" s="167" t="e">
        <f t="shared" si="92"/>
        <v>#DIV/0!</v>
      </c>
      <c r="AD170" s="167" t="e">
        <f t="shared" si="92"/>
        <v>#DIV/0!</v>
      </c>
      <c r="AE170" s="167" t="e">
        <f t="shared" si="92"/>
        <v>#DIV/0!</v>
      </c>
      <c r="AF170" s="167" t="e">
        <f t="shared" si="92"/>
        <v>#DIV/0!</v>
      </c>
      <c r="AG170" s="167" t="e">
        <f t="shared" si="92"/>
        <v>#DIV/0!</v>
      </c>
      <c r="AH170" s="167" t="e">
        <f t="shared" si="92"/>
        <v>#DIV/0!</v>
      </c>
      <c r="AI170" s="167" t="e">
        <f t="shared" si="92"/>
        <v>#DIV/0!</v>
      </c>
      <c r="AJ170" s="167" t="e">
        <f t="shared" si="92"/>
        <v>#DIV/0!</v>
      </c>
      <c r="AK170" s="167" t="e">
        <f t="shared" si="92"/>
        <v>#DIV/0!</v>
      </c>
      <c r="AL170" s="167" t="e">
        <f t="shared" si="92"/>
        <v>#DIV/0!</v>
      </c>
      <c r="AM170" s="167" t="e">
        <f t="shared" si="92"/>
        <v>#DIV/0!</v>
      </c>
      <c r="AN170" s="167" t="e">
        <f t="shared" si="92"/>
        <v>#DIV/0!</v>
      </c>
      <c r="AO170" s="167" t="e">
        <f t="shared" si="92"/>
        <v>#DIV/0!</v>
      </c>
    </row>
    <row r="171" spans="2:41" x14ac:dyDescent="0.15">
      <c r="B171" s="473"/>
      <c r="C171" s="130" t="s">
        <v>1344</v>
      </c>
      <c r="D171" s="94">
        <f>SUMIFS('caseload data'!E:E,'caseload data'!$D:$D,"DMY",'caseload data'!$A:$A,"London",'caseload data'!$B:$B,"custody")</f>
        <v>0</v>
      </c>
      <c r="E171" s="94">
        <f>SUMIFS('caseload data'!F:F,'caseload data'!$D:$D,"DMY",'caseload data'!$A:$A,"London",'caseload data'!$B:$B,"custody")</f>
        <v>0</v>
      </c>
      <c r="F171" s="94">
        <f>SUMIFS('caseload data'!G:G,'caseload data'!$D:$D,"DMY",'caseload data'!$A:$A,"London",'caseload data'!$B:$B,"custody")</f>
        <v>0</v>
      </c>
      <c r="G171" s="94">
        <f>SUMIFS('caseload data'!H:H,'caseload data'!$D:$D,"DMY",'caseload data'!$A:$A,"London",'caseload data'!$B:$B,"custody")</f>
        <v>0</v>
      </c>
      <c r="H171" s="94">
        <f>SUMIFS('caseload data'!I:I,'caseload data'!$D:$D,"DMY",'caseload data'!$A:$A,"London",'caseload data'!$B:$B,"custody")</f>
        <v>0</v>
      </c>
      <c r="I171" s="94">
        <f>SUMIFS('caseload data'!J:J,'caseload data'!$D:$D,"DMY",'caseload data'!$A:$A,"London",'caseload data'!$B:$B,"custody")</f>
        <v>0</v>
      </c>
      <c r="J171" s="94">
        <f>SUMIFS('caseload data'!K:K,'caseload data'!$D:$D,"DMY",'caseload data'!$A:$A,"London",'caseload data'!$B:$B,"custody")</f>
        <v>0</v>
      </c>
      <c r="K171" s="94">
        <f>SUMIFS('caseload data'!L:L,'caseload data'!$D:$D,"DMY",'caseload data'!$A:$A,"London",'caseload data'!$B:$B,"custody")</f>
        <v>0</v>
      </c>
      <c r="L171" s="94">
        <f>SUMIFS('caseload data'!M:M,'caseload data'!$D:$D,"DMY",'caseload data'!$A:$A,"London",'caseload data'!$B:$B,"custody")</f>
        <v>0</v>
      </c>
      <c r="M171" s="94">
        <f>SUMIFS('caseload data'!N:N,'caseload data'!$D:$D,"DMY",'caseload data'!$A:$A,"London",'caseload data'!$B:$B,"custody")</f>
        <v>0</v>
      </c>
      <c r="N171" s="94">
        <f>SUMIFS('caseload data'!O:O,'caseload data'!$D:$D,"DMY",'caseload data'!$A:$A,"London",'caseload data'!$B:$B,"custody")</f>
        <v>0</v>
      </c>
      <c r="O171" s="94">
        <f>SUMIFS('caseload data'!P:P,'caseload data'!$D:$D,"DMY",'caseload data'!$A:$A,"London",'caseload data'!$B:$B,"custody")</f>
        <v>0</v>
      </c>
      <c r="P171" s="94">
        <f>SUMIFS('caseload data'!Q:Q,'caseload data'!$D:$D,"DMY",'caseload data'!$A:$A,"London",'caseload data'!$B:$B,"custody")</f>
        <v>0</v>
      </c>
      <c r="Q171" s="94">
        <f>SUMIFS('caseload data'!R:R,'caseload data'!$D:$D,"DMY",'caseload data'!$A:$A,"London",'caseload data'!$B:$B,"custody")</f>
        <v>0</v>
      </c>
      <c r="R171" s="94">
        <f>SUMIFS('caseload data'!S:S,'caseload data'!$D:$D,"DMY",'caseload data'!$A:$A,"London",'caseload data'!$B:$B,"custody")</f>
        <v>0</v>
      </c>
      <c r="S171" s="94">
        <f>SUMIFS('caseload data'!T:T,'caseload data'!$D:$D,"DMY",'caseload data'!$A:$A,"London",'caseload data'!$B:$B,"custody")</f>
        <v>0</v>
      </c>
      <c r="T171" s="94">
        <f>SUMIFS('caseload data'!V:V,'caseload data'!$D:$D,"DMY",'caseload data'!$A:$A,"London",'caseload data'!$B:$B,"custody")</f>
        <v>0</v>
      </c>
      <c r="U171" s="64"/>
      <c r="V171" s="64"/>
      <c r="W171" s="473"/>
      <c r="X171" s="130" t="s">
        <v>1344</v>
      </c>
      <c r="Y171" s="167" t="e">
        <f t="shared" si="93"/>
        <v>#DIV/0!</v>
      </c>
      <c r="Z171" s="167" t="e">
        <f t="shared" si="92"/>
        <v>#DIV/0!</v>
      </c>
      <c r="AA171" s="167" t="e">
        <f t="shared" si="92"/>
        <v>#DIV/0!</v>
      </c>
      <c r="AB171" s="167" t="e">
        <f t="shared" si="92"/>
        <v>#DIV/0!</v>
      </c>
      <c r="AC171" s="167" t="e">
        <f t="shared" si="92"/>
        <v>#DIV/0!</v>
      </c>
      <c r="AD171" s="167" t="e">
        <f t="shared" si="92"/>
        <v>#DIV/0!</v>
      </c>
      <c r="AE171" s="167" t="e">
        <f t="shared" si="92"/>
        <v>#DIV/0!</v>
      </c>
      <c r="AF171" s="167" t="e">
        <f t="shared" si="92"/>
        <v>#DIV/0!</v>
      </c>
      <c r="AG171" s="167" t="e">
        <f t="shared" si="92"/>
        <v>#DIV/0!</v>
      </c>
      <c r="AH171" s="167" t="e">
        <f t="shared" si="92"/>
        <v>#DIV/0!</v>
      </c>
      <c r="AI171" s="167" t="e">
        <f t="shared" si="92"/>
        <v>#DIV/0!</v>
      </c>
      <c r="AJ171" s="167" t="e">
        <f t="shared" si="92"/>
        <v>#DIV/0!</v>
      </c>
      <c r="AK171" s="167" t="e">
        <f t="shared" si="92"/>
        <v>#DIV/0!</v>
      </c>
      <c r="AL171" s="167" t="e">
        <f t="shared" si="92"/>
        <v>#DIV/0!</v>
      </c>
      <c r="AM171" s="167" t="e">
        <f t="shared" si="92"/>
        <v>#DIV/0!</v>
      </c>
      <c r="AN171" s="167" t="e">
        <f t="shared" si="92"/>
        <v>#DIV/0!</v>
      </c>
      <c r="AO171" s="167" t="e">
        <f t="shared" si="92"/>
        <v>#DIV/0!</v>
      </c>
    </row>
    <row r="172" spans="2:41" x14ac:dyDescent="0.15">
      <c r="B172" s="471" t="s">
        <v>22</v>
      </c>
      <c r="C172" s="128" t="s">
        <v>1002</v>
      </c>
      <c r="D172" s="94">
        <f>SUMIFS('caseload data'!E:E,'caseload data'!$D:$D,"PO",'caseload data'!$A:$A,'national caseload'!$B$172:$B$174,'caseload data'!$B:$B,"custody")</f>
        <v>0</v>
      </c>
      <c r="E172" s="94">
        <f>SUMIFS('caseload data'!F:F,'caseload data'!$D:$D,"PO",'caseload data'!$A:$A,'national caseload'!$B$172:$B$174,'caseload data'!$B:$B,"custody")</f>
        <v>0</v>
      </c>
      <c r="F172" s="94">
        <f>SUMIFS('caseload data'!G:G,'caseload data'!$D:$D,"PO",'caseload data'!$A:$A,'national caseload'!$B$172:$B$174,'caseload data'!$B:$B,"custody")</f>
        <v>0</v>
      </c>
      <c r="G172" s="94">
        <f>SUMIFS('caseload data'!H:H,'caseload data'!$D:$D,"PO",'caseload data'!$A:$A,'national caseload'!$B$172:$B$174,'caseload data'!$B:$B,"custody")</f>
        <v>0</v>
      </c>
      <c r="H172" s="94">
        <f>SUMIFS('caseload data'!I:I,'caseload data'!$D:$D,"PO",'caseload data'!$A:$A,'national caseload'!$B$172:$B$174,'caseload data'!$B:$B,"custody")</f>
        <v>0</v>
      </c>
      <c r="I172" s="94">
        <f>SUMIFS('caseload data'!J:J,'caseload data'!$D:$D,"PO",'caseload data'!$A:$A,'national caseload'!$B$172:$B$174,'caseload data'!$B:$B,"custody")</f>
        <v>0</v>
      </c>
      <c r="J172" s="94">
        <f>SUMIFS('caseload data'!K:K,'caseload data'!$D:$D,"PO",'caseload data'!$A:$A,'national caseload'!$B$172:$B$174,'caseload data'!$B:$B,"custody")</f>
        <v>0</v>
      </c>
      <c r="K172" s="94">
        <f>SUMIFS('caseload data'!L:L,'caseload data'!$D:$D,"PO",'caseload data'!$A:$A,'national caseload'!$B$172:$B$174,'caseload data'!$B:$B,"custody")</f>
        <v>0</v>
      </c>
      <c r="L172" s="94">
        <f>SUMIFS('caseload data'!M:M,'caseload data'!$D:$D,"PO",'caseload data'!$A:$A,'national caseload'!$B$172:$B$174,'caseload data'!$B:$B,"custody")</f>
        <v>0</v>
      </c>
      <c r="M172" s="94">
        <f>SUMIFS('caseload data'!N:N,'caseload data'!$D:$D,"PO",'caseload data'!$A:$A,'national caseload'!$B$172:$B$174,'caseload data'!$B:$B,"custody")</f>
        <v>0</v>
      </c>
      <c r="N172" s="94">
        <f>SUMIFS('caseload data'!O:O,'caseload data'!$D:$D,"PO",'caseload data'!$A:$A,'national caseload'!$B$172:$B$174,'caseload data'!$B:$B,"custody")</f>
        <v>0</v>
      </c>
      <c r="O172" s="94">
        <f>SUMIFS('caseload data'!P:P,'caseload data'!$D:$D,"PO",'caseload data'!$A:$A,'national caseload'!$B$172:$B$174,'caseload data'!$B:$B,"custody")</f>
        <v>0</v>
      </c>
      <c r="P172" s="94">
        <f>SUMIFS('caseload data'!Q:Q,'caseload data'!$D:$D,"PO",'caseload data'!$A:$A,'national caseload'!$B$172:$B$174,'caseload data'!$B:$B,"custody")</f>
        <v>0</v>
      </c>
      <c r="Q172" s="94">
        <f>SUMIFS('caseload data'!R:R,'caseload data'!$D:$D,"PO",'caseload data'!$A:$A,'national caseload'!$B$172:$B$174,'caseload data'!$B:$B,"custody")</f>
        <v>0</v>
      </c>
      <c r="R172" s="94">
        <f>SUMIFS('caseload data'!S:S,'caseload data'!$D:$D,"PO",'caseload data'!$A:$A,'national caseload'!$B$172:$B$174,'caseload data'!$B:$B,"custody")</f>
        <v>0</v>
      </c>
      <c r="S172" s="94">
        <f>SUMIFS('caseload data'!T:T,'caseload data'!$D:$D,"PO",'caseload data'!$A:$A,'national caseload'!$B$172:$B$174,'caseload data'!$B:$B,"custody")</f>
        <v>0</v>
      </c>
      <c r="T172" s="94">
        <f>SUMIFS('caseload data'!V:V,'caseload data'!D:D,"PO",'caseload data'!A:A,'national caseload'!B172:B174,'caseload data'!B:B,"custody")</f>
        <v>0</v>
      </c>
      <c r="U172" s="64"/>
      <c r="V172" s="64"/>
      <c r="W172" s="471" t="s">
        <v>22</v>
      </c>
      <c r="X172" s="128" t="s">
        <v>1002</v>
      </c>
      <c r="Y172" s="167" t="e">
        <f>SUM(D172)/SUM(D$172:D$176)</f>
        <v>#DIV/0!</v>
      </c>
      <c r="Z172" s="167" t="e">
        <f t="shared" ref="Z172:AO176" si="94">SUM(E172)/SUM(E$172:E$176)</f>
        <v>#DIV/0!</v>
      </c>
      <c r="AA172" s="167" t="e">
        <f t="shared" si="94"/>
        <v>#DIV/0!</v>
      </c>
      <c r="AB172" s="167" t="e">
        <f t="shared" si="94"/>
        <v>#DIV/0!</v>
      </c>
      <c r="AC172" s="167" t="e">
        <f t="shared" si="94"/>
        <v>#DIV/0!</v>
      </c>
      <c r="AD172" s="167" t="e">
        <f t="shared" si="94"/>
        <v>#DIV/0!</v>
      </c>
      <c r="AE172" s="167" t="e">
        <f t="shared" si="94"/>
        <v>#DIV/0!</v>
      </c>
      <c r="AF172" s="167" t="e">
        <f t="shared" si="94"/>
        <v>#DIV/0!</v>
      </c>
      <c r="AG172" s="167" t="e">
        <f t="shared" si="94"/>
        <v>#DIV/0!</v>
      </c>
      <c r="AH172" s="167" t="e">
        <f t="shared" si="94"/>
        <v>#DIV/0!</v>
      </c>
      <c r="AI172" s="167" t="e">
        <f t="shared" si="94"/>
        <v>#DIV/0!</v>
      </c>
      <c r="AJ172" s="167" t="e">
        <f t="shared" si="94"/>
        <v>#DIV/0!</v>
      </c>
      <c r="AK172" s="167" t="e">
        <f t="shared" si="94"/>
        <v>#DIV/0!</v>
      </c>
      <c r="AL172" s="167" t="e">
        <f t="shared" si="94"/>
        <v>#DIV/0!</v>
      </c>
      <c r="AM172" s="167" t="e">
        <f t="shared" si="94"/>
        <v>#DIV/0!</v>
      </c>
      <c r="AN172" s="167" t="e">
        <f t="shared" si="94"/>
        <v>#DIV/0!</v>
      </c>
      <c r="AO172" s="167" t="e">
        <f t="shared" si="94"/>
        <v>#DIV/0!</v>
      </c>
    </row>
    <row r="173" spans="2:41" x14ac:dyDescent="0.15">
      <c r="B173" s="472"/>
      <c r="C173" s="129" t="s">
        <v>1007</v>
      </c>
      <c r="D173" s="94">
        <f>SUMIFS('caseload data'!E:E,'caseload data'!$D:$D,"PSO",'caseload data'!$A:$A,"North East Region",'caseload data'!$B:$B,"custody")</f>
        <v>0</v>
      </c>
      <c r="E173" s="94">
        <f>SUMIFS('caseload data'!F:F,'caseload data'!$D:$D,"PSO",'caseload data'!$A:$A,"North East Region",'caseload data'!$B:$B,"custody")</f>
        <v>0</v>
      </c>
      <c r="F173" s="94">
        <f>SUMIFS('caseload data'!G:G,'caseload data'!$D:$D,"PSO",'caseload data'!$A:$A,"North East Region",'caseload data'!$B:$B,"custody")</f>
        <v>0</v>
      </c>
      <c r="G173" s="94">
        <f>SUMIFS('caseload data'!H:H,'caseload data'!$D:$D,"PSO",'caseload data'!$A:$A,"North East Region",'caseload data'!$B:$B,"custody")</f>
        <v>0</v>
      </c>
      <c r="H173" s="94">
        <f>SUMIFS('caseload data'!I:I,'caseload data'!$D:$D,"PSO",'caseload data'!$A:$A,"North East Region",'caseload data'!$B:$B,"custody")</f>
        <v>0</v>
      </c>
      <c r="I173" s="94">
        <f>SUMIFS('caseload data'!J:J,'caseload data'!$D:$D,"PSO",'caseload data'!$A:$A,"North East Region",'caseload data'!$B:$B,"custody")</f>
        <v>0</v>
      </c>
      <c r="J173" s="94">
        <f>SUMIFS('caseload data'!K:K,'caseload data'!$D:$D,"PSO",'caseload data'!$A:$A,"North East Region",'caseload data'!$B:$B,"custody")</f>
        <v>0</v>
      </c>
      <c r="K173" s="94">
        <f>SUMIFS('caseload data'!L:L,'caseload data'!$D:$D,"PSO",'caseload data'!$A:$A,"North East Region",'caseload data'!$B:$B,"custody")</f>
        <v>0</v>
      </c>
      <c r="L173" s="94">
        <f>SUMIFS('caseload data'!M:M,'caseload data'!$D:$D,"PSO",'caseload data'!$A:$A,"North East Region",'caseload data'!$B:$B,"custody")</f>
        <v>0</v>
      </c>
      <c r="M173" s="94">
        <f>SUMIFS('caseload data'!N:N,'caseload data'!$D:$D,"PSO",'caseload data'!$A:$A,"North East Region",'caseload data'!$B:$B,"custody")</f>
        <v>0</v>
      </c>
      <c r="N173" s="94">
        <f>SUMIFS('caseload data'!O:O,'caseload data'!$D:$D,"PSO",'caseload data'!$A:$A,"North East Region",'caseload data'!$B:$B,"custody")</f>
        <v>0</v>
      </c>
      <c r="O173" s="94">
        <f>SUMIFS('caseload data'!P:P,'caseload data'!$D:$D,"PSO",'caseload data'!$A:$A,"North East Region",'caseload data'!$B:$B,"custody")</f>
        <v>0</v>
      </c>
      <c r="P173" s="94">
        <f>SUMIFS('caseload data'!Q:Q,'caseload data'!$D:$D,"PSO",'caseload data'!$A:$A,"North East Region",'caseload data'!$B:$B,"custody")</f>
        <v>0</v>
      </c>
      <c r="Q173" s="94">
        <f>SUMIFS('caseload data'!R:R,'caseload data'!$D:$D,"PSO",'caseload data'!$A:$A,"North East Region",'caseload data'!$B:$B,"custody")</f>
        <v>0</v>
      </c>
      <c r="R173" s="94">
        <f>SUMIFS('caseload data'!S:S,'caseload data'!$D:$D,"PSO",'caseload data'!$A:$A,"North East Region",'caseload data'!$B:$B,"custody")</f>
        <v>0</v>
      </c>
      <c r="S173" s="94">
        <f>SUMIFS('caseload data'!T:T,'caseload data'!$D:$D,"PSO",'caseload data'!$A:$A,"North East Region",'caseload data'!$B:$B,"custody")</f>
        <v>0</v>
      </c>
      <c r="T173" s="94">
        <f>SUMIFS('caseload data'!V:V,'caseload data'!D:D,"PSO",'caseload data'!A:A,"North East Region",'caseload data'!B:B,"custody")</f>
        <v>0</v>
      </c>
      <c r="U173" s="64"/>
      <c r="V173" s="64"/>
      <c r="W173" s="472"/>
      <c r="X173" s="129" t="s">
        <v>1007</v>
      </c>
      <c r="Y173" s="167" t="e">
        <f t="shared" ref="Y173:Y176" si="95">SUM(D173)/SUM(D$172:D$176)</f>
        <v>#DIV/0!</v>
      </c>
      <c r="Z173" s="167" t="e">
        <f t="shared" si="94"/>
        <v>#DIV/0!</v>
      </c>
      <c r="AA173" s="167" t="e">
        <f t="shared" si="94"/>
        <v>#DIV/0!</v>
      </c>
      <c r="AB173" s="167" t="e">
        <f t="shared" si="94"/>
        <v>#DIV/0!</v>
      </c>
      <c r="AC173" s="167" t="e">
        <f t="shared" si="94"/>
        <v>#DIV/0!</v>
      </c>
      <c r="AD173" s="167" t="e">
        <f t="shared" si="94"/>
        <v>#DIV/0!</v>
      </c>
      <c r="AE173" s="167" t="e">
        <f t="shared" si="94"/>
        <v>#DIV/0!</v>
      </c>
      <c r="AF173" s="167" t="e">
        <f t="shared" si="94"/>
        <v>#DIV/0!</v>
      </c>
      <c r="AG173" s="167" t="e">
        <f t="shared" si="94"/>
        <v>#DIV/0!</v>
      </c>
      <c r="AH173" s="167" t="e">
        <f t="shared" si="94"/>
        <v>#DIV/0!</v>
      </c>
      <c r="AI173" s="167" t="e">
        <f t="shared" si="94"/>
        <v>#DIV/0!</v>
      </c>
      <c r="AJ173" s="167" t="e">
        <f t="shared" si="94"/>
        <v>#DIV/0!</v>
      </c>
      <c r="AK173" s="167" t="e">
        <f t="shared" si="94"/>
        <v>#DIV/0!</v>
      </c>
      <c r="AL173" s="167" t="e">
        <f t="shared" si="94"/>
        <v>#DIV/0!</v>
      </c>
      <c r="AM173" s="167" t="e">
        <f t="shared" si="94"/>
        <v>#DIV/0!</v>
      </c>
      <c r="AN173" s="167" t="e">
        <f t="shared" si="94"/>
        <v>#DIV/0!</v>
      </c>
      <c r="AO173" s="167" t="e">
        <f t="shared" si="94"/>
        <v>#DIV/0!</v>
      </c>
    </row>
    <row r="174" spans="2:41" x14ac:dyDescent="0.15">
      <c r="B174" s="472"/>
      <c r="C174" s="129" t="s">
        <v>1008</v>
      </c>
      <c r="D174" s="94">
        <f>SUMIFS('caseload data'!E:E,'caseload data'!$D:$D,"TPO",'caseload data'!$A:$A,"North East Region",'caseload data'!$B:$B,"custody")</f>
        <v>0</v>
      </c>
      <c r="E174" s="94">
        <f>SUMIFS('caseload data'!F:F,'caseload data'!$D:$D,"TPO",'caseload data'!$A:$A,"North East Region",'caseload data'!$B:$B,"custody")</f>
        <v>0</v>
      </c>
      <c r="F174" s="94">
        <f>SUMIFS('caseload data'!G:G,'caseload data'!$D:$D,"TPO",'caseload data'!$A:$A,"North East Region",'caseload data'!$B:$B,"custody")</f>
        <v>0</v>
      </c>
      <c r="G174" s="94">
        <f>SUMIFS('caseload data'!H:H,'caseload data'!$D:$D,"TPO",'caseload data'!$A:$A,"North East Region",'caseload data'!$B:$B,"custody")</f>
        <v>0</v>
      </c>
      <c r="H174" s="94">
        <f>SUMIFS('caseload data'!I:I,'caseload data'!$D:$D,"TPO",'caseload data'!$A:$A,"North East Region",'caseload data'!$B:$B,"custody")</f>
        <v>0</v>
      </c>
      <c r="I174" s="94">
        <f>SUMIFS('caseload data'!J:J,'caseload data'!$D:$D,"TPO",'caseload data'!$A:$A,"North East Region",'caseload data'!$B:$B,"custody")</f>
        <v>0</v>
      </c>
      <c r="J174" s="94">
        <f>SUMIFS('caseload data'!K:K,'caseload data'!$D:$D,"TPO",'caseload data'!$A:$A,"North East Region",'caseload data'!$B:$B,"custody")</f>
        <v>0</v>
      </c>
      <c r="K174" s="94">
        <f>SUMIFS('caseload data'!L:L,'caseload data'!$D:$D,"TPO",'caseload data'!$A:$A,"North East Region",'caseload data'!$B:$B,"custody")</f>
        <v>0</v>
      </c>
      <c r="L174" s="94">
        <f>SUMIFS('caseload data'!M:M,'caseload data'!$D:$D,"TPO",'caseload data'!$A:$A,"North East Region",'caseload data'!$B:$B,"custody")</f>
        <v>0</v>
      </c>
      <c r="M174" s="94">
        <f>SUMIFS('caseload data'!N:N,'caseload data'!$D:$D,"TPO",'caseload data'!$A:$A,"North East Region",'caseload data'!$B:$B,"custody")</f>
        <v>0</v>
      </c>
      <c r="N174" s="94">
        <f>SUMIFS('caseload data'!O:O,'caseload data'!$D:$D,"TPO",'caseload data'!$A:$A,"North East Region",'caseload data'!$B:$B,"custody")</f>
        <v>0</v>
      </c>
      <c r="O174" s="94">
        <f>SUMIFS('caseload data'!P:P,'caseload data'!$D:$D,"TPO",'caseload data'!$A:$A,"North East Region",'caseload data'!$B:$B,"custody")</f>
        <v>0</v>
      </c>
      <c r="P174" s="94">
        <f>SUMIFS('caseload data'!Q:Q,'caseload data'!$D:$D,"TPO",'caseload data'!$A:$A,"North East Region",'caseload data'!$B:$B,"custody")</f>
        <v>0</v>
      </c>
      <c r="Q174" s="94">
        <f>SUMIFS('caseload data'!R:R,'caseload data'!$D:$D,"TPO",'caseload data'!$A:$A,"North East Region",'caseload data'!$B:$B,"custody")</f>
        <v>0</v>
      </c>
      <c r="R174" s="94">
        <f>SUMIFS('caseload data'!S:S,'caseload data'!$D:$D,"TPO",'caseload data'!$A:$A,"North East Region",'caseload data'!$B:$B,"custody")</f>
        <v>0</v>
      </c>
      <c r="S174" s="94">
        <f>SUMIFS('caseload data'!T:T,'caseload data'!$D:$D,"TPO",'caseload data'!$A:$A,"North East Region",'caseload data'!$B:$B,"custody")</f>
        <v>0</v>
      </c>
      <c r="T174" s="94">
        <f>SUMIFS('caseload data'!V:V,'caseload data'!D:D,"TPO",'caseload data'!A:A,"North East Region",'caseload data'!B:B,"custody")</f>
        <v>0</v>
      </c>
      <c r="U174" s="64"/>
      <c r="V174" s="64"/>
      <c r="W174" s="472"/>
      <c r="X174" s="129" t="s">
        <v>1008</v>
      </c>
      <c r="Y174" s="167" t="e">
        <f t="shared" si="95"/>
        <v>#DIV/0!</v>
      </c>
      <c r="Z174" s="167" t="e">
        <f t="shared" si="94"/>
        <v>#DIV/0!</v>
      </c>
      <c r="AA174" s="167" t="e">
        <f t="shared" si="94"/>
        <v>#DIV/0!</v>
      </c>
      <c r="AB174" s="167" t="e">
        <f t="shared" si="94"/>
        <v>#DIV/0!</v>
      </c>
      <c r="AC174" s="167" t="e">
        <f t="shared" si="94"/>
        <v>#DIV/0!</v>
      </c>
      <c r="AD174" s="167" t="e">
        <f t="shared" si="94"/>
        <v>#DIV/0!</v>
      </c>
      <c r="AE174" s="167" t="e">
        <f t="shared" si="94"/>
        <v>#DIV/0!</v>
      </c>
      <c r="AF174" s="167" t="e">
        <f t="shared" si="94"/>
        <v>#DIV/0!</v>
      </c>
      <c r="AG174" s="167" t="e">
        <f t="shared" si="94"/>
        <v>#DIV/0!</v>
      </c>
      <c r="AH174" s="167" t="e">
        <f t="shared" si="94"/>
        <v>#DIV/0!</v>
      </c>
      <c r="AI174" s="167" t="e">
        <f t="shared" si="94"/>
        <v>#DIV/0!</v>
      </c>
      <c r="AJ174" s="167" t="e">
        <f t="shared" si="94"/>
        <v>#DIV/0!</v>
      </c>
      <c r="AK174" s="167" t="e">
        <f t="shared" si="94"/>
        <v>#DIV/0!</v>
      </c>
      <c r="AL174" s="167" t="e">
        <f t="shared" si="94"/>
        <v>#DIV/0!</v>
      </c>
      <c r="AM174" s="167" t="e">
        <f t="shared" si="94"/>
        <v>#DIV/0!</v>
      </c>
      <c r="AN174" s="167" t="e">
        <f t="shared" si="94"/>
        <v>#DIV/0!</v>
      </c>
      <c r="AO174" s="167" t="e">
        <f t="shared" si="94"/>
        <v>#DIV/0!</v>
      </c>
    </row>
    <row r="175" spans="2:41" x14ac:dyDescent="0.15">
      <c r="B175" s="472"/>
      <c r="C175" s="129" t="s">
        <v>1009</v>
      </c>
      <c r="D175" s="94">
        <f>SUMIFS('caseload data'!E:E,'caseload data'!$D:$D,"SPO",'caseload data'!$A:$A,"North East Region",'caseload data'!$B:$B,"custody")</f>
        <v>0</v>
      </c>
      <c r="E175" s="94">
        <f>SUMIFS('caseload data'!F:F,'caseload data'!$D:$D,"SPO",'caseload data'!$A:$A,"North East Region",'caseload data'!$B:$B,"custody")</f>
        <v>0</v>
      </c>
      <c r="F175" s="94">
        <f>SUMIFS('caseload data'!G:G,'caseload data'!$D:$D,"SPO",'caseload data'!$A:$A,"North East Region",'caseload data'!$B:$B,"custody")</f>
        <v>0</v>
      </c>
      <c r="G175" s="94">
        <f>SUMIFS('caseload data'!H:H,'caseload data'!$D:$D,"SPO",'caseload data'!$A:$A,"North East Region",'caseload data'!$B:$B,"custody")</f>
        <v>0</v>
      </c>
      <c r="H175" s="94">
        <f>SUMIFS('caseload data'!I:I,'caseload data'!$D:$D,"SPO",'caseload data'!$A:$A,"North East Region",'caseload data'!$B:$B,"custody")</f>
        <v>0</v>
      </c>
      <c r="I175" s="94">
        <f>SUMIFS('caseload data'!J:J,'caseload data'!$D:$D,"SPO",'caseload data'!$A:$A,"North East Region",'caseload data'!$B:$B,"custody")</f>
        <v>0</v>
      </c>
      <c r="J175" s="94">
        <f>SUMIFS('caseload data'!K:K,'caseload data'!$D:$D,"SPO",'caseload data'!$A:$A,"North East Region",'caseload data'!$B:$B,"custody")</f>
        <v>0</v>
      </c>
      <c r="K175" s="94">
        <f>SUMIFS('caseload data'!L:L,'caseload data'!$D:$D,"SPO",'caseload data'!$A:$A,"North East Region",'caseload data'!$B:$B,"custody")</f>
        <v>0</v>
      </c>
      <c r="L175" s="94">
        <f>SUMIFS('caseload data'!M:M,'caseload data'!$D:$D,"SPO",'caseload data'!$A:$A,"North East Region",'caseload data'!$B:$B,"custody")</f>
        <v>0</v>
      </c>
      <c r="M175" s="94">
        <f>SUMIFS('caseload data'!N:N,'caseload data'!$D:$D,"SPO",'caseload data'!$A:$A,"North East Region",'caseload data'!$B:$B,"custody")</f>
        <v>0</v>
      </c>
      <c r="N175" s="94">
        <f>SUMIFS('caseload data'!O:O,'caseload data'!$D:$D,"SPO",'caseload data'!$A:$A,"North East Region",'caseload data'!$B:$B,"custody")</f>
        <v>0</v>
      </c>
      <c r="O175" s="94">
        <f>SUMIFS('caseload data'!P:P,'caseload data'!$D:$D,"SPO",'caseload data'!$A:$A,"North East Region",'caseload data'!$B:$B,"custody")</f>
        <v>0</v>
      </c>
      <c r="P175" s="94">
        <f>SUMIFS('caseload data'!Q:Q,'caseload data'!$D:$D,"SPO",'caseload data'!$A:$A,"North East Region",'caseload data'!$B:$B,"custody")</f>
        <v>0</v>
      </c>
      <c r="Q175" s="94">
        <f>SUMIFS('caseload data'!R:R,'caseload data'!$D:$D,"SPO",'caseload data'!$A:$A,"North East Region",'caseload data'!$B:$B,"custody")</f>
        <v>0</v>
      </c>
      <c r="R175" s="94">
        <f>SUMIFS('caseload data'!S:S,'caseload data'!$D:$D,"SPO",'caseload data'!$A:$A,"North East Region",'caseload data'!$B:$B,"custody")</f>
        <v>0</v>
      </c>
      <c r="S175" s="94">
        <f>SUMIFS('caseload data'!T:T,'caseload data'!$D:$D,"SPO",'caseload data'!$A:$A,"North East Region",'caseload data'!$B:$B,"custody")</f>
        <v>0</v>
      </c>
      <c r="T175" s="94">
        <f>SUMIFS('caseload data'!V:V,'caseload data'!$D:$D,"SPO",'caseload data'!$A:$A,"North East Region",'caseload data'!$B:$B,"custody")</f>
        <v>0</v>
      </c>
      <c r="U175" s="64"/>
      <c r="V175" s="64"/>
      <c r="W175" s="472"/>
      <c r="X175" s="129" t="s">
        <v>1009</v>
      </c>
      <c r="Y175" s="167" t="e">
        <f t="shared" si="95"/>
        <v>#DIV/0!</v>
      </c>
      <c r="Z175" s="167" t="e">
        <f t="shared" si="94"/>
        <v>#DIV/0!</v>
      </c>
      <c r="AA175" s="167" t="e">
        <f t="shared" si="94"/>
        <v>#DIV/0!</v>
      </c>
      <c r="AB175" s="167" t="e">
        <f t="shared" si="94"/>
        <v>#DIV/0!</v>
      </c>
      <c r="AC175" s="167" t="e">
        <f t="shared" si="94"/>
        <v>#DIV/0!</v>
      </c>
      <c r="AD175" s="167" t="e">
        <f t="shared" si="94"/>
        <v>#DIV/0!</v>
      </c>
      <c r="AE175" s="167" t="e">
        <f t="shared" si="94"/>
        <v>#DIV/0!</v>
      </c>
      <c r="AF175" s="167" t="e">
        <f t="shared" si="94"/>
        <v>#DIV/0!</v>
      </c>
      <c r="AG175" s="167" t="e">
        <f t="shared" si="94"/>
        <v>#DIV/0!</v>
      </c>
      <c r="AH175" s="167" t="e">
        <f t="shared" si="94"/>
        <v>#DIV/0!</v>
      </c>
      <c r="AI175" s="167" t="e">
        <f t="shared" si="94"/>
        <v>#DIV/0!</v>
      </c>
      <c r="AJ175" s="167" t="e">
        <f t="shared" si="94"/>
        <v>#DIV/0!</v>
      </c>
      <c r="AK175" s="167" t="e">
        <f t="shared" si="94"/>
        <v>#DIV/0!</v>
      </c>
      <c r="AL175" s="167" t="e">
        <f t="shared" si="94"/>
        <v>#DIV/0!</v>
      </c>
      <c r="AM175" s="167" t="e">
        <f t="shared" si="94"/>
        <v>#DIV/0!</v>
      </c>
      <c r="AN175" s="167" t="e">
        <f t="shared" si="94"/>
        <v>#DIV/0!</v>
      </c>
      <c r="AO175" s="167" t="e">
        <f t="shared" si="94"/>
        <v>#DIV/0!</v>
      </c>
    </row>
    <row r="176" spans="2:41" x14ac:dyDescent="0.15">
      <c r="B176" s="473"/>
      <c r="C176" s="130" t="s">
        <v>1344</v>
      </c>
      <c r="D176" s="94">
        <f>SUMIFS('caseload data'!E:E,'caseload data'!$D:$D,"DMY",'caseload data'!$A:$A,"North East Region",'caseload data'!$B:$B,"custody")</f>
        <v>0</v>
      </c>
      <c r="E176" s="94">
        <f>SUMIFS('caseload data'!F:F,'caseload data'!$D:$D,"DMY",'caseload data'!$A:$A,"North East Region",'caseload data'!$B:$B,"custody")</f>
        <v>0</v>
      </c>
      <c r="F176" s="94">
        <f>SUMIFS('caseload data'!G:G,'caseload data'!$D:$D,"DMY",'caseload data'!$A:$A,"North East Region",'caseload data'!$B:$B,"custody")</f>
        <v>0</v>
      </c>
      <c r="G176" s="94">
        <f>SUMIFS('caseload data'!H:H,'caseload data'!$D:$D,"DMY",'caseload data'!$A:$A,"North East Region",'caseload data'!$B:$B,"custody")</f>
        <v>0</v>
      </c>
      <c r="H176" s="94">
        <f>SUMIFS('caseload data'!I:I,'caseload data'!$D:$D,"DMY",'caseload data'!$A:$A,"North East Region",'caseload data'!$B:$B,"custody")</f>
        <v>0</v>
      </c>
      <c r="I176" s="94">
        <f>SUMIFS('caseload data'!J:J,'caseload data'!$D:$D,"DMY",'caseload data'!$A:$A,"North East Region",'caseload data'!$B:$B,"custody")</f>
        <v>0</v>
      </c>
      <c r="J176" s="94">
        <f>SUMIFS('caseload data'!K:K,'caseload data'!$D:$D,"DMY",'caseload data'!$A:$A,"North East Region",'caseload data'!$B:$B,"custody")</f>
        <v>0</v>
      </c>
      <c r="K176" s="94">
        <f>SUMIFS('caseload data'!L:L,'caseload data'!$D:$D,"DMY",'caseload data'!$A:$A,"North East Region",'caseload data'!$B:$B,"custody")</f>
        <v>0</v>
      </c>
      <c r="L176" s="94">
        <f>SUMIFS('caseload data'!M:M,'caseload data'!$D:$D,"DMY",'caseload data'!$A:$A,"North East Region",'caseload data'!$B:$B,"custody")</f>
        <v>0</v>
      </c>
      <c r="M176" s="94">
        <f>SUMIFS('caseload data'!N:N,'caseload data'!$D:$D,"DMY",'caseload data'!$A:$A,"North East Region",'caseload data'!$B:$B,"custody")</f>
        <v>0</v>
      </c>
      <c r="N176" s="94">
        <f>SUMIFS('caseload data'!O:O,'caseload data'!$D:$D,"DMY",'caseload data'!$A:$A,"North East Region",'caseload data'!$B:$B,"custody")</f>
        <v>0</v>
      </c>
      <c r="O176" s="94">
        <f>SUMIFS('caseload data'!P:P,'caseload data'!$D:$D,"DMY",'caseload data'!$A:$A,"North East Region",'caseload data'!$B:$B,"custody")</f>
        <v>0</v>
      </c>
      <c r="P176" s="94">
        <f>SUMIFS('caseload data'!Q:Q,'caseload data'!$D:$D,"DMY",'caseload data'!$A:$A,"North East Region",'caseload data'!$B:$B,"custody")</f>
        <v>0</v>
      </c>
      <c r="Q176" s="94">
        <f>SUMIFS('caseload data'!R:R,'caseload data'!$D:$D,"DMY",'caseload data'!$A:$A,"North East Region",'caseload data'!$B:$B,"custody")</f>
        <v>0</v>
      </c>
      <c r="R176" s="94">
        <f>SUMIFS('caseload data'!S:S,'caseload data'!$D:$D,"DMY",'caseload data'!$A:$A,"North East Region",'caseload data'!$B:$B,"custody")</f>
        <v>0</v>
      </c>
      <c r="S176" s="94">
        <f>SUMIFS('caseload data'!T:T,'caseload data'!$D:$D,"DMY",'caseload data'!$A:$A,"North East Region",'caseload data'!$B:$B,"custody")</f>
        <v>0</v>
      </c>
      <c r="T176" s="94">
        <f>SUMIFS('caseload data'!V:V,'caseload data'!$D:$D,"DMY",'caseload data'!$A:$A,"North East Region",'caseload data'!$B:$B,"custody")</f>
        <v>0</v>
      </c>
      <c r="U176" s="64"/>
      <c r="V176" s="64"/>
      <c r="W176" s="473"/>
      <c r="X176" s="130" t="s">
        <v>1344</v>
      </c>
      <c r="Y176" s="167" t="e">
        <f t="shared" si="95"/>
        <v>#DIV/0!</v>
      </c>
      <c r="Z176" s="167" t="e">
        <f t="shared" si="94"/>
        <v>#DIV/0!</v>
      </c>
      <c r="AA176" s="167" t="e">
        <f t="shared" si="94"/>
        <v>#DIV/0!</v>
      </c>
      <c r="AB176" s="167" t="e">
        <f t="shared" si="94"/>
        <v>#DIV/0!</v>
      </c>
      <c r="AC176" s="167" t="e">
        <f t="shared" si="94"/>
        <v>#DIV/0!</v>
      </c>
      <c r="AD176" s="167" t="e">
        <f t="shared" si="94"/>
        <v>#DIV/0!</v>
      </c>
      <c r="AE176" s="167" t="e">
        <f t="shared" si="94"/>
        <v>#DIV/0!</v>
      </c>
      <c r="AF176" s="167" t="e">
        <f t="shared" si="94"/>
        <v>#DIV/0!</v>
      </c>
      <c r="AG176" s="167" t="e">
        <f t="shared" si="94"/>
        <v>#DIV/0!</v>
      </c>
      <c r="AH176" s="167" t="e">
        <f t="shared" si="94"/>
        <v>#DIV/0!</v>
      </c>
      <c r="AI176" s="167" t="e">
        <f t="shared" si="94"/>
        <v>#DIV/0!</v>
      </c>
      <c r="AJ176" s="167" t="e">
        <f t="shared" si="94"/>
        <v>#DIV/0!</v>
      </c>
      <c r="AK176" s="167" t="e">
        <f t="shared" si="94"/>
        <v>#DIV/0!</v>
      </c>
      <c r="AL176" s="167" t="e">
        <f t="shared" si="94"/>
        <v>#DIV/0!</v>
      </c>
      <c r="AM176" s="167" t="e">
        <f t="shared" si="94"/>
        <v>#DIV/0!</v>
      </c>
      <c r="AN176" s="167" t="e">
        <f t="shared" si="94"/>
        <v>#DIV/0!</v>
      </c>
      <c r="AO176" s="167" t="e">
        <f t="shared" si="94"/>
        <v>#DIV/0!</v>
      </c>
    </row>
    <row r="177" spans="2:41" x14ac:dyDescent="0.15">
      <c r="B177" s="471" t="s">
        <v>23</v>
      </c>
      <c r="C177" s="128" t="s">
        <v>1002</v>
      </c>
      <c r="D177" s="94">
        <f>SUMIFS('caseload data'!E:E,'caseload data'!$D:$D,"PO",'caseload data'!$A:$A,'national caseload'!$B$177:$B$179,'caseload data'!$B:$B,"custody")</f>
        <v>0</v>
      </c>
      <c r="E177" s="94">
        <f>SUMIFS('caseload data'!F:F,'caseload data'!$D:$D,"PO",'caseload data'!$A:$A,'national caseload'!$B$177:$B$179,'caseload data'!$B:$B,"custody")</f>
        <v>0</v>
      </c>
      <c r="F177" s="94">
        <f>SUMIFS('caseload data'!G:G,'caseload data'!$D:$D,"PO",'caseload data'!$A:$A,'national caseload'!$B$177:$B$179,'caseload data'!$B:$B,"custody")</f>
        <v>0</v>
      </c>
      <c r="G177" s="94">
        <f>SUMIFS('caseload data'!H:H,'caseload data'!$D:$D,"PO",'caseload data'!$A:$A,'national caseload'!$B$177:$B$179,'caseload data'!$B:$B,"custody")</f>
        <v>0</v>
      </c>
      <c r="H177" s="94">
        <f>SUMIFS('caseload data'!I:I,'caseload data'!$D:$D,"PO",'caseload data'!$A:$A,'national caseload'!$B$177:$B$179,'caseload data'!$B:$B,"custody")</f>
        <v>0</v>
      </c>
      <c r="I177" s="94">
        <f>SUMIFS('caseload data'!J:J,'caseload data'!$D:$D,"PO",'caseload data'!$A:$A,'national caseload'!$B$177:$B$179,'caseload data'!$B:$B,"custody")</f>
        <v>0</v>
      </c>
      <c r="J177" s="94">
        <f>SUMIFS('caseload data'!K:K,'caseload data'!$D:$D,"PO",'caseload data'!$A:$A,'national caseload'!$B$177:$B$179,'caseload data'!$B:$B,"custody")</f>
        <v>0</v>
      </c>
      <c r="K177" s="94">
        <f>SUMIFS('caseload data'!L:L,'caseload data'!$D:$D,"PO",'caseload data'!$A:$A,'national caseload'!$B$177:$B$179,'caseload data'!$B:$B,"custody")</f>
        <v>0</v>
      </c>
      <c r="L177" s="94">
        <f>SUMIFS('caseload data'!M:M,'caseload data'!$D:$D,"PO",'caseload data'!$A:$A,'national caseload'!$B$177:$B$179,'caseload data'!$B:$B,"custody")</f>
        <v>0</v>
      </c>
      <c r="M177" s="94">
        <f>SUMIFS('caseload data'!N:N,'caseload data'!$D:$D,"PO",'caseload data'!$A:$A,'national caseload'!$B$177:$B$179,'caseload data'!$B:$B,"custody")</f>
        <v>0</v>
      </c>
      <c r="N177" s="94">
        <f>SUMIFS('caseload data'!O:O,'caseload data'!$D:$D,"PO",'caseload data'!$A:$A,'national caseload'!$B$177:$B$179,'caseload data'!$B:$B,"custody")</f>
        <v>0</v>
      </c>
      <c r="O177" s="94">
        <f>SUMIFS('caseload data'!P:P,'caseload data'!$D:$D,"PO",'caseload data'!$A:$A,'national caseload'!$B$177:$B$179,'caseload data'!$B:$B,"custody")</f>
        <v>0</v>
      </c>
      <c r="P177" s="94">
        <f>SUMIFS('caseload data'!Q:Q,'caseload data'!$D:$D,"PO",'caseload data'!$A:$A,'national caseload'!$B$177:$B$179,'caseload data'!$B:$B,"custody")</f>
        <v>0</v>
      </c>
      <c r="Q177" s="94">
        <f>SUMIFS('caseload data'!R:R,'caseload data'!$D:$D,"PO",'caseload data'!$A:$A,'national caseload'!$B$177:$B$179,'caseload data'!$B:$B,"custody")</f>
        <v>0</v>
      </c>
      <c r="R177" s="94">
        <f>SUMIFS('caseload data'!S:S,'caseload data'!$D:$D,"PO",'caseload data'!$A:$A,'national caseload'!$B$177:$B$179,'caseload data'!$B:$B,"custody")</f>
        <v>0</v>
      </c>
      <c r="S177" s="94">
        <f>SUMIFS('caseload data'!T:T,'caseload data'!$D:$D,"PO",'caseload data'!$A:$A,'national caseload'!$B$177:$B$179,'caseload data'!$B:$B,"custody")</f>
        <v>0</v>
      </c>
      <c r="T177" s="94">
        <f>SUMIFS('caseload data'!V:V,'caseload data'!D:D,"PO",'caseload data'!A:A,'national caseload'!B177:B179,'caseload data'!B:B,"custody")</f>
        <v>0</v>
      </c>
      <c r="U177" s="64"/>
      <c r="V177" s="64"/>
      <c r="W177" s="471" t="s">
        <v>23</v>
      </c>
      <c r="X177" s="128" t="s">
        <v>1002</v>
      </c>
      <c r="Y177" s="167" t="e">
        <f>SUM(D177)/SUM(D$177:D$181)</f>
        <v>#DIV/0!</v>
      </c>
      <c r="Z177" s="167" t="e">
        <f t="shared" ref="Z177:AO181" si="96">SUM(E177)/SUM(E$177:E$181)</f>
        <v>#DIV/0!</v>
      </c>
      <c r="AA177" s="167" t="e">
        <f t="shared" si="96"/>
        <v>#DIV/0!</v>
      </c>
      <c r="AB177" s="167" t="e">
        <f t="shared" si="96"/>
        <v>#DIV/0!</v>
      </c>
      <c r="AC177" s="167" t="e">
        <f t="shared" si="96"/>
        <v>#DIV/0!</v>
      </c>
      <c r="AD177" s="167" t="e">
        <f t="shared" si="96"/>
        <v>#DIV/0!</v>
      </c>
      <c r="AE177" s="167" t="e">
        <f t="shared" si="96"/>
        <v>#DIV/0!</v>
      </c>
      <c r="AF177" s="167" t="e">
        <f t="shared" si="96"/>
        <v>#DIV/0!</v>
      </c>
      <c r="AG177" s="167" t="e">
        <f t="shared" si="96"/>
        <v>#DIV/0!</v>
      </c>
      <c r="AH177" s="167" t="e">
        <f t="shared" si="96"/>
        <v>#DIV/0!</v>
      </c>
      <c r="AI177" s="167" t="e">
        <f t="shared" si="96"/>
        <v>#DIV/0!</v>
      </c>
      <c r="AJ177" s="167" t="e">
        <f t="shared" si="96"/>
        <v>#DIV/0!</v>
      </c>
      <c r="AK177" s="167" t="e">
        <f t="shared" si="96"/>
        <v>#DIV/0!</v>
      </c>
      <c r="AL177" s="167" t="e">
        <f t="shared" si="96"/>
        <v>#DIV/0!</v>
      </c>
      <c r="AM177" s="167" t="e">
        <f t="shared" si="96"/>
        <v>#DIV/0!</v>
      </c>
      <c r="AN177" s="167" t="e">
        <f t="shared" si="96"/>
        <v>#DIV/0!</v>
      </c>
      <c r="AO177" s="167" t="e">
        <f t="shared" si="96"/>
        <v>#DIV/0!</v>
      </c>
    </row>
    <row r="178" spans="2:41" x14ac:dyDescent="0.15">
      <c r="B178" s="472"/>
      <c r="C178" s="129" t="s">
        <v>1007</v>
      </c>
      <c r="D178" s="94">
        <f>SUMIFS('caseload data'!E:E,'caseload data'!$D:$D,"PSO",'caseload data'!$A:$A,"North West Region",'caseload data'!$B:$B,"custody")</f>
        <v>0</v>
      </c>
      <c r="E178" s="94">
        <f>SUMIFS('caseload data'!F:F,'caseload data'!$D:$D,"PSO",'caseload data'!$A:$A,"North West Region",'caseload data'!$B:$B,"custody")</f>
        <v>0</v>
      </c>
      <c r="F178" s="94">
        <f>SUMIFS('caseload data'!G:G,'caseload data'!$D:$D,"PSO",'caseload data'!$A:$A,"North West Region",'caseload data'!$B:$B,"custody")</f>
        <v>0</v>
      </c>
      <c r="G178" s="94">
        <f>SUMIFS('caseload data'!H:H,'caseload data'!$D:$D,"PSO",'caseload data'!$A:$A,"North West Region",'caseload data'!$B:$B,"custody")</f>
        <v>0</v>
      </c>
      <c r="H178" s="94">
        <f>SUMIFS('caseload data'!I:I,'caseload data'!$D:$D,"PSO",'caseload data'!$A:$A,"North West Region",'caseload data'!$B:$B,"custody")</f>
        <v>0</v>
      </c>
      <c r="I178" s="94">
        <f>SUMIFS('caseload data'!J:J,'caseload data'!$D:$D,"PSO",'caseload data'!$A:$A,"North West Region",'caseload data'!$B:$B,"custody")</f>
        <v>0</v>
      </c>
      <c r="J178" s="94">
        <f>SUMIFS('caseload data'!K:K,'caseload data'!$D:$D,"PSO",'caseload data'!$A:$A,"North West Region",'caseload data'!$B:$B,"custody")</f>
        <v>0</v>
      </c>
      <c r="K178" s="94">
        <f>SUMIFS('caseload data'!L:L,'caseload data'!$D:$D,"PSO",'caseload data'!$A:$A,"North West Region",'caseload data'!$B:$B,"custody")</f>
        <v>0</v>
      </c>
      <c r="L178" s="94">
        <f>SUMIFS('caseload data'!M:M,'caseload data'!$D:$D,"PSO",'caseload data'!$A:$A,"North West Region",'caseload data'!$B:$B,"custody")</f>
        <v>0</v>
      </c>
      <c r="M178" s="94">
        <f>SUMIFS('caseload data'!N:N,'caseload data'!$D:$D,"PSO",'caseload data'!$A:$A,"North West Region",'caseload data'!$B:$B,"custody")</f>
        <v>0</v>
      </c>
      <c r="N178" s="94">
        <f>SUMIFS('caseload data'!O:O,'caseload data'!$D:$D,"PSO",'caseload data'!$A:$A,"North West Region",'caseload data'!$B:$B,"custody")</f>
        <v>0</v>
      </c>
      <c r="O178" s="94">
        <f>SUMIFS('caseload data'!P:P,'caseload data'!$D:$D,"PSO",'caseload data'!$A:$A,"North West Region",'caseload data'!$B:$B,"custody")</f>
        <v>0</v>
      </c>
      <c r="P178" s="94">
        <f>SUMIFS('caseload data'!Q:Q,'caseload data'!$D:$D,"PSO",'caseload data'!$A:$A,"North West Region",'caseload data'!$B:$B,"custody")</f>
        <v>0</v>
      </c>
      <c r="Q178" s="94">
        <f>SUMIFS('caseload data'!R:R,'caseload data'!$D:$D,"PSO",'caseload data'!$A:$A,"North West Region",'caseload data'!$B:$B,"custody")</f>
        <v>0</v>
      </c>
      <c r="R178" s="94">
        <f>SUMIFS('caseload data'!S:S,'caseload data'!$D:$D,"PSO",'caseload data'!$A:$A,"North West Region",'caseload data'!$B:$B,"custody")</f>
        <v>0</v>
      </c>
      <c r="S178" s="94">
        <f>SUMIFS('caseload data'!T:T,'caseload data'!$D:$D,"PSO",'caseload data'!$A:$A,"North West Region",'caseload data'!$B:$B,"custody")</f>
        <v>0</v>
      </c>
      <c r="T178" s="94">
        <f>SUMIFS('caseload data'!V:V,'caseload data'!D:D,"PSO",'caseload data'!A:A,"North West Region",'caseload data'!B:B,"custody")</f>
        <v>0</v>
      </c>
      <c r="U178" s="64"/>
      <c r="V178" s="64"/>
      <c r="W178" s="472"/>
      <c r="X178" s="129" t="s">
        <v>1007</v>
      </c>
      <c r="Y178" s="167" t="e">
        <f t="shared" ref="Y178:Y181" si="97">SUM(D178)/SUM(D$177:D$181)</f>
        <v>#DIV/0!</v>
      </c>
      <c r="Z178" s="167" t="e">
        <f t="shared" si="96"/>
        <v>#DIV/0!</v>
      </c>
      <c r="AA178" s="167" t="e">
        <f t="shared" si="96"/>
        <v>#DIV/0!</v>
      </c>
      <c r="AB178" s="167" t="e">
        <f t="shared" si="96"/>
        <v>#DIV/0!</v>
      </c>
      <c r="AC178" s="167" t="e">
        <f t="shared" si="96"/>
        <v>#DIV/0!</v>
      </c>
      <c r="AD178" s="167" t="e">
        <f t="shared" si="96"/>
        <v>#DIV/0!</v>
      </c>
      <c r="AE178" s="167" t="e">
        <f t="shared" si="96"/>
        <v>#DIV/0!</v>
      </c>
      <c r="AF178" s="167" t="e">
        <f t="shared" si="96"/>
        <v>#DIV/0!</v>
      </c>
      <c r="AG178" s="167" t="e">
        <f t="shared" si="96"/>
        <v>#DIV/0!</v>
      </c>
      <c r="AH178" s="167" t="e">
        <f t="shared" si="96"/>
        <v>#DIV/0!</v>
      </c>
      <c r="AI178" s="167" t="e">
        <f t="shared" si="96"/>
        <v>#DIV/0!</v>
      </c>
      <c r="AJ178" s="167" t="e">
        <f t="shared" si="96"/>
        <v>#DIV/0!</v>
      </c>
      <c r="AK178" s="167" t="e">
        <f t="shared" si="96"/>
        <v>#DIV/0!</v>
      </c>
      <c r="AL178" s="167" t="e">
        <f t="shared" si="96"/>
        <v>#DIV/0!</v>
      </c>
      <c r="AM178" s="167" t="e">
        <f t="shared" si="96"/>
        <v>#DIV/0!</v>
      </c>
      <c r="AN178" s="167" t="e">
        <f t="shared" si="96"/>
        <v>#DIV/0!</v>
      </c>
      <c r="AO178" s="167" t="e">
        <f t="shared" si="96"/>
        <v>#DIV/0!</v>
      </c>
    </row>
    <row r="179" spans="2:41" x14ac:dyDescent="0.15">
      <c r="B179" s="472"/>
      <c r="C179" s="129" t="s">
        <v>1008</v>
      </c>
      <c r="D179" s="94">
        <f>SUMIFS('caseload data'!E:E,'caseload data'!$D:$D,"TPO",'caseload data'!$A:$A,"North West Region",'caseload data'!$B:$B,"custody")</f>
        <v>0</v>
      </c>
      <c r="E179" s="94">
        <f>SUMIFS('caseload data'!F:F,'caseload data'!$D:$D,"TPO",'caseload data'!$A:$A,"North West Region",'caseload data'!$B:$B,"custody")</f>
        <v>0</v>
      </c>
      <c r="F179" s="94">
        <f>SUMIFS('caseload data'!G:G,'caseload data'!$D:$D,"TPO",'caseload data'!$A:$A,"North West Region",'caseload data'!$B:$B,"custody")</f>
        <v>0</v>
      </c>
      <c r="G179" s="94">
        <f>SUMIFS('caseload data'!H:H,'caseload data'!$D:$D,"TPO",'caseload data'!$A:$A,"North West Region",'caseload data'!$B:$B,"custody")</f>
        <v>0</v>
      </c>
      <c r="H179" s="94">
        <f>SUMIFS('caseload data'!I:I,'caseload data'!$D:$D,"TPO",'caseload data'!$A:$A,"North West Region",'caseload data'!$B:$B,"custody")</f>
        <v>0</v>
      </c>
      <c r="I179" s="94">
        <f>SUMIFS('caseload data'!J:J,'caseload data'!$D:$D,"TPO",'caseload data'!$A:$A,"North West Region",'caseload data'!$B:$B,"custody")</f>
        <v>0</v>
      </c>
      <c r="J179" s="94">
        <f>SUMIFS('caseload data'!K:K,'caseload data'!$D:$D,"TPO",'caseload data'!$A:$A,"North West Region",'caseload data'!$B:$B,"custody")</f>
        <v>0</v>
      </c>
      <c r="K179" s="94">
        <f>SUMIFS('caseload data'!L:L,'caseload data'!$D:$D,"TPO",'caseload data'!$A:$A,"North West Region",'caseload data'!$B:$B,"custody")</f>
        <v>0</v>
      </c>
      <c r="L179" s="94">
        <f>SUMIFS('caseload data'!M:M,'caseload data'!$D:$D,"TPO",'caseload data'!$A:$A,"North West Region",'caseload data'!$B:$B,"custody")</f>
        <v>0</v>
      </c>
      <c r="M179" s="94">
        <f>SUMIFS('caseload data'!N:N,'caseload data'!$D:$D,"TPO",'caseload data'!$A:$A,"North West Region",'caseload data'!$B:$B,"custody")</f>
        <v>0</v>
      </c>
      <c r="N179" s="94">
        <f>SUMIFS('caseload data'!O:O,'caseload data'!$D:$D,"TPO",'caseload data'!$A:$A,"North West Region",'caseload data'!$B:$B,"custody")</f>
        <v>0</v>
      </c>
      <c r="O179" s="94">
        <f>SUMIFS('caseload data'!P:P,'caseload data'!$D:$D,"TPO",'caseload data'!$A:$A,"North West Region",'caseload data'!$B:$B,"custody")</f>
        <v>0</v>
      </c>
      <c r="P179" s="94">
        <f>SUMIFS('caseload data'!Q:Q,'caseload data'!$D:$D,"TPO",'caseload data'!$A:$A,"North West Region",'caseload data'!$B:$B,"custody")</f>
        <v>0</v>
      </c>
      <c r="Q179" s="94">
        <f>SUMIFS('caseload data'!R:R,'caseload data'!$D:$D,"TPO",'caseload data'!$A:$A,"North West Region",'caseload data'!$B:$B,"custody")</f>
        <v>0</v>
      </c>
      <c r="R179" s="94">
        <f>SUMIFS('caseload data'!S:S,'caseload data'!$D:$D,"TPO",'caseload data'!$A:$A,"North West Region",'caseload data'!$B:$B,"custody")</f>
        <v>0</v>
      </c>
      <c r="S179" s="94">
        <f>SUMIFS('caseload data'!T:T,'caseload data'!$D:$D,"TPO",'caseload data'!$A:$A,"North West Region",'caseload data'!$B:$B,"custody")</f>
        <v>0</v>
      </c>
      <c r="T179" s="94">
        <f>SUMIFS('caseload data'!V:V,'caseload data'!D:D,"TPO",'caseload data'!A:A,"North West Region",'caseload data'!B:B,"custody")</f>
        <v>0</v>
      </c>
      <c r="U179" s="64"/>
      <c r="V179" s="64"/>
      <c r="W179" s="472"/>
      <c r="X179" s="129" t="s">
        <v>1008</v>
      </c>
      <c r="Y179" s="167" t="e">
        <f t="shared" si="97"/>
        <v>#DIV/0!</v>
      </c>
      <c r="Z179" s="167" t="e">
        <f t="shared" si="96"/>
        <v>#DIV/0!</v>
      </c>
      <c r="AA179" s="167" t="e">
        <f t="shared" si="96"/>
        <v>#DIV/0!</v>
      </c>
      <c r="AB179" s="167" t="e">
        <f t="shared" si="96"/>
        <v>#DIV/0!</v>
      </c>
      <c r="AC179" s="167" t="e">
        <f t="shared" si="96"/>
        <v>#DIV/0!</v>
      </c>
      <c r="AD179" s="167" t="e">
        <f t="shared" si="96"/>
        <v>#DIV/0!</v>
      </c>
      <c r="AE179" s="167" t="e">
        <f t="shared" si="96"/>
        <v>#DIV/0!</v>
      </c>
      <c r="AF179" s="167" t="e">
        <f t="shared" si="96"/>
        <v>#DIV/0!</v>
      </c>
      <c r="AG179" s="167" t="e">
        <f t="shared" si="96"/>
        <v>#DIV/0!</v>
      </c>
      <c r="AH179" s="167" t="e">
        <f t="shared" si="96"/>
        <v>#DIV/0!</v>
      </c>
      <c r="AI179" s="167" t="e">
        <f t="shared" si="96"/>
        <v>#DIV/0!</v>
      </c>
      <c r="AJ179" s="167" t="e">
        <f t="shared" si="96"/>
        <v>#DIV/0!</v>
      </c>
      <c r="AK179" s="167" t="e">
        <f t="shared" si="96"/>
        <v>#DIV/0!</v>
      </c>
      <c r="AL179" s="167" t="e">
        <f t="shared" si="96"/>
        <v>#DIV/0!</v>
      </c>
      <c r="AM179" s="167" t="e">
        <f t="shared" si="96"/>
        <v>#DIV/0!</v>
      </c>
      <c r="AN179" s="167" t="e">
        <f t="shared" si="96"/>
        <v>#DIV/0!</v>
      </c>
      <c r="AO179" s="167" t="e">
        <f t="shared" si="96"/>
        <v>#DIV/0!</v>
      </c>
    </row>
    <row r="180" spans="2:41" x14ac:dyDescent="0.15">
      <c r="B180" s="472"/>
      <c r="C180" s="129" t="s">
        <v>1009</v>
      </c>
      <c r="D180" s="94">
        <f>SUMIFS('caseload data'!E:E,'caseload data'!$D:$D,"SPO",'caseload data'!$A:$A,"North West Region",'caseload data'!$B:$B,"custody")</f>
        <v>0</v>
      </c>
      <c r="E180" s="94">
        <f>SUMIFS('caseload data'!F:F,'caseload data'!$D:$D,"SPO",'caseload data'!$A:$A,"North West Region",'caseload data'!$B:$B,"custody")</f>
        <v>0</v>
      </c>
      <c r="F180" s="94">
        <f>SUMIFS('caseload data'!G:G,'caseload data'!$D:$D,"SPO",'caseload data'!$A:$A,"North West Region",'caseload data'!$B:$B,"custody")</f>
        <v>0</v>
      </c>
      <c r="G180" s="94">
        <f>SUMIFS('caseload data'!H:H,'caseload data'!$D:$D,"SPO",'caseload data'!$A:$A,"North West Region",'caseload data'!$B:$B,"custody")</f>
        <v>0</v>
      </c>
      <c r="H180" s="94">
        <f>SUMIFS('caseload data'!I:I,'caseload data'!$D:$D,"SPO",'caseload data'!$A:$A,"North West Region",'caseload data'!$B:$B,"custody")</f>
        <v>0</v>
      </c>
      <c r="I180" s="94">
        <f>SUMIFS('caseload data'!J:J,'caseload data'!$D:$D,"SPO",'caseload data'!$A:$A,"North West Region",'caseload data'!$B:$B,"custody")</f>
        <v>0</v>
      </c>
      <c r="J180" s="94">
        <f>SUMIFS('caseload data'!K:K,'caseload data'!$D:$D,"SPO",'caseload data'!$A:$A,"North West Region",'caseload data'!$B:$B,"custody")</f>
        <v>0</v>
      </c>
      <c r="K180" s="94">
        <f>SUMIFS('caseload data'!L:L,'caseload data'!$D:$D,"SPO",'caseload data'!$A:$A,"North West Region",'caseload data'!$B:$B,"custody")</f>
        <v>0</v>
      </c>
      <c r="L180" s="94">
        <f>SUMIFS('caseload data'!M:M,'caseload data'!$D:$D,"SPO",'caseload data'!$A:$A,"North West Region",'caseload data'!$B:$B,"custody")</f>
        <v>0</v>
      </c>
      <c r="M180" s="94">
        <f>SUMIFS('caseload data'!N:N,'caseload data'!$D:$D,"SPO",'caseload data'!$A:$A,"North West Region",'caseload data'!$B:$B,"custody")</f>
        <v>0</v>
      </c>
      <c r="N180" s="94">
        <f>SUMIFS('caseload data'!O:O,'caseload data'!$D:$D,"SPO",'caseload data'!$A:$A,"North West Region",'caseload data'!$B:$B,"custody")</f>
        <v>0</v>
      </c>
      <c r="O180" s="94">
        <f>SUMIFS('caseload data'!P:P,'caseload data'!$D:$D,"SPO",'caseload data'!$A:$A,"North West Region",'caseload data'!$B:$B,"custody")</f>
        <v>0</v>
      </c>
      <c r="P180" s="94">
        <f>SUMIFS('caseload data'!Q:Q,'caseload data'!$D:$D,"SPO",'caseload data'!$A:$A,"North West Region",'caseload data'!$B:$B,"custody")</f>
        <v>0</v>
      </c>
      <c r="Q180" s="94">
        <f>SUMIFS('caseload data'!R:R,'caseload data'!$D:$D,"SPO",'caseload data'!$A:$A,"North West Region",'caseload data'!$B:$B,"custody")</f>
        <v>0</v>
      </c>
      <c r="R180" s="94">
        <f>SUMIFS('caseload data'!S:S,'caseload data'!$D:$D,"SPO",'caseload data'!$A:$A,"North West Region",'caseload data'!$B:$B,"custody")</f>
        <v>0</v>
      </c>
      <c r="S180" s="94">
        <f>SUMIFS('caseload data'!T:T,'caseload data'!$D:$D,"SPO",'caseload data'!$A:$A,"North West Region",'caseload data'!$B:$B,"custody")</f>
        <v>0</v>
      </c>
      <c r="T180" s="94">
        <f>SUMIFS('caseload data'!V:V,'caseload data'!$D:$D,"SPO",'caseload data'!$A:$A,"North West Region",'caseload data'!$B:$B,"custody")</f>
        <v>0</v>
      </c>
      <c r="U180" s="64"/>
      <c r="V180" s="64"/>
      <c r="W180" s="472"/>
      <c r="X180" s="129" t="s">
        <v>1009</v>
      </c>
      <c r="Y180" s="167" t="e">
        <f t="shared" si="97"/>
        <v>#DIV/0!</v>
      </c>
      <c r="Z180" s="167" t="e">
        <f t="shared" si="96"/>
        <v>#DIV/0!</v>
      </c>
      <c r="AA180" s="167" t="e">
        <f t="shared" si="96"/>
        <v>#DIV/0!</v>
      </c>
      <c r="AB180" s="167" t="e">
        <f t="shared" si="96"/>
        <v>#DIV/0!</v>
      </c>
      <c r="AC180" s="167" t="e">
        <f t="shared" si="96"/>
        <v>#DIV/0!</v>
      </c>
      <c r="AD180" s="167" t="e">
        <f t="shared" si="96"/>
        <v>#DIV/0!</v>
      </c>
      <c r="AE180" s="167" t="e">
        <f t="shared" si="96"/>
        <v>#DIV/0!</v>
      </c>
      <c r="AF180" s="167" t="e">
        <f t="shared" si="96"/>
        <v>#DIV/0!</v>
      </c>
      <c r="AG180" s="167" t="e">
        <f t="shared" si="96"/>
        <v>#DIV/0!</v>
      </c>
      <c r="AH180" s="167" t="e">
        <f t="shared" si="96"/>
        <v>#DIV/0!</v>
      </c>
      <c r="AI180" s="167" t="e">
        <f t="shared" si="96"/>
        <v>#DIV/0!</v>
      </c>
      <c r="AJ180" s="167" t="e">
        <f t="shared" si="96"/>
        <v>#DIV/0!</v>
      </c>
      <c r="AK180" s="167" t="e">
        <f t="shared" si="96"/>
        <v>#DIV/0!</v>
      </c>
      <c r="AL180" s="167" t="e">
        <f t="shared" si="96"/>
        <v>#DIV/0!</v>
      </c>
      <c r="AM180" s="167" t="e">
        <f t="shared" si="96"/>
        <v>#DIV/0!</v>
      </c>
      <c r="AN180" s="167" t="e">
        <f t="shared" si="96"/>
        <v>#DIV/0!</v>
      </c>
      <c r="AO180" s="167" t="e">
        <f t="shared" si="96"/>
        <v>#DIV/0!</v>
      </c>
    </row>
    <row r="181" spans="2:41" x14ac:dyDescent="0.15">
      <c r="B181" s="473"/>
      <c r="C181" s="130" t="s">
        <v>1344</v>
      </c>
      <c r="D181" s="94">
        <f>SUMIFS('caseload data'!E:E,'caseload data'!$D:$D,"DMY",'caseload data'!$A:$A,"North West Region",'caseload data'!$B:$B,"custody")</f>
        <v>0</v>
      </c>
      <c r="E181" s="94">
        <f>SUMIFS('caseload data'!F:F,'caseload data'!$D:$D,"DMY",'caseload data'!$A:$A,"North West Region",'caseload data'!$B:$B,"custody")</f>
        <v>0</v>
      </c>
      <c r="F181" s="94">
        <f>SUMIFS('caseload data'!G:G,'caseload data'!$D:$D,"DMY",'caseload data'!$A:$A,"North West Region",'caseload data'!$B:$B,"custody")</f>
        <v>0</v>
      </c>
      <c r="G181" s="94">
        <f>SUMIFS('caseload data'!H:H,'caseload data'!$D:$D,"DMY",'caseload data'!$A:$A,"North West Region",'caseload data'!$B:$B,"custody")</f>
        <v>0</v>
      </c>
      <c r="H181" s="94">
        <f>SUMIFS('caseload data'!I:I,'caseload data'!$D:$D,"DMY",'caseload data'!$A:$A,"North West Region",'caseload data'!$B:$B,"custody")</f>
        <v>0</v>
      </c>
      <c r="I181" s="94">
        <f>SUMIFS('caseload data'!J:J,'caseload data'!$D:$D,"DMY",'caseload data'!$A:$A,"North West Region",'caseload data'!$B:$B,"custody")</f>
        <v>0</v>
      </c>
      <c r="J181" s="94">
        <f>SUMIFS('caseload data'!K:K,'caseload data'!$D:$D,"DMY",'caseload data'!$A:$A,"North West Region",'caseload data'!$B:$B,"custody")</f>
        <v>0</v>
      </c>
      <c r="K181" s="94">
        <f>SUMIFS('caseload data'!L:L,'caseload data'!$D:$D,"DMY",'caseload data'!$A:$A,"North West Region",'caseload data'!$B:$B,"custody")</f>
        <v>0</v>
      </c>
      <c r="L181" s="94">
        <f>SUMIFS('caseload data'!M:M,'caseload data'!$D:$D,"DMY",'caseload data'!$A:$A,"North West Region",'caseload data'!$B:$B,"custody")</f>
        <v>0</v>
      </c>
      <c r="M181" s="94">
        <f>SUMIFS('caseload data'!N:N,'caseload data'!$D:$D,"DMY",'caseload data'!$A:$A,"North West Region",'caseload data'!$B:$B,"custody")</f>
        <v>0</v>
      </c>
      <c r="N181" s="94">
        <f>SUMIFS('caseload data'!O:O,'caseload data'!$D:$D,"DMY",'caseload data'!$A:$A,"North West Region",'caseload data'!$B:$B,"custody")</f>
        <v>0</v>
      </c>
      <c r="O181" s="94">
        <f>SUMIFS('caseload data'!P:P,'caseload data'!$D:$D,"DMY",'caseload data'!$A:$A,"North West Region",'caseload data'!$B:$B,"custody")</f>
        <v>0</v>
      </c>
      <c r="P181" s="94">
        <f>SUMIFS('caseload data'!Q:Q,'caseload data'!$D:$D,"DMY",'caseload data'!$A:$A,"North West Region",'caseload data'!$B:$B,"custody")</f>
        <v>0</v>
      </c>
      <c r="Q181" s="94">
        <f>SUMIFS('caseload data'!R:R,'caseload data'!$D:$D,"DMY",'caseload data'!$A:$A,"North West Region",'caseload data'!$B:$B,"custody")</f>
        <v>0</v>
      </c>
      <c r="R181" s="94">
        <f>SUMIFS('caseload data'!S:S,'caseload data'!$D:$D,"DMY",'caseload data'!$A:$A,"North West Region",'caseload data'!$B:$B,"custody")</f>
        <v>0</v>
      </c>
      <c r="S181" s="94">
        <f>SUMIFS('caseload data'!T:T,'caseload data'!$D:$D,"DMY",'caseload data'!$A:$A,"North West Region",'caseload data'!$B:$B,"custody")</f>
        <v>0</v>
      </c>
      <c r="T181" s="94">
        <f>SUMIFS('caseload data'!V:V,'caseload data'!$D:$D,"DMY",'caseload data'!$A:$A,"North West Region",'caseload data'!$B:$B,"custody")</f>
        <v>0</v>
      </c>
      <c r="U181" s="64"/>
      <c r="V181" s="64"/>
      <c r="W181" s="473"/>
      <c r="X181" s="130" t="s">
        <v>1344</v>
      </c>
      <c r="Y181" s="167" t="e">
        <f t="shared" si="97"/>
        <v>#DIV/0!</v>
      </c>
      <c r="Z181" s="167" t="e">
        <f t="shared" si="96"/>
        <v>#DIV/0!</v>
      </c>
      <c r="AA181" s="167" t="e">
        <f t="shared" si="96"/>
        <v>#DIV/0!</v>
      </c>
      <c r="AB181" s="167" t="e">
        <f t="shared" si="96"/>
        <v>#DIV/0!</v>
      </c>
      <c r="AC181" s="167" t="e">
        <f t="shared" si="96"/>
        <v>#DIV/0!</v>
      </c>
      <c r="AD181" s="167" t="e">
        <f t="shared" si="96"/>
        <v>#DIV/0!</v>
      </c>
      <c r="AE181" s="167" t="e">
        <f t="shared" si="96"/>
        <v>#DIV/0!</v>
      </c>
      <c r="AF181" s="167" t="e">
        <f t="shared" si="96"/>
        <v>#DIV/0!</v>
      </c>
      <c r="AG181" s="167" t="e">
        <f t="shared" si="96"/>
        <v>#DIV/0!</v>
      </c>
      <c r="AH181" s="167" t="e">
        <f t="shared" si="96"/>
        <v>#DIV/0!</v>
      </c>
      <c r="AI181" s="167" t="e">
        <f t="shared" si="96"/>
        <v>#DIV/0!</v>
      </c>
      <c r="AJ181" s="167" t="e">
        <f t="shared" si="96"/>
        <v>#DIV/0!</v>
      </c>
      <c r="AK181" s="167" t="e">
        <f t="shared" si="96"/>
        <v>#DIV/0!</v>
      </c>
      <c r="AL181" s="167" t="e">
        <f t="shared" si="96"/>
        <v>#DIV/0!</v>
      </c>
      <c r="AM181" s="167" t="e">
        <f t="shared" si="96"/>
        <v>#DIV/0!</v>
      </c>
      <c r="AN181" s="167" t="e">
        <f t="shared" si="96"/>
        <v>#DIV/0!</v>
      </c>
      <c r="AO181" s="167" t="e">
        <f t="shared" si="96"/>
        <v>#DIV/0!</v>
      </c>
    </row>
    <row r="182" spans="2:41" x14ac:dyDescent="0.15">
      <c r="B182" s="471" t="s">
        <v>24</v>
      </c>
      <c r="C182" s="128" t="s">
        <v>1002</v>
      </c>
      <c r="D182" s="94">
        <f>SUMIFS('caseload data'!E:E,'caseload data'!$D:$D,"PO",'caseload data'!$A:$A,'national caseload'!$B$182:$B$184,'caseload data'!$B:$B,"custody")</f>
        <v>0</v>
      </c>
      <c r="E182" s="94">
        <f>SUMIFS('caseload data'!F:F,'caseload data'!$D:$D,"PO",'caseload data'!$A:$A,'national caseload'!$B$182:$B$184,'caseload data'!$B:$B,"custody")</f>
        <v>0</v>
      </c>
      <c r="F182" s="94">
        <f>SUMIFS('caseload data'!G:G,'caseload data'!$D:$D,"PO",'caseload data'!$A:$A,'national caseload'!$B$182:$B$184,'caseload data'!$B:$B,"custody")</f>
        <v>0</v>
      </c>
      <c r="G182" s="94">
        <f>SUMIFS('caseload data'!H:H,'caseload data'!$D:$D,"PO",'caseload data'!$A:$A,'national caseload'!$B$182:$B$184,'caseload data'!$B:$B,"custody")</f>
        <v>0</v>
      </c>
      <c r="H182" s="94">
        <f>SUMIFS('caseload data'!I:I,'caseload data'!$D:$D,"PO",'caseload data'!$A:$A,'national caseload'!$B$182:$B$184,'caseload data'!$B:$B,"custody")</f>
        <v>0</v>
      </c>
      <c r="I182" s="94">
        <f>SUMIFS('caseload data'!J:J,'caseload data'!$D:$D,"PO",'caseload data'!$A:$A,'national caseload'!$B$182:$B$184,'caseload data'!$B:$B,"custody")</f>
        <v>0</v>
      </c>
      <c r="J182" s="94">
        <f>SUMIFS('caseload data'!K:K,'caseload data'!$D:$D,"PO",'caseload data'!$A:$A,'national caseload'!$B$182:$B$184,'caseload data'!$B:$B,"custody")</f>
        <v>0</v>
      </c>
      <c r="K182" s="94">
        <f>SUMIFS('caseload data'!L:L,'caseload data'!$D:$D,"PO",'caseload data'!$A:$A,'national caseload'!$B$182:$B$184,'caseload data'!$B:$B,"custody")</f>
        <v>0</v>
      </c>
      <c r="L182" s="94">
        <f>SUMIFS('caseload data'!M:M,'caseload data'!$D:$D,"PO",'caseload data'!$A:$A,'national caseload'!$B$182:$B$184,'caseload data'!$B:$B,"custody")</f>
        <v>0</v>
      </c>
      <c r="M182" s="94">
        <f>SUMIFS('caseload data'!N:N,'caseload data'!$D:$D,"PO",'caseload data'!$A:$A,'national caseload'!$B$182:$B$184,'caseload data'!$B:$B,"custody")</f>
        <v>0</v>
      </c>
      <c r="N182" s="94">
        <f>SUMIFS('caseload data'!O:O,'caseload data'!$D:$D,"PO",'caseload data'!$A:$A,'national caseload'!$B$182:$B$184,'caseload data'!$B:$B,"custody")</f>
        <v>0</v>
      </c>
      <c r="O182" s="94">
        <f>SUMIFS('caseload data'!P:P,'caseload data'!$D:$D,"PO",'caseload data'!$A:$A,'national caseload'!$B$182:$B$184,'caseload data'!$B:$B,"custody")</f>
        <v>0</v>
      </c>
      <c r="P182" s="94">
        <f>SUMIFS('caseload data'!Q:Q,'caseload data'!$D:$D,"PO",'caseload data'!$A:$A,'national caseload'!$B$182:$B$184,'caseload data'!$B:$B,"custody")</f>
        <v>0</v>
      </c>
      <c r="Q182" s="94">
        <f>SUMIFS('caseload data'!R:R,'caseload data'!$D:$D,"PO",'caseload data'!$A:$A,'national caseload'!$B$182:$B$184,'caseload data'!$B:$B,"custody")</f>
        <v>0</v>
      </c>
      <c r="R182" s="94">
        <f>SUMIFS('caseload data'!S:S,'caseload data'!$D:$D,"PO",'caseload data'!$A:$A,'national caseload'!$B$182:$B$184,'caseload data'!$B:$B,"custody")</f>
        <v>0</v>
      </c>
      <c r="S182" s="94">
        <f>SUMIFS('caseload data'!T:T,'caseload data'!$D:$D,"PO",'caseload data'!$A:$A,'national caseload'!$B$182:$B$184,'caseload data'!$B:$B,"custody")</f>
        <v>0</v>
      </c>
      <c r="T182" s="94">
        <f>SUMIFS('caseload data'!V:V,'caseload data'!D:D,"PO",'caseload data'!A:A,'national caseload'!B182:B184,'caseload data'!B:B,"custody")</f>
        <v>0</v>
      </c>
      <c r="U182" s="64"/>
      <c r="V182" s="64"/>
      <c r="W182" s="471" t="s">
        <v>24</v>
      </c>
      <c r="X182" s="128" t="s">
        <v>1002</v>
      </c>
      <c r="Y182" s="167" t="e">
        <f>SUM(D182)/SUM(D$182:D$185)</f>
        <v>#DIV/0!</v>
      </c>
      <c r="Z182" s="167" t="e">
        <f t="shared" ref="Z182:AO186" si="98">SUM(E182)/SUM(E$182:E$185)</f>
        <v>#DIV/0!</v>
      </c>
      <c r="AA182" s="167" t="e">
        <f t="shared" si="98"/>
        <v>#DIV/0!</v>
      </c>
      <c r="AB182" s="167" t="e">
        <f t="shared" si="98"/>
        <v>#DIV/0!</v>
      </c>
      <c r="AC182" s="167" t="e">
        <f t="shared" si="98"/>
        <v>#DIV/0!</v>
      </c>
      <c r="AD182" s="167" t="e">
        <f t="shared" si="98"/>
        <v>#DIV/0!</v>
      </c>
      <c r="AE182" s="167" t="e">
        <f t="shared" si="98"/>
        <v>#DIV/0!</v>
      </c>
      <c r="AF182" s="167" t="e">
        <f t="shared" si="98"/>
        <v>#DIV/0!</v>
      </c>
      <c r="AG182" s="167" t="e">
        <f t="shared" si="98"/>
        <v>#DIV/0!</v>
      </c>
      <c r="AH182" s="167" t="e">
        <f t="shared" si="98"/>
        <v>#DIV/0!</v>
      </c>
      <c r="AI182" s="167" t="e">
        <f t="shared" si="98"/>
        <v>#DIV/0!</v>
      </c>
      <c r="AJ182" s="167" t="e">
        <f t="shared" si="98"/>
        <v>#DIV/0!</v>
      </c>
      <c r="AK182" s="167" t="e">
        <f t="shared" si="98"/>
        <v>#DIV/0!</v>
      </c>
      <c r="AL182" s="167" t="e">
        <f t="shared" si="98"/>
        <v>#DIV/0!</v>
      </c>
      <c r="AM182" s="167" t="e">
        <f t="shared" si="98"/>
        <v>#DIV/0!</v>
      </c>
      <c r="AN182" s="167" t="e">
        <f t="shared" si="98"/>
        <v>#DIV/0!</v>
      </c>
      <c r="AO182" s="167" t="e">
        <f t="shared" si="98"/>
        <v>#DIV/0!</v>
      </c>
    </row>
    <row r="183" spans="2:41" x14ac:dyDescent="0.15">
      <c r="B183" s="472"/>
      <c r="C183" s="129" t="s">
        <v>1007</v>
      </c>
      <c r="D183" s="94">
        <f>SUMIFS('caseload data'!E:E,'caseload data'!$D:$D,"PSO",'caseload data'!$A:$A,"South Central",'caseload data'!$B:$B,"custody")</f>
        <v>0</v>
      </c>
      <c r="E183" s="94">
        <f>SUMIFS('caseload data'!F:F,'caseload data'!$D:$D,"PSO",'caseload data'!$A:$A,"South Central",'caseload data'!$B:$B,"custody")</f>
        <v>0</v>
      </c>
      <c r="F183" s="94">
        <f>SUMIFS('caseload data'!G:G,'caseload data'!$D:$D,"PSO",'caseload data'!$A:$A,"South Central",'caseload data'!$B:$B,"custody")</f>
        <v>0</v>
      </c>
      <c r="G183" s="94">
        <f>SUMIFS('caseload data'!H:H,'caseload data'!$D:$D,"PSO",'caseload data'!$A:$A,"South Central",'caseload data'!$B:$B,"custody")</f>
        <v>0</v>
      </c>
      <c r="H183" s="94">
        <f>SUMIFS('caseload data'!I:I,'caseload data'!$D:$D,"PSO",'caseload data'!$A:$A,"South Central",'caseload data'!$B:$B,"custody")</f>
        <v>0</v>
      </c>
      <c r="I183" s="94">
        <f>SUMIFS('caseload data'!J:J,'caseload data'!$D:$D,"PSO",'caseload data'!$A:$A,"South Central",'caseload data'!$B:$B,"custody")</f>
        <v>0</v>
      </c>
      <c r="J183" s="94">
        <f>SUMIFS('caseload data'!K:K,'caseload data'!$D:$D,"PSO",'caseload data'!$A:$A,"South Central",'caseload data'!$B:$B,"custody")</f>
        <v>0</v>
      </c>
      <c r="K183" s="94">
        <f>SUMIFS('caseload data'!L:L,'caseload data'!$D:$D,"PSO",'caseload data'!$A:$A,"South Central",'caseload data'!$B:$B,"custody")</f>
        <v>0</v>
      </c>
      <c r="L183" s="94">
        <f>SUMIFS('caseload data'!M:M,'caseload data'!$D:$D,"PSO",'caseload data'!$A:$A,"South Central",'caseload data'!$B:$B,"custody")</f>
        <v>0</v>
      </c>
      <c r="M183" s="94">
        <f>SUMIFS('caseload data'!N:N,'caseload data'!$D:$D,"PSO",'caseload data'!$A:$A,"South Central",'caseload data'!$B:$B,"custody")</f>
        <v>0</v>
      </c>
      <c r="N183" s="94">
        <f>SUMIFS('caseload data'!O:O,'caseload data'!$D:$D,"PSO",'caseload data'!$A:$A,"South Central",'caseload data'!$B:$B,"custody")</f>
        <v>0</v>
      </c>
      <c r="O183" s="94">
        <f>SUMIFS('caseload data'!P:P,'caseload data'!$D:$D,"PSO",'caseload data'!$A:$A,"South Central",'caseload data'!$B:$B,"custody")</f>
        <v>0</v>
      </c>
      <c r="P183" s="94">
        <f>SUMIFS('caseload data'!Q:Q,'caseload data'!$D:$D,"PSO",'caseload data'!$A:$A,"South Central",'caseload data'!$B:$B,"custody")</f>
        <v>0</v>
      </c>
      <c r="Q183" s="94">
        <f>SUMIFS('caseload data'!R:R,'caseload data'!$D:$D,"PSO",'caseload data'!$A:$A,"South Central",'caseload data'!$B:$B,"custody")</f>
        <v>0</v>
      </c>
      <c r="R183" s="94">
        <f>SUMIFS('caseload data'!S:S,'caseload data'!$D:$D,"PSO",'caseload data'!$A:$A,"South Central",'caseload data'!$B:$B,"custody")</f>
        <v>0</v>
      </c>
      <c r="S183" s="94">
        <f>SUMIFS('caseload data'!T:T,'caseload data'!$D:$D,"PSO",'caseload data'!$A:$A,"South Central",'caseload data'!$B:$B,"custody")</f>
        <v>0</v>
      </c>
      <c r="T183" s="94">
        <f>SUMIFS('caseload data'!V:V,'caseload data'!D:D,"PSO",'caseload data'!A:A,"South Central",'caseload data'!B:B,"custody")</f>
        <v>0</v>
      </c>
      <c r="U183" s="64"/>
      <c r="V183" s="64"/>
      <c r="W183" s="472"/>
      <c r="X183" s="129" t="s">
        <v>1007</v>
      </c>
      <c r="Y183" s="167" t="e">
        <f t="shared" ref="Y183:Y186" si="99">SUM(D183)/SUM(D$182:D$185)</f>
        <v>#DIV/0!</v>
      </c>
      <c r="Z183" s="167" t="e">
        <f t="shared" si="98"/>
        <v>#DIV/0!</v>
      </c>
      <c r="AA183" s="167" t="e">
        <f t="shared" si="98"/>
        <v>#DIV/0!</v>
      </c>
      <c r="AB183" s="167" t="e">
        <f t="shared" si="98"/>
        <v>#DIV/0!</v>
      </c>
      <c r="AC183" s="167" t="e">
        <f t="shared" si="98"/>
        <v>#DIV/0!</v>
      </c>
      <c r="AD183" s="167" t="e">
        <f t="shared" si="98"/>
        <v>#DIV/0!</v>
      </c>
      <c r="AE183" s="167" t="e">
        <f t="shared" si="98"/>
        <v>#DIV/0!</v>
      </c>
      <c r="AF183" s="167" t="e">
        <f t="shared" si="98"/>
        <v>#DIV/0!</v>
      </c>
      <c r="AG183" s="167" t="e">
        <f t="shared" si="98"/>
        <v>#DIV/0!</v>
      </c>
      <c r="AH183" s="167" t="e">
        <f t="shared" si="98"/>
        <v>#DIV/0!</v>
      </c>
      <c r="AI183" s="167" t="e">
        <f t="shared" si="98"/>
        <v>#DIV/0!</v>
      </c>
      <c r="AJ183" s="167" t="e">
        <f t="shared" si="98"/>
        <v>#DIV/0!</v>
      </c>
      <c r="AK183" s="167" t="e">
        <f t="shared" si="98"/>
        <v>#DIV/0!</v>
      </c>
      <c r="AL183" s="167" t="e">
        <f t="shared" si="98"/>
        <v>#DIV/0!</v>
      </c>
      <c r="AM183" s="167" t="e">
        <f t="shared" si="98"/>
        <v>#DIV/0!</v>
      </c>
      <c r="AN183" s="167" t="e">
        <f t="shared" si="98"/>
        <v>#DIV/0!</v>
      </c>
      <c r="AO183" s="167" t="e">
        <f t="shared" si="98"/>
        <v>#DIV/0!</v>
      </c>
    </row>
    <row r="184" spans="2:41" x14ac:dyDescent="0.15">
      <c r="B184" s="472"/>
      <c r="C184" s="129" t="s">
        <v>1008</v>
      </c>
      <c r="D184" s="94">
        <f>SUMIFS('caseload data'!E:E,'caseload data'!$D:$D,"TPO",'caseload data'!$A:$A,"South Central",'caseload data'!$B:$B,"custody")</f>
        <v>0</v>
      </c>
      <c r="E184" s="94">
        <f>SUMIFS('caseload data'!F:F,'caseload data'!$D:$D,"TPO",'caseload data'!$A:$A,"South Central",'caseload data'!$B:$B,"custody")</f>
        <v>0</v>
      </c>
      <c r="F184" s="94">
        <f>SUMIFS('caseload data'!G:G,'caseload data'!$D:$D,"TPO",'caseload data'!$A:$A,"South Central",'caseload data'!$B:$B,"custody")</f>
        <v>0</v>
      </c>
      <c r="G184" s="94">
        <f>SUMIFS('caseload data'!H:H,'caseload data'!$D:$D,"TPO",'caseload data'!$A:$A,"South Central",'caseload data'!$B:$B,"custody")</f>
        <v>0</v>
      </c>
      <c r="H184" s="94">
        <f>SUMIFS('caseload data'!I:I,'caseload data'!$D:$D,"TPO",'caseload data'!$A:$A,"South Central",'caseload data'!$B:$B,"custody")</f>
        <v>0</v>
      </c>
      <c r="I184" s="94">
        <f>SUMIFS('caseload data'!J:J,'caseload data'!$D:$D,"TPO",'caseload data'!$A:$A,"South Central",'caseload data'!$B:$B,"custody")</f>
        <v>0</v>
      </c>
      <c r="J184" s="94">
        <f>SUMIFS('caseload data'!K:K,'caseload data'!$D:$D,"TPO",'caseload data'!$A:$A,"South Central",'caseload data'!$B:$B,"custody")</f>
        <v>0</v>
      </c>
      <c r="K184" s="94">
        <f>SUMIFS('caseload data'!L:L,'caseload data'!$D:$D,"TPO",'caseload data'!$A:$A,"South Central",'caseload data'!$B:$B,"custody")</f>
        <v>0</v>
      </c>
      <c r="L184" s="94">
        <f>SUMIFS('caseload data'!M:M,'caseload data'!$D:$D,"TPO",'caseload data'!$A:$A,"South Central",'caseload data'!$B:$B,"custody")</f>
        <v>0</v>
      </c>
      <c r="M184" s="94">
        <f>SUMIFS('caseload data'!N:N,'caseload data'!$D:$D,"TPO",'caseload data'!$A:$A,"South Central",'caseload data'!$B:$B,"custody")</f>
        <v>0</v>
      </c>
      <c r="N184" s="94">
        <f>SUMIFS('caseload data'!O:O,'caseload data'!$D:$D,"TPO",'caseload data'!$A:$A,"South Central",'caseload data'!$B:$B,"custody")</f>
        <v>0</v>
      </c>
      <c r="O184" s="94">
        <f>SUMIFS('caseload data'!P:P,'caseload data'!$D:$D,"TPO",'caseload data'!$A:$A,"South Central",'caseload data'!$B:$B,"custody")</f>
        <v>0</v>
      </c>
      <c r="P184" s="94">
        <f>SUMIFS('caseload data'!Q:Q,'caseload data'!$D:$D,"TPO",'caseload data'!$A:$A,"South Central",'caseload data'!$B:$B,"custody")</f>
        <v>0</v>
      </c>
      <c r="Q184" s="94">
        <f>SUMIFS('caseload data'!R:R,'caseload data'!$D:$D,"TPO",'caseload data'!$A:$A,"South Central",'caseload data'!$B:$B,"custody")</f>
        <v>0</v>
      </c>
      <c r="R184" s="94">
        <f>SUMIFS('caseload data'!S:S,'caseload data'!$D:$D,"TPO",'caseload data'!$A:$A,"South Central",'caseload data'!$B:$B,"custody")</f>
        <v>0</v>
      </c>
      <c r="S184" s="94">
        <f>SUMIFS('caseload data'!T:T,'caseload data'!$D:$D,"TPO",'caseload data'!$A:$A,"South Central",'caseload data'!$B:$B,"custody")</f>
        <v>0</v>
      </c>
      <c r="T184" s="94">
        <f>SUMIFS('caseload data'!V:V,'caseload data'!D:D,"TPO",'caseload data'!A:A,"South Central",'caseload data'!B:B,"custody")</f>
        <v>0</v>
      </c>
      <c r="U184" s="64"/>
      <c r="V184" s="64"/>
      <c r="W184" s="472"/>
      <c r="X184" s="129" t="s">
        <v>1008</v>
      </c>
      <c r="Y184" s="167" t="e">
        <f t="shared" si="99"/>
        <v>#DIV/0!</v>
      </c>
      <c r="Z184" s="167" t="e">
        <f t="shared" si="98"/>
        <v>#DIV/0!</v>
      </c>
      <c r="AA184" s="167" t="e">
        <f t="shared" si="98"/>
        <v>#DIV/0!</v>
      </c>
      <c r="AB184" s="167" t="e">
        <f t="shared" si="98"/>
        <v>#DIV/0!</v>
      </c>
      <c r="AC184" s="167" t="e">
        <f t="shared" si="98"/>
        <v>#DIV/0!</v>
      </c>
      <c r="AD184" s="167" t="e">
        <f t="shared" si="98"/>
        <v>#DIV/0!</v>
      </c>
      <c r="AE184" s="167" t="e">
        <f t="shared" si="98"/>
        <v>#DIV/0!</v>
      </c>
      <c r="AF184" s="167" t="e">
        <f t="shared" si="98"/>
        <v>#DIV/0!</v>
      </c>
      <c r="AG184" s="167" t="e">
        <f t="shared" si="98"/>
        <v>#DIV/0!</v>
      </c>
      <c r="AH184" s="167" t="e">
        <f t="shared" si="98"/>
        <v>#DIV/0!</v>
      </c>
      <c r="AI184" s="167" t="e">
        <f t="shared" si="98"/>
        <v>#DIV/0!</v>
      </c>
      <c r="AJ184" s="167" t="e">
        <f t="shared" si="98"/>
        <v>#DIV/0!</v>
      </c>
      <c r="AK184" s="167" t="e">
        <f t="shared" si="98"/>
        <v>#DIV/0!</v>
      </c>
      <c r="AL184" s="167" t="e">
        <f t="shared" si="98"/>
        <v>#DIV/0!</v>
      </c>
      <c r="AM184" s="167" t="e">
        <f t="shared" si="98"/>
        <v>#DIV/0!</v>
      </c>
      <c r="AN184" s="167" t="e">
        <f t="shared" si="98"/>
        <v>#DIV/0!</v>
      </c>
      <c r="AO184" s="167" t="e">
        <f t="shared" si="98"/>
        <v>#DIV/0!</v>
      </c>
    </row>
    <row r="185" spans="2:41" x14ac:dyDescent="0.15">
      <c r="B185" s="472"/>
      <c r="C185" s="129" t="s">
        <v>1009</v>
      </c>
      <c r="D185" s="94">
        <f>SUMIFS('caseload data'!E:E,'caseload data'!$D:$D,"SPO",'caseload data'!$A:$A,"South Central",'caseload data'!$B:$B,"custody")</f>
        <v>0</v>
      </c>
      <c r="E185" s="94">
        <f>SUMIFS('caseload data'!F:F,'caseload data'!$D:$D,"SPO",'caseload data'!$A:$A,"South Central",'caseload data'!$B:$B,"custody")</f>
        <v>0</v>
      </c>
      <c r="F185" s="94">
        <f>SUMIFS('caseload data'!G:G,'caseload data'!$D:$D,"SPO",'caseload data'!$A:$A,"South Central",'caseload data'!$B:$B,"custody")</f>
        <v>0</v>
      </c>
      <c r="G185" s="94">
        <f>SUMIFS('caseload data'!H:H,'caseload data'!$D:$D,"SPO",'caseload data'!$A:$A,"South Central",'caseload data'!$B:$B,"custody")</f>
        <v>0</v>
      </c>
      <c r="H185" s="94">
        <f>SUMIFS('caseload data'!I:I,'caseload data'!$D:$D,"SPO",'caseload data'!$A:$A,"South Central",'caseload data'!$B:$B,"custody")</f>
        <v>0</v>
      </c>
      <c r="I185" s="94">
        <f>SUMIFS('caseload data'!J:J,'caseload data'!$D:$D,"SPO",'caseload data'!$A:$A,"South Central",'caseload data'!$B:$B,"custody")</f>
        <v>0</v>
      </c>
      <c r="J185" s="94">
        <f>SUMIFS('caseload data'!K:K,'caseload data'!$D:$D,"SPO",'caseload data'!$A:$A,"South Central",'caseload data'!$B:$B,"custody")</f>
        <v>0</v>
      </c>
      <c r="K185" s="94">
        <f>SUMIFS('caseload data'!L:L,'caseload data'!$D:$D,"SPO",'caseload data'!$A:$A,"South Central",'caseload data'!$B:$B,"custody")</f>
        <v>0</v>
      </c>
      <c r="L185" s="94">
        <f>SUMIFS('caseload data'!M:M,'caseload data'!$D:$D,"SPO",'caseload data'!$A:$A,"South Central",'caseload data'!$B:$B,"custody")</f>
        <v>0</v>
      </c>
      <c r="M185" s="94">
        <f>SUMIFS('caseload data'!N:N,'caseload data'!$D:$D,"SPO",'caseload data'!$A:$A,"South Central",'caseload data'!$B:$B,"custody")</f>
        <v>0</v>
      </c>
      <c r="N185" s="94">
        <f>SUMIFS('caseload data'!O:O,'caseload data'!$D:$D,"SPO",'caseload data'!$A:$A,"South Central",'caseload data'!$B:$B,"custody")</f>
        <v>0</v>
      </c>
      <c r="O185" s="94">
        <f>SUMIFS('caseload data'!P:P,'caseload data'!$D:$D,"SPO",'caseload data'!$A:$A,"South Central",'caseload data'!$B:$B,"custody")</f>
        <v>0</v>
      </c>
      <c r="P185" s="94">
        <f>SUMIFS('caseload data'!Q:Q,'caseload data'!$D:$D,"SPO",'caseload data'!$A:$A,"South Central",'caseload data'!$B:$B,"custody")</f>
        <v>0</v>
      </c>
      <c r="Q185" s="94">
        <f>SUMIFS('caseload data'!R:R,'caseload data'!$D:$D,"SPO",'caseload data'!$A:$A,"South Central",'caseload data'!$B:$B,"custody")</f>
        <v>0</v>
      </c>
      <c r="R185" s="94">
        <f>SUMIFS('caseload data'!S:S,'caseload data'!$D:$D,"SPO",'caseload data'!$A:$A,"South Central",'caseload data'!$B:$B,"custody")</f>
        <v>0</v>
      </c>
      <c r="S185" s="94">
        <f>SUMIFS('caseload data'!T:T,'caseload data'!$D:$D,"SPO",'caseload data'!$A:$A,"South Central",'caseload data'!$B:$B,"custody")</f>
        <v>0</v>
      </c>
      <c r="T185" s="94">
        <f>SUMIFS('caseload data'!V:V,'caseload data'!$D:$D,"SPO",'caseload data'!$A:$A,"South Central",'caseload data'!$B:$B,"custody")</f>
        <v>0</v>
      </c>
      <c r="U185" s="64"/>
      <c r="V185" s="64"/>
      <c r="W185" s="472"/>
      <c r="X185" s="129" t="s">
        <v>1009</v>
      </c>
      <c r="Y185" s="167" t="e">
        <f t="shared" si="99"/>
        <v>#DIV/0!</v>
      </c>
      <c r="Z185" s="167" t="e">
        <f t="shared" si="98"/>
        <v>#DIV/0!</v>
      </c>
      <c r="AA185" s="167" t="e">
        <f t="shared" si="98"/>
        <v>#DIV/0!</v>
      </c>
      <c r="AB185" s="167" t="e">
        <f t="shared" si="98"/>
        <v>#DIV/0!</v>
      </c>
      <c r="AC185" s="167" t="e">
        <f t="shared" si="98"/>
        <v>#DIV/0!</v>
      </c>
      <c r="AD185" s="167" t="e">
        <f t="shared" si="98"/>
        <v>#DIV/0!</v>
      </c>
      <c r="AE185" s="167" t="e">
        <f t="shared" si="98"/>
        <v>#DIV/0!</v>
      </c>
      <c r="AF185" s="167" t="e">
        <f t="shared" si="98"/>
        <v>#DIV/0!</v>
      </c>
      <c r="AG185" s="167" t="e">
        <f t="shared" si="98"/>
        <v>#DIV/0!</v>
      </c>
      <c r="AH185" s="167" t="e">
        <f t="shared" si="98"/>
        <v>#DIV/0!</v>
      </c>
      <c r="AI185" s="167" t="e">
        <f t="shared" si="98"/>
        <v>#DIV/0!</v>
      </c>
      <c r="AJ185" s="167" t="e">
        <f t="shared" si="98"/>
        <v>#DIV/0!</v>
      </c>
      <c r="AK185" s="167" t="e">
        <f t="shared" si="98"/>
        <v>#DIV/0!</v>
      </c>
      <c r="AL185" s="167" t="e">
        <f t="shared" si="98"/>
        <v>#DIV/0!</v>
      </c>
      <c r="AM185" s="167" t="e">
        <f t="shared" si="98"/>
        <v>#DIV/0!</v>
      </c>
      <c r="AN185" s="167" t="e">
        <f t="shared" si="98"/>
        <v>#DIV/0!</v>
      </c>
      <c r="AO185" s="167" t="e">
        <f t="shared" si="98"/>
        <v>#DIV/0!</v>
      </c>
    </row>
    <row r="186" spans="2:41" x14ac:dyDescent="0.15">
      <c r="B186" s="473"/>
      <c r="C186" s="130" t="s">
        <v>1344</v>
      </c>
      <c r="D186" s="94">
        <f>SUMIFS('caseload data'!E:E,'caseload data'!$D:$D,"DMY",'caseload data'!$A:$A,"South Central",'caseload data'!$B:$B,"custody")</f>
        <v>0</v>
      </c>
      <c r="E186" s="94">
        <f>SUMIFS('caseload data'!F:F,'caseload data'!$D:$D,"DMY",'caseload data'!$A:$A,"South Central",'caseload data'!$B:$B,"custody")</f>
        <v>0</v>
      </c>
      <c r="F186" s="94">
        <f>SUMIFS('caseload data'!G:G,'caseload data'!$D:$D,"DMY",'caseload data'!$A:$A,"South Central",'caseload data'!$B:$B,"custody")</f>
        <v>0</v>
      </c>
      <c r="G186" s="94">
        <f>SUMIFS('caseload data'!H:H,'caseload data'!$D:$D,"DMY",'caseload data'!$A:$A,"South Central",'caseload data'!$B:$B,"custody")</f>
        <v>0</v>
      </c>
      <c r="H186" s="94">
        <f>SUMIFS('caseload data'!I:I,'caseload data'!$D:$D,"DMY",'caseload data'!$A:$A,"South Central",'caseload data'!$B:$B,"custody")</f>
        <v>0</v>
      </c>
      <c r="I186" s="94">
        <f>SUMIFS('caseload data'!J:J,'caseload data'!$D:$D,"DMY",'caseload data'!$A:$A,"South Central",'caseload data'!$B:$B,"custody")</f>
        <v>0</v>
      </c>
      <c r="J186" s="94">
        <f>SUMIFS('caseload data'!K:K,'caseload data'!$D:$D,"DMY",'caseload data'!$A:$A,"South Central",'caseload data'!$B:$B,"custody")</f>
        <v>0</v>
      </c>
      <c r="K186" s="94">
        <f>SUMIFS('caseload data'!L:L,'caseload data'!$D:$D,"DMY",'caseload data'!$A:$A,"South Central",'caseload data'!$B:$B,"custody")</f>
        <v>0</v>
      </c>
      <c r="L186" s="94">
        <f>SUMIFS('caseload data'!M:M,'caseload data'!$D:$D,"DMY",'caseload data'!$A:$A,"South Central",'caseload data'!$B:$B,"custody")</f>
        <v>0</v>
      </c>
      <c r="M186" s="94">
        <f>SUMIFS('caseload data'!N:N,'caseload data'!$D:$D,"DMY",'caseload data'!$A:$A,"South Central",'caseload data'!$B:$B,"custody")</f>
        <v>0</v>
      </c>
      <c r="N186" s="94">
        <f>SUMIFS('caseload data'!O:O,'caseload data'!$D:$D,"DMY",'caseload data'!$A:$A,"South Central",'caseload data'!$B:$B,"custody")</f>
        <v>0</v>
      </c>
      <c r="O186" s="94">
        <f>SUMIFS('caseload data'!P:P,'caseload data'!$D:$D,"DMY",'caseload data'!$A:$A,"South Central",'caseload data'!$B:$B,"custody")</f>
        <v>0</v>
      </c>
      <c r="P186" s="94">
        <f>SUMIFS('caseload data'!Q:Q,'caseload data'!$D:$D,"DMY",'caseload data'!$A:$A,"South Central",'caseload data'!$B:$B,"custody")</f>
        <v>0</v>
      </c>
      <c r="Q186" s="94">
        <f>SUMIFS('caseload data'!R:R,'caseload data'!$D:$D,"DMY",'caseload data'!$A:$A,"South Central",'caseload data'!$B:$B,"custody")</f>
        <v>0</v>
      </c>
      <c r="R186" s="94">
        <f>SUMIFS('caseload data'!S:S,'caseload data'!$D:$D,"DMY",'caseload data'!$A:$A,"South Central",'caseload data'!$B:$B,"custody")</f>
        <v>0</v>
      </c>
      <c r="S186" s="94">
        <f>SUMIFS('caseload data'!T:T,'caseload data'!$D:$D,"DMY",'caseload data'!$A:$A,"South Central",'caseload data'!$B:$B,"custody")</f>
        <v>0</v>
      </c>
      <c r="T186" s="94">
        <f>SUMIFS('caseload data'!V:V,'caseload data'!$D:$D,"DMY",'caseload data'!$A:$A,"South Central",'caseload data'!$B:$B,"custody")</f>
        <v>0</v>
      </c>
      <c r="U186" s="64"/>
      <c r="V186" s="64"/>
      <c r="W186" s="473"/>
      <c r="X186" s="130" t="s">
        <v>1344</v>
      </c>
      <c r="Y186" s="167" t="e">
        <f t="shared" si="99"/>
        <v>#DIV/0!</v>
      </c>
      <c r="Z186" s="167" t="e">
        <f t="shared" si="98"/>
        <v>#DIV/0!</v>
      </c>
      <c r="AA186" s="167" t="e">
        <f t="shared" si="98"/>
        <v>#DIV/0!</v>
      </c>
      <c r="AB186" s="167" t="e">
        <f t="shared" si="98"/>
        <v>#DIV/0!</v>
      </c>
      <c r="AC186" s="167" t="e">
        <f t="shared" si="98"/>
        <v>#DIV/0!</v>
      </c>
      <c r="AD186" s="167" t="e">
        <f t="shared" si="98"/>
        <v>#DIV/0!</v>
      </c>
      <c r="AE186" s="167" t="e">
        <f t="shared" si="98"/>
        <v>#DIV/0!</v>
      </c>
      <c r="AF186" s="167" t="e">
        <f t="shared" si="98"/>
        <v>#DIV/0!</v>
      </c>
      <c r="AG186" s="167" t="e">
        <f t="shared" si="98"/>
        <v>#DIV/0!</v>
      </c>
      <c r="AH186" s="167" t="e">
        <f t="shared" si="98"/>
        <v>#DIV/0!</v>
      </c>
      <c r="AI186" s="167" t="e">
        <f t="shared" si="98"/>
        <v>#DIV/0!</v>
      </c>
      <c r="AJ186" s="167" t="e">
        <f t="shared" si="98"/>
        <v>#DIV/0!</v>
      </c>
      <c r="AK186" s="167" t="e">
        <f t="shared" si="98"/>
        <v>#DIV/0!</v>
      </c>
      <c r="AL186" s="167" t="e">
        <f t="shared" si="98"/>
        <v>#DIV/0!</v>
      </c>
      <c r="AM186" s="167" t="e">
        <f t="shared" si="98"/>
        <v>#DIV/0!</v>
      </c>
      <c r="AN186" s="167" t="e">
        <f t="shared" si="98"/>
        <v>#DIV/0!</v>
      </c>
      <c r="AO186" s="167" t="e">
        <f t="shared" si="98"/>
        <v>#DIV/0!</v>
      </c>
    </row>
    <row r="187" spans="2:41" x14ac:dyDescent="0.15">
      <c r="B187" s="471" t="s">
        <v>25</v>
      </c>
      <c r="C187" s="128" t="s">
        <v>1002</v>
      </c>
      <c r="D187" s="94">
        <f>SUMIFS('caseload data'!E:E,'caseload data'!$D:$D,"PO",'caseload data'!$A:$A,'national caseload'!$B$187:$B$189,'caseload data'!$B:$B,"custody")</f>
        <v>0</v>
      </c>
      <c r="E187" s="94">
        <f>SUMIFS('caseload data'!F:F,'caseload data'!$D:$D,"PO",'caseload data'!$A:$A,'national caseload'!$B$187:$B$189,'caseload data'!$B:$B,"custody")</f>
        <v>0</v>
      </c>
      <c r="F187" s="94">
        <f>SUMIFS('caseload data'!G:G,'caseload data'!$D:$D,"PO",'caseload data'!$A:$A,'national caseload'!$B$187:$B$189,'caseload data'!$B:$B,"custody")</f>
        <v>0</v>
      </c>
      <c r="G187" s="94">
        <f>SUMIFS('caseload data'!H:H,'caseload data'!$D:$D,"PO",'caseload data'!$A:$A,'national caseload'!$B$187:$B$189,'caseload data'!$B:$B,"custody")</f>
        <v>0</v>
      </c>
      <c r="H187" s="94">
        <f>SUMIFS('caseload data'!I:I,'caseload data'!$D:$D,"PO",'caseload data'!$A:$A,'national caseload'!$B$187:$B$189,'caseload data'!$B:$B,"custody")</f>
        <v>0</v>
      </c>
      <c r="I187" s="94">
        <f>SUMIFS('caseload data'!J:J,'caseload data'!$D:$D,"PO",'caseload data'!$A:$A,'national caseload'!$B$187:$B$189,'caseload data'!$B:$B,"custody")</f>
        <v>0</v>
      </c>
      <c r="J187" s="94">
        <f>SUMIFS('caseload data'!K:K,'caseload data'!$D:$D,"PO",'caseload data'!$A:$A,'national caseload'!$B$187:$B$189,'caseload data'!$B:$B,"custody")</f>
        <v>0</v>
      </c>
      <c r="K187" s="94">
        <f>SUMIFS('caseload data'!L:L,'caseload data'!$D:$D,"PO",'caseload data'!$A:$A,'national caseload'!$B$187:$B$189,'caseload data'!$B:$B,"custody")</f>
        <v>0</v>
      </c>
      <c r="L187" s="94">
        <f>SUMIFS('caseload data'!M:M,'caseload data'!$D:$D,"PO",'caseload data'!$A:$A,'national caseload'!$B$187:$B$189,'caseload data'!$B:$B,"custody")</f>
        <v>0</v>
      </c>
      <c r="M187" s="94">
        <f>SUMIFS('caseload data'!N:N,'caseload data'!$D:$D,"PO",'caseload data'!$A:$A,'national caseload'!$B$187:$B$189,'caseload data'!$B:$B,"custody")</f>
        <v>0</v>
      </c>
      <c r="N187" s="94">
        <f>SUMIFS('caseload data'!O:O,'caseload data'!$D:$D,"PO",'caseload data'!$A:$A,'national caseload'!$B$187:$B$189,'caseload data'!$B:$B,"custody")</f>
        <v>0</v>
      </c>
      <c r="O187" s="94">
        <f>SUMIFS('caseload data'!P:P,'caseload data'!$D:$D,"PO",'caseload data'!$A:$A,'national caseload'!$B$187:$B$189,'caseload data'!$B:$B,"custody")</f>
        <v>0</v>
      </c>
      <c r="P187" s="94">
        <f>SUMIFS('caseload data'!Q:Q,'caseload data'!$D:$D,"PO",'caseload data'!$A:$A,'national caseload'!$B$187:$B$189,'caseload data'!$B:$B,"custody")</f>
        <v>0</v>
      </c>
      <c r="Q187" s="94">
        <f>SUMIFS('caseload data'!R:R,'caseload data'!$D:$D,"PO",'caseload data'!$A:$A,'national caseload'!$B$187:$B$189,'caseload data'!$B:$B,"custody")</f>
        <v>0</v>
      </c>
      <c r="R187" s="94">
        <f>SUMIFS('caseload data'!S:S,'caseload data'!$D:$D,"PO",'caseload data'!$A:$A,'national caseload'!$B$187:$B$189,'caseload data'!$B:$B,"custody")</f>
        <v>0</v>
      </c>
      <c r="S187" s="94">
        <f>SUMIFS('caseload data'!T:T,'caseload data'!$D:$D,"PO",'caseload data'!$A:$A,'national caseload'!$B$187:$B$189,'caseload data'!$B:$B,"custody")</f>
        <v>0</v>
      </c>
      <c r="T187" s="94">
        <f>SUMIFS('caseload data'!V:V,'caseload data'!D:D,"PO",'caseload data'!A:A,'national caseload'!B187:B189,'caseload data'!B:B,"custody")</f>
        <v>0</v>
      </c>
      <c r="U187" s="64"/>
      <c r="V187" s="64"/>
      <c r="W187" s="471" t="s">
        <v>25</v>
      </c>
      <c r="X187" s="128" t="s">
        <v>1002</v>
      </c>
      <c r="Y187" s="167" t="e">
        <f>SUM(D187)/SUM(D$187:D$191)</f>
        <v>#DIV/0!</v>
      </c>
      <c r="Z187" s="167" t="e">
        <f t="shared" ref="Z187:AO191" si="100">SUM(E187)/SUM(E$187:E$191)</f>
        <v>#DIV/0!</v>
      </c>
      <c r="AA187" s="167" t="e">
        <f t="shared" si="100"/>
        <v>#DIV/0!</v>
      </c>
      <c r="AB187" s="167" t="e">
        <f t="shared" si="100"/>
        <v>#DIV/0!</v>
      </c>
      <c r="AC187" s="167" t="e">
        <f t="shared" si="100"/>
        <v>#DIV/0!</v>
      </c>
      <c r="AD187" s="167" t="e">
        <f t="shared" si="100"/>
        <v>#DIV/0!</v>
      </c>
      <c r="AE187" s="167" t="e">
        <f t="shared" si="100"/>
        <v>#DIV/0!</v>
      </c>
      <c r="AF187" s="167" t="e">
        <f t="shared" si="100"/>
        <v>#DIV/0!</v>
      </c>
      <c r="AG187" s="167" t="e">
        <f t="shared" si="100"/>
        <v>#DIV/0!</v>
      </c>
      <c r="AH187" s="167" t="e">
        <f t="shared" si="100"/>
        <v>#DIV/0!</v>
      </c>
      <c r="AI187" s="167" t="e">
        <f t="shared" si="100"/>
        <v>#DIV/0!</v>
      </c>
      <c r="AJ187" s="167" t="e">
        <f t="shared" si="100"/>
        <v>#DIV/0!</v>
      </c>
      <c r="AK187" s="167" t="e">
        <f t="shared" si="100"/>
        <v>#DIV/0!</v>
      </c>
      <c r="AL187" s="167" t="e">
        <f t="shared" si="100"/>
        <v>#DIV/0!</v>
      </c>
      <c r="AM187" s="167" t="e">
        <f t="shared" si="100"/>
        <v>#DIV/0!</v>
      </c>
      <c r="AN187" s="167" t="e">
        <f t="shared" si="100"/>
        <v>#DIV/0!</v>
      </c>
      <c r="AO187" s="167" t="e">
        <f t="shared" si="100"/>
        <v>#DIV/0!</v>
      </c>
    </row>
    <row r="188" spans="2:41" x14ac:dyDescent="0.15">
      <c r="B188" s="472"/>
      <c r="C188" s="129" t="s">
        <v>1007</v>
      </c>
      <c r="D188" s="94">
        <f>SUMIFS('caseload data'!E:E,'caseload data'!$D:$D,"PSO",'caseload data'!$A:$A,"South West",'caseload data'!$B:$B,"custody")</f>
        <v>0</v>
      </c>
      <c r="E188" s="94">
        <f>SUMIFS('caseload data'!F:F,'caseload data'!$D:$D,"PSO",'caseload data'!$A:$A,"South West",'caseload data'!$B:$B,"custody")</f>
        <v>0</v>
      </c>
      <c r="F188" s="94">
        <f>SUMIFS('caseload data'!G:G,'caseload data'!$D:$D,"PSO",'caseload data'!$A:$A,"South West",'caseload data'!$B:$B,"custody")</f>
        <v>0</v>
      </c>
      <c r="G188" s="94">
        <f>SUMIFS('caseload data'!H:H,'caseload data'!$D:$D,"PSO",'caseload data'!$A:$A,"South West",'caseload data'!$B:$B,"custody")</f>
        <v>0</v>
      </c>
      <c r="H188" s="94">
        <f>SUMIFS('caseload data'!I:I,'caseload data'!$D:$D,"PSO",'caseload data'!$A:$A,"South West",'caseload data'!$B:$B,"custody")</f>
        <v>0</v>
      </c>
      <c r="I188" s="94">
        <f>SUMIFS('caseload data'!J:J,'caseload data'!$D:$D,"PSO",'caseload data'!$A:$A,"South West",'caseload data'!$B:$B,"custody")</f>
        <v>0</v>
      </c>
      <c r="J188" s="94">
        <f>SUMIFS('caseload data'!K:K,'caseload data'!$D:$D,"PSO",'caseload data'!$A:$A,"South West",'caseload data'!$B:$B,"custody")</f>
        <v>0</v>
      </c>
      <c r="K188" s="94">
        <f>SUMIFS('caseload data'!L:L,'caseload data'!$D:$D,"PSO",'caseload data'!$A:$A,"South West",'caseload data'!$B:$B,"custody")</f>
        <v>0</v>
      </c>
      <c r="L188" s="94">
        <f>SUMIFS('caseload data'!M:M,'caseload data'!$D:$D,"PSO",'caseload data'!$A:$A,"South West",'caseload data'!$B:$B,"custody")</f>
        <v>0</v>
      </c>
      <c r="M188" s="94">
        <f>SUMIFS('caseload data'!N:N,'caseload data'!$D:$D,"PSO",'caseload data'!$A:$A,"South West",'caseload data'!$B:$B,"custody")</f>
        <v>0</v>
      </c>
      <c r="N188" s="94">
        <f>SUMIFS('caseload data'!O:O,'caseload data'!$D:$D,"PSO",'caseload data'!$A:$A,"South West",'caseload data'!$B:$B,"custody")</f>
        <v>0</v>
      </c>
      <c r="O188" s="94">
        <f>SUMIFS('caseload data'!P:P,'caseload data'!$D:$D,"PSO",'caseload data'!$A:$A,"South West",'caseload data'!$B:$B,"custody")</f>
        <v>0</v>
      </c>
      <c r="P188" s="94">
        <f>SUMIFS('caseload data'!Q:Q,'caseload data'!$D:$D,"PSO",'caseload data'!$A:$A,"South West",'caseload data'!$B:$B,"custody")</f>
        <v>0</v>
      </c>
      <c r="Q188" s="94">
        <f>SUMIFS('caseload data'!R:R,'caseload data'!$D:$D,"PSO",'caseload data'!$A:$A,"South West",'caseload data'!$B:$B,"custody")</f>
        <v>0</v>
      </c>
      <c r="R188" s="94">
        <f>SUMIFS('caseload data'!S:S,'caseload data'!$D:$D,"PSO",'caseload data'!$A:$A,"South West",'caseload data'!$B:$B,"custody")</f>
        <v>0</v>
      </c>
      <c r="S188" s="94">
        <f>SUMIFS('caseload data'!T:T,'caseload data'!$D:$D,"PSO",'caseload data'!$A:$A,"South West",'caseload data'!$B:$B,"custody")</f>
        <v>0</v>
      </c>
      <c r="T188" s="94">
        <f>SUMIFS('caseload data'!V:V,'caseload data'!D:D,"PSO",'caseload data'!A:A,"South West",'caseload data'!B:B,"custody")</f>
        <v>0</v>
      </c>
      <c r="U188" s="64"/>
      <c r="V188" s="64"/>
      <c r="W188" s="472"/>
      <c r="X188" s="129" t="s">
        <v>1007</v>
      </c>
      <c r="Y188" s="167" t="e">
        <f t="shared" ref="Y188:Y191" si="101">SUM(D188)/SUM(D$187:D$191)</f>
        <v>#DIV/0!</v>
      </c>
      <c r="Z188" s="167" t="e">
        <f t="shared" si="100"/>
        <v>#DIV/0!</v>
      </c>
      <c r="AA188" s="167" t="e">
        <f t="shared" si="100"/>
        <v>#DIV/0!</v>
      </c>
      <c r="AB188" s="167" t="e">
        <f t="shared" si="100"/>
        <v>#DIV/0!</v>
      </c>
      <c r="AC188" s="167" t="e">
        <f t="shared" si="100"/>
        <v>#DIV/0!</v>
      </c>
      <c r="AD188" s="167" t="e">
        <f t="shared" si="100"/>
        <v>#DIV/0!</v>
      </c>
      <c r="AE188" s="167" t="e">
        <f t="shared" si="100"/>
        <v>#DIV/0!</v>
      </c>
      <c r="AF188" s="167" t="e">
        <f t="shared" si="100"/>
        <v>#DIV/0!</v>
      </c>
      <c r="AG188" s="167" t="e">
        <f t="shared" si="100"/>
        <v>#DIV/0!</v>
      </c>
      <c r="AH188" s="167" t="e">
        <f t="shared" si="100"/>
        <v>#DIV/0!</v>
      </c>
      <c r="AI188" s="167" t="e">
        <f t="shared" si="100"/>
        <v>#DIV/0!</v>
      </c>
      <c r="AJ188" s="167" t="e">
        <f t="shared" si="100"/>
        <v>#DIV/0!</v>
      </c>
      <c r="AK188" s="167" t="e">
        <f t="shared" si="100"/>
        <v>#DIV/0!</v>
      </c>
      <c r="AL188" s="167" t="e">
        <f t="shared" si="100"/>
        <v>#DIV/0!</v>
      </c>
      <c r="AM188" s="167" t="e">
        <f t="shared" si="100"/>
        <v>#DIV/0!</v>
      </c>
      <c r="AN188" s="167" t="e">
        <f t="shared" si="100"/>
        <v>#DIV/0!</v>
      </c>
      <c r="AO188" s="167" t="e">
        <f t="shared" si="100"/>
        <v>#DIV/0!</v>
      </c>
    </row>
    <row r="189" spans="2:41" x14ac:dyDescent="0.15">
      <c r="B189" s="472"/>
      <c r="C189" s="129" t="s">
        <v>1008</v>
      </c>
      <c r="D189" s="94">
        <f>SUMIFS('caseload data'!E:E,'caseload data'!$D:$D,"TPO",'caseload data'!$A:$A,"South West",'caseload data'!$B:$B,"custody")</f>
        <v>0</v>
      </c>
      <c r="E189" s="94">
        <f>SUMIFS('caseload data'!F:F,'caseload data'!$D:$D,"TPO",'caseload data'!$A:$A,"South West",'caseload data'!$B:$B,"custody")</f>
        <v>0</v>
      </c>
      <c r="F189" s="94">
        <f>SUMIFS('caseload data'!G:G,'caseload data'!$D:$D,"TPO",'caseload data'!$A:$A,"South West",'caseload data'!$B:$B,"custody")</f>
        <v>0</v>
      </c>
      <c r="G189" s="94">
        <f>SUMIFS('caseload data'!H:H,'caseload data'!$D:$D,"TPO",'caseload data'!$A:$A,"South West",'caseload data'!$B:$B,"custody")</f>
        <v>0</v>
      </c>
      <c r="H189" s="94">
        <f>SUMIFS('caseload data'!I:I,'caseload data'!$D:$D,"TPO",'caseload data'!$A:$A,"South West",'caseload data'!$B:$B,"custody")</f>
        <v>0</v>
      </c>
      <c r="I189" s="94">
        <f>SUMIFS('caseload data'!J:J,'caseload data'!$D:$D,"TPO",'caseload data'!$A:$A,"South West",'caseload data'!$B:$B,"custody")</f>
        <v>0</v>
      </c>
      <c r="J189" s="94">
        <f>SUMIFS('caseload data'!K:K,'caseload data'!$D:$D,"TPO",'caseload data'!$A:$A,"South West",'caseload data'!$B:$B,"custody")</f>
        <v>0</v>
      </c>
      <c r="K189" s="94">
        <f>SUMIFS('caseload data'!L:L,'caseload data'!$D:$D,"TPO",'caseload data'!$A:$A,"South West",'caseload data'!$B:$B,"custody")</f>
        <v>0</v>
      </c>
      <c r="L189" s="94">
        <f>SUMIFS('caseload data'!M:M,'caseload data'!$D:$D,"TPO",'caseload data'!$A:$A,"South West",'caseload data'!$B:$B,"custody")</f>
        <v>0</v>
      </c>
      <c r="M189" s="94">
        <f>SUMIFS('caseload data'!N:N,'caseload data'!$D:$D,"TPO",'caseload data'!$A:$A,"South West",'caseload data'!$B:$B,"custody")</f>
        <v>0</v>
      </c>
      <c r="N189" s="94">
        <f>SUMIFS('caseload data'!O:O,'caseload data'!$D:$D,"TPO",'caseload data'!$A:$A,"South West",'caseload data'!$B:$B,"custody")</f>
        <v>0</v>
      </c>
      <c r="O189" s="94">
        <f>SUMIFS('caseload data'!P:P,'caseload data'!$D:$D,"TPO",'caseload data'!$A:$A,"South West",'caseload data'!$B:$B,"custody")</f>
        <v>0</v>
      </c>
      <c r="P189" s="94">
        <f>SUMIFS('caseload data'!Q:Q,'caseload data'!$D:$D,"TPO",'caseload data'!$A:$A,"South West",'caseload data'!$B:$B,"custody")</f>
        <v>0</v>
      </c>
      <c r="Q189" s="94">
        <f>SUMIFS('caseload data'!R:R,'caseload data'!$D:$D,"TPO",'caseload data'!$A:$A,"South West",'caseload data'!$B:$B,"custody")</f>
        <v>0</v>
      </c>
      <c r="R189" s="94">
        <f>SUMIFS('caseload data'!S:S,'caseload data'!$D:$D,"TPO",'caseload data'!$A:$A,"South West",'caseload data'!$B:$B,"custody")</f>
        <v>0</v>
      </c>
      <c r="S189" s="94">
        <f>SUMIFS('caseload data'!T:T,'caseload data'!$D:$D,"TPO",'caseload data'!$A:$A,"South West",'caseload data'!$B:$B,"custody")</f>
        <v>0</v>
      </c>
      <c r="T189" s="94">
        <f>SUMIFS('caseload data'!V:V,'caseload data'!D:D,"TPO",'caseload data'!A:A,"South West",'caseload data'!B:B,"custody")</f>
        <v>0</v>
      </c>
      <c r="U189" s="64"/>
      <c r="V189" s="64"/>
      <c r="W189" s="472"/>
      <c r="X189" s="129" t="s">
        <v>1008</v>
      </c>
      <c r="Y189" s="167" t="e">
        <f t="shared" si="101"/>
        <v>#DIV/0!</v>
      </c>
      <c r="Z189" s="167" t="e">
        <f t="shared" si="100"/>
        <v>#DIV/0!</v>
      </c>
      <c r="AA189" s="167" t="e">
        <f t="shared" si="100"/>
        <v>#DIV/0!</v>
      </c>
      <c r="AB189" s="167" t="e">
        <f t="shared" si="100"/>
        <v>#DIV/0!</v>
      </c>
      <c r="AC189" s="167" t="e">
        <f t="shared" si="100"/>
        <v>#DIV/0!</v>
      </c>
      <c r="AD189" s="167" t="e">
        <f t="shared" si="100"/>
        <v>#DIV/0!</v>
      </c>
      <c r="AE189" s="167" t="e">
        <f t="shared" si="100"/>
        <v>#DIV/0!</v>
      </c>
      <c r="AF189" s="167" t="e">
        <f t="shared" si="100"/>
        <v>#DIV/0!</v>
      </c>
      <c r="AG189" s="167" t="e">
        <f t="shared" si="100"/>
        <v>#DIV/0!</v>
      </c>
      <c r="AH189" s="167" t="e">
        <f t="shared" si="100"/>
        <v>#DIV/0!</v>
      </c>
      <c r="AI189" s="167" t="e">
        <f t="shared" si="100"/>
        <v>#DIV/0!</v>
      </c>
      <c r="AJ189" s="167" t="e">
        <f t="shared" si="100"/>
        <v>#DIV/0!</v>
      </c>
      <c r="AK189" s="167" t="e">
        <f t="shared" si="100"/>
        <v>#DIV/0!</v>
      </c>
      <c r="AL189" s="167" t="e">
        <f t="shared" si="100"/>
        <v>#DIV/0!</v>
      </c>
      <c r="AM189" s="167" t="e">
        <f t="shared" si="100"/>
        <v>#DIV/0!</v>
      </c>
      <c r="AN189" s="167" t="e">
        <f t="shared" si="100"/>
        <v>#DIV/0!</v>
      </c>
      <c r="AO189" s="167" t="e">
        <f t="shared" si="100"/>
        <v>#DIV/0!</v>
      </c>
    </row>
    <row r="190" spans="2:41" x14ac:dyDescent="0.15">
      <c r="B190" s="472"/>
      <c r="C190" s="129" t="s">
        <v>1009</v>
      </c>
      <c r="D190" s="94">
        <f>SUMIFS('caseload data'!E:E,'caseload data'!$D:$D,"SPO",'caseload data'!$A:$A,"South West",'caseload data'!$B:$B,"custody")</f>
        <v>0</v>
      </c>
      <c r="E190" s="94">
        <f>SUMIFS('caseload data'!F:F,'caseload data'!$D:$D,"SPO",'caseload data'!$A:$A,"South West",'caseload data'!$B:$B,"custody")</f>
        <v>0</v>
      </c>
      <c r="F190" s="94">
        <f>SUMIFS('caseload data'!G:G,'caseload data'!$D:$D,"SPO",'caseload data'!$A:$A,"South West",'caseload data'!$B:$B,"custody")</f>
        <v>0</v>
      </c>
      <c r="G190" s="94">
        <f>SUMIFS('caseload data'!H:H,'caseload data'!$D:$D,"SPO",'caseload data'!$A:$A,"South West",'caseload data'!$B:$B,"custody")</f>
        <v>0</v>
      </c>
      <c r="H190" s="94">
        <f>SUMIFS('caseload data'!I:I,'caseload data'!$D:$D,"SPO",'caseload data'!$A:$A,"South West",'caseload data'!$B:$B,"custody")</f>
        <v>0</v>
      </c>
      <c r="I190" s="94">
        <f>SUMIFS('caseload data'!J:J,'caseload data'!$D:$D,"SPO",'caseload data'!$A:$A,"South West",'caseload data'!$B:$B,"custody")</f>
        <v>0</v>
      </c>
      <c r="J190" s="94">
        <f>SUMIFS('caseload data'!K:K,'caseload data'!$D:$D,"SPO",'caseload data'!$A:$A,"South West",'caseload data'!$B:$B,"custody")</f>
        <v>0</v>
      </c>
      <c r="K190" s="94">
        <f>SUMIFS('caseload data'!L:L,'caseload data'!$D:$D,"SPO",'caseload data'!$A:$A,"South West",'caseload data'!$B:$B,"custody")</f>
        <v>0</v>
      </c>
      <c r="L190" s="94">
        <f>SUMIFS('caseload data'!M:M,'caseload data'!$D:$D,"SPO",'caseload data'!$A:$A,"South West",'caseload data'!$B:$B,"custody")</f>
        <v>0</v>
      </c>
      <c r="M190" s="94">
        <f>SUMIFS('caseload data'!N:N,'caseload data'!$D:$D,"SPO",'caseload data'!$A:$A,"South West",'caseload data'!$B:$B,"custody")</f>
        <v>0</v>
      </c>
      <c r="N190" s="94">
        <f>SUMIFS('caseload data'!O:O,'caseload data'!$D:$D,"SPO",'caseload data'!$A:$A,"South West",'caseload data'!$B:$B,"custody")</f>
        <v>0</v>
      </c>
      <c r="O190" s="94">
        <f>SUMIFS('caseload data'!P:P,'caseload data'!$D:$D,"SPO",'caseload data'!$A:$A,"South West",'caseload data'!$B:$B,"custody")</f>
        <v>0</v>
      </c>
      <c r="P190" s="94">
        <f>SUMIFS('caseload data'!Q:Q,'caseload data'!$D:$D,"SPO",'caseload data'!$A:$A,"South West",'caseload data'!$B:$B,"custody")</f>
        <v>0</v>
      </c>
      <c r="Q190" s="94">
        <f>SUMIFS('caseload data'!R:R,'caseload data'!$D:$D,"SPO",'caseload data'!$A:$A,"South West",'caseload data'!$B:$B,"custody")</f>
        <v>0</v>
      </c>
      <c r="R190" s="94">
        <f>SUMIFS('caseload data'!S:S,'caseload data'!$D:$D,"SPO",'caseload data'!$A:$A,"South West",'caseload data'!$B:$B,"custody")</f>
        <v>0</v>
      </c>
      <c r="S190" s="94">
        <f>SUMIFS('caseload data'!T:T,'caseload data'!$D:$D,"SPO",'caseload data'!$A:$A,"South West",'caseload data'!$B:$B,"custody")</f>
        <v>0</v>
      </c>
      <c r="T190" s="94">
        <f>SUMIFS('caseload data'!V:V,'caseload data'!$D:$D,"SPO",'caseload data'!$A:$A,"South West",'caseload data'!$B:$B,"custody")</f>
        <v>0</v>
      </c>
      <c r="U190" s="64"/>
      <c r="V190" s="64"/>
      <c r="W190" s="472"/>
      <c r="X190" s="129" t="s">
        <v>1009</v>
      </c>
      <c r="Y190" s="167" t="e">
        <f t="shared" si="101"/>
        <v>#DIV/0!</v>
      </c>
      <c r="Z190" s="167" t="e">
        <f t="shared" si="100"/>
        <v>#DIV/0!</v>
      </c>
      <c r="AA190" s="167" t="e">
        <f t="shared" si="100"/>
        <v>#DIV/0!</v>
      </c>
      <c r="AB190" s="167" t="e">
        <f t="shared" si="100"/>
        <v>#DIV/0!</v>
      </c>
      <c r="AC190" s="167" t="e">
        <f t="shared" si="100"/>
        <v>#DIV/0!</v>
      </c>
      <c r="AD190" s="167" t="e">
        <f t="shared" si="100"/>
        <v>#DIV/0!</v>
      </c>
      <c r="AE190" s="167" t="e">
        <f t="shared" si="100"/>
        <v>#DIV/0!</v>
      </c>
      <c r="AF190" s="167" t="e">
        <f t="shared" si="100"/>
        <v>#DIV/0!</v>
      </c>
      <c r="AG190" s="167" t="e">
        <f t="shared" si="100"/>
        <v>#DIV/0!</v>
      </c>
      <c r="AH190" s="167" t="e">
        <f t="shared" si="100"/>
        <v>#DIV/0!</v>
      </c>
      <c r="AI190" s="167" t="e">
        <f t="shared" si="100"/>
        <v>#DIV/0!</v>
      </c>
      <c r="AJ190" s="167" t="e">
        <f t="shared" si="100"/>
        <v>#DIV/0!</v>
      </c>
      <c r="AK190" s="167" t="e">
        <f t="shared" si="100"/>
        <v>#DIV/0!</v>
      </c>
      <c r="AL190" s="167" t="e">
        <f t="shared" si="100"/>
        <v>#DIV/0!</v>
      </c>
      <c r="AM190" s="167" t="e">
        <f t="shared" si="100"/>
        <v>#DIV/0!</v>
      </c>
      <c r="AN190" s="167" t="e">
        <f t="shared" si="100"/>
        <v>#DIV/0!</v>
      </c>
      <c r="AO190" s="167" t="e">
        <f t="shared" si="100"/>
        <v>#DIV/0!</v>
      </c>
    </row>
    <row r="191" spans="2:41" x14ac:dyDescent="0.15">
      <c r="B191" s="473"/>
      <c r="C191" s="130" t="s">
        <v>1344</v>
      </c>
      <c r="D191" s="94">
        <f>SUMIFS('caseload data'!E:E,'caseload data'!$D:$D,"DMY",'caseload data'!$A:$A,"South West",'caseload data'!$B:$B,"custody")</f>
        <v>0</v>
      </c>
      <c r="E191" s="94">
        <f>SUMIFS('caseload data'!F:F,'caseload data'!$D:$D,"DMY",'caseload data'!$A:$A,"South West",'caseload data'!$B:$B,"custody")</f>
        <v>0</v>
      </c>
      <c r="F191" s="94">
        <f>SUMIFS('caseload data'!G:G,'caseload data'!$D:$D,"DMY",'caseload data'!$A:$A,"South West",'caseload data'!$B:$B,"custody")</f>
        <v>0</v>
      </c>
      <c r="G191" s="94">
        <f>SUMIFS('caseload data'!H:H,'caseload data'!$D:$D,"DMY",'caseload data'!$A:$A,"South West",'caseload data'!$B:$B,"custody")</f>
        <v>0</v>
      </c>
      <c r="H191" s="94">
        <f>SUMIFS('caseload data'!I:I,'caseload data'!$D:$D,"DMY",'caseload data'!$A:$A,"South West",'caseload data'!$B:$B,"custody")</f>
        <v>0</v>
      </c>
      <c r="I191" s="94">
        <f>SUMIFS('caseload data'!J:J,'caseload data'!$D:$D,"DMY",'caseload data'!$A:$A,"South West",'caseload data'!$B:$B,"custody")</f>
        <v>0</v>
      </c>
      <c r="J191" s="94">
        <f>SUMIFS('caseload data'!K:K,'caseload data'!$D:$D,"DMY",'caseload data'!$A:$A,"South West",'caseload data'!$B:$B,"custody")</f>
        <v>0</v>
      </c>
      <c r="K191" s="94">
        <f>SUMIFS('caseload data'!L:L,'caseload data'!$D:$D,"DMY",'caseload data'!$A:$A,"South West",'caseload data'!$B:$B,"custody")</f>
        <v>0</v>
      </c>
      <c r="L191" s="94">
        <f>SUMIFS('caseload data'!M:M,'caseload data'!$D:$D,"DMY",'caseload data'!$A:$A,"South West",'caseload data'!$B:$B,"custody")</f>
        <v>0</v>
      </c>
      <c r="M191" s="94">
        <f>SUMIFS('caseload data'!N:N,'caseload data'!$D:$D,"DMY",'caseload data'!$A:$A,"South West",'caseload data'!$B:$B,"custody")</f>
        <v>0</v>
      </c>
      <c r="N191" s="94">
        <f>SUMIFS('caseload data'!O:O,'caseload data'!$D:$D,"DMY",'caseload data'!$A:$A,"South West",'caseload data'!$B:$B,"custody")</f>
        <v>0</v>
      </c>
      <c r="O191" s="94">
        <f>SUMIFS('caseload data'!P:P,'caseload data'!$D:$D,"DMY",'caseload data'!$A:$A,"South West",'caseload data'!$B:$B,"custody")</f>
        <v>0</v>
      </c>
      <c r="P191" s="94">
        <f>SUMIFS('caseload data'!Q:Q,'caseload data'!$D:$D,"DMY",'caseload data'!$A:$A,"South West",'caseload data'!$B:$B,"custody")</f>
        <v>0</v>
      </c>
      <c r="Q191" s="94">
        <f>SUMIFS('caseload data'!R:R,'caseload data'!$D:$D,"DMY",'caseload data'!$A:$A,"South West",'caseload data'!$B:$B,"custody")</f>
        <v>0</v>
      </c>
      <c r="R191" s="94">
        <f>SUMIFS('caseload data'!S:S,'caseload data'!$D:$D,"DMY",'caseload data'!$A:$A,"South West",'caseload data'!$B:$B,"custody")</f>
        <v>0</v>
      </c>
      <c r="S191" s="94">
        <f>SUMIFS('caseload data'!T:T,'caseload data'!$D:$D,"DMY",'caseload data'!$A:$A,"South West",'caseload data'!$B:$B,"custody")</f>
        <v>0</v>
      </c>
      <c r="T191" s="94">
        <f>SUMIFS('caseload data'!V:V,'caseload data'!$D:$D,"DMY",'caseload data'!$A:$A,"South West",'caseload data'!$B:$B,"custody")</f>
        <v>0</v>
      </c>
      <c r="U191" s="64"/>
      <c r="V191" s="64"/>
      <c r="W191" s="473"/>
      <c r="X191" s="130" t="s">
        <v>1344</v>
      </c>
      <c r="Y191" s="167" t="e">
        <f t="shared" si="101"/>
        <v>#DIV/0!</v>
      </c>
      <c r="Z191" s="167" t="e">
        <f t="shared" si="100"/>
        <v>#DIV/0!</v>
      </c>
      <c r="AA191" s="167" t="e">
        <f t="shared" si="100"/>
        <v>#DIV/0!</v>
      </c>
      <c r="AB191" s="167" t="e">
        <f t="shared" si="100"/>
        <v>#DIV/0!</v>
      </c>
      <c r="AC191" s="167" t="e">
        <f t="shared" si="100"/>
        <v>#DIV/0!</v>
      </c>
      <c r="AD191" s="167" t="e">
        <f t="shared" si="100"/>
        <v>#DIV/0!</v>
      </c>
      <c r="AE191" s="167" t="e">
        <f t="shared" si="100"/>
        <v>#DIV/0!</v>
      </c>
      <c r="AF191" s="167" t="e">
        <f t="shared" si="100"/>
        <v>#DIV/0!</v>
      </c>
      <c r="AG191" s="167" t="e">
        <f t="shared" si="100"/>
        <v>#DIV/0!</v>
      </c>
      <c r="AH191" s="167" t="e">
        <f t="shared" si="100"/>
        <v>#DIV/0!</v>
      </c>
      <c r="AI191" s="167" t="e">
        <f t="shared" si="100"/>
        <v>#DIV/0!</v>
      </c>
      <c r="AJ191" s="167" t="e">
        <f t="shared" si="100"/>
        <v>#DIV/0!</v>
      </c>
      <c r="AK191" s="167" t="e">
        <f t="shared" si="100"/>
        <v>#DIV/0!</v>
      </c>
      <c r="AL191" s="167" t="e">
        <f t="shared" si="100"/>
        <v>#DIV/0!</v>
      </c>
      <c r="AM191" s="167" t="e">
        <f t="shared" si="100"/>
        <v>#DIV/0!</v>
      </c>
      <c r="AN191" s="167" t="e">
        <f t="shared" si="100"/>
        <v>#DIV/0!</v>
      </c>
      <c r="AO191" s="167" t="e">
        <f t="shared" si="100"/>
        <v>#DIV/0!</v>
      </c>
    </row>
    <row r="192" spans="2:41" x14ac:dyDescent="0.15">
      <c r="B192" s="471" t="s">
        <v>26</v>
      </c>
      <c r="C192" s="128" t="s">
        <v>1002</v>
      </c>
      <c r="D192" s="94">
        <f>SUMIFS('caseload data'!E:E,'caseload data'!$D:$D,"PO",'caseload data'!$A:$A,$B$192,'caseload data'!$B:$B,"custody")</f>
        <v>0</v>
      </c>
      <c r="E192" s="94">
        <f>SUMIFS('caseload data'!F:F,'caseload data'!$D:$D,"PO",'caseload data'!$A:$A,$B$192,'caseload data'!$B:$B,"custody")</f>
        <v>0</v>
      </c>
      <c r="F192" s="94">
        <f>SUMIFS('caseload data'!G:G,'caseload data'!$D:$D,"PO",'caseload data'!$A:$A,$B$192,'caseload data'!$B:$B,"custody")</f>
        <v>0</v>
      </c>
      <c r="G192" s="94">
        <f>SUMIFS('caseload data'!H:H,'caseload data'!$D:$D,"PO",'caseload data'!$A:$A,$B$192,'caseload data'!$B:$B,"custody")</f>
        <v>0</v>
      </c>
      <c r="H192" s="94">
        <f>SUMIFS('caseload data'!I:I,'caseload data'!$D:$D,"PO",'caseload data'!$A:$A,$B$192,'caseload data'!$B:$B,"custody")</f>
        <v>0</v>
      </c>
      <c r="I192" s="94">
        <f>SUMIFS('caseload data'!J:J,'caseload data'!$D:$D,"PO",'caseload data'!$A:$A,$B$192,'caseload data'!$B:$B,"custody")</f>
        <v>0</v>
      </c>
      <c r="J192" s="94">
        <f>SUMIFS('caseload data'!K:K,'caseload data'!$D:$D,"PO",'caseload data'!$A:$A,$B$192,'caseload data'!$B:$B,"custody")</f>
        <v>0</v>
      </c>
      <c r="K192" s="94">
        <f>SUMIFS('caseload data'!L:L,'caseload data'!$D:$D,"PO",'caseload data'!$A:$A,$B$192,'caseload data'!$B:$B,"custody")</f>
        <v>0</v>
      </c>
      <c r="L192" s="94">
        <f>SUMIFS('caseload data'!M:M,'caseload data'!$D:$D,"PO",'caseload data'!$A:$A,$B$192,'caseload data'!$B:$B,"custody")</f>
        <v>0</v>
      </c>
      <c r="M192" s="94">
        <f>SUMIFS('caseload data'!N:N,'caseload data'!$D:$D,"PO",'caseload data'!$A:$A,$B$192,'caseload data'!$B:$B,"custody")</f>
        <v>0</v>
      </c>
      <c r="N192" s="94">
        <f>SUMIFS('caseload data'!O:O,'caseload data'!$D:$D,"PO",'caseload data'!$A:$A,$B$192,'caseload data'!$B:$B,"custody")</f>
        <v>0</v>
      </c>
      <c r="O192" s="94">
        <f>SUMIFS('caseload data'!P:P,'caseload data'!$D:$D,"PO",'caseload data'!$A:$A,$B$192,'caseload data'!$B:$B,"custody")</f>
        <v>0</v>
      </c>
      <c r="P192" s="94">
        <f>SUMIFS('caseload data'!Q:Q,'caseload data'!$D:$D,"PO",'caseload data'!$A:$A,$B$192,'caseload data'!$B:$B,"custody")</f>
        <v>0</v>
      </c>
      <c r="Q192" s="94">
        <f>SUMIFS('caseload data'!R:R,'caseload data'!$D:$D,"PO",'caseload data'!$A:$A,$B$192,'caseload data'!$B:$B,"custody")</f>
        <v>0</v>
      </c>
      <c r="R192" s="94">
        <f>SUMIFS('caseload data'!S:S,'caseload data'!$D:$D,"PO",'caseload data'!$A:$A,$B$192,'caseload data'!$B:$B,"custody")</f>
        <v>0</v>
      </c>
      <c r="S192" s="94">
        <f>SUMIFS('caseload data'!T:T,'caseload data'!$D:$D,"PO",'caseload data'!$A:$A,$B$192,'caseload data'!$B:$B,"custody")</f>
        <v>0</v>
      </c>
      <c r="T192" s="94">
        <f>SUMIFS('caseload data'!V:V,'caseload data'!D:D,"PO",'caseload data'!A:A,B192,'caseload data'!B:B,"custody")</f>
        <v>0</v>
      </c>
      <c r="U192" s="64"/>
      <c r="V192" s="64"/>
      <c r="W192" s="471" t="s">
        <v>26</v>
      </c>
      <c r="X192" s="128" t="s">
        <v>1002</v>
      </c>
      <c r="Y192" s="167" t="e">
        <f>SUM(D192)/SUM(D$192:D$196)</f>
        <v>#DIV/0!</v>
      </c>
      <c r="Z192" s="167" t="e">
        <f t="shared" ref="Z192:AO196" si="102">SUM(E192)/SUM(E$192:E$196)</f>
        <v>#DIV/0!</v>
      </c>
      <c r="AA192" s="167" t="e">
        <f t="shared" si="102"/>
        <v>#DIV/0!</v>
      </c>
      <c r="AB192" s="167" t="e">
        <f t="shared" si="102"/>
        <v>#DIV/0!</v>
      </c>
      <c r="AC192" s="167" t="e">
        <f t="shared" si="102"/>
        <v>#DIV/0!</v>
      </c>
      <c r="AD192" s="167" t="e">
        <f t="shared" si="102"/>
        <v>#DIV/0!</v>
      </c>
      <c r="AE192" s="167" t="e">
        <f t="shared" si="102"/>
        <v>#DIV/0!</v>
      </c>
      <c r="AF192" s="167" t="e">
        <f t="shared" si="102"/>
        <v>#DIV/0!</v>
      </c>
      <c r="AG192" s="167" t="e">
        <f t="shared" si="102"/>
        <v>#DIV/0!</v>
      </c>
      <c r="AH192" s="167" t="e">
        <f t="shared" si="102"/>
        <v>#DIV/0!</v>
      </c>
      <c r="AI192" s="167" t="e">
        <f t="shared" si="102"/>
        <v>#DIV/0!</v>
      </c>
      <c r="AJ192" s="167" t="e">
        <f t="shared" si="102"/>
        <v>#DIV/0!</v>
      </c>
      <c r="AK192" s="167" t="e">
        <f t="shared" si="102"/>
        <v>#DIV/0!</v>
      </c>
      <c r="AL192" s="167" t="e">
        <f t="shared" si="102"/>
        <v>#DIV/0!</v>
      </c>
      <c r="AM192" s="167" t="e">
        <f t="shared" si="102"/>
        <v>#DIV/0!</v>
      </c>
      <c r="AN192" s="167" t="e">
        <f t="shared" si="102"/>
        <v>#DIV/0!</v>
      </c>
      <c r="AO192" s="167" t="e">
        <f t="shared" si="102"/>
        <v>#DIV/0!</v>
      </c>
    </row>
    <row r="193" spans="2:41" x14ac:dyDescent="0.15">
      <c r="B193" s="472"/>
      <c r="C193" s="129" t="s">
        <v>1007</v>
      </c>
      <c r="D193" s="94">
        <f>SUMIFS('caseload data'!E:E,'caseload data'!$D:$D,"PSO",'caseload data'!$A:$A,"Wales",'caseload data'!$B:$B,"custody")</f>
        <v>0</v>
      </c>
      <c r="E193" s="94">
        <f>SUMIFS('caseload data'!F:F,'caseload data'!$D:$D,"PSO",'caseload data'!$A:$A,"Wales",'caseload data'!$B:$B,"custody")</f>
        <v>0</v>
      </c>
      <c r="F193" s="94">
        <f>SUMIFS('caseload data'!G:G,'caseload data'!$D:$D,"PSO",'caseload data'!$A:$A,"Wales",'caseload data'!$B:$B,"custody")</f>
        <v>0</v>
      </c>
      <c r="G193" s="94">
        <f>SUMIFS('caseload data'!H:H,'caseload data'!$D:$D,"PSO",'caseload data'!$A:$A,"Wales",'caseload data'!$B:$B,"custody")</f>
        <v>0</v>
      </c>
      <c r="H193" s="94">
        <f>SUMIFS('caseload data'!I:I,'caseload data'!$D:$D,"PSO",'caseload data'!$A:$A,"Wales",'caseload data'!$B:$B,"custody")</f>
        <v>0</v>
      </c>
      <c r="I193" s="94">
        <f>SUMIFS('caseload data'!J:J,'caseload data'!$D:$D,"PSO",'caseload data'!$A:$A,"Wales",'caseload data'!$B:$B,"custody")</f>
        <v>0</v>
      </c>
      <c r="J193" s="94">
        <f>SUMIFS('caseload data'!K:K,'caseload data'!$D:$D,"PSO",'caseload data'!$A:$A,"Wales",'caseload data'!$B:$B,"custody")</f>
        <v>0</v>
      </c>
      <c r="K193" s="94">
        <f>SUMIFS('caseload data'!L:L,'caseload data'!$D:$D,"PSO",'caseload data'!$A:$A,"Wales",'caseload data'!$B:$B,"custody")</f>
        <v>0</v>
      </c>
      <c r="L193" s="94">
        <f>SUMIFS('caseload data'!M:M,'caseload data'!$D:$D,"PSO",'caseload data'!$A:$A,"Wales",'caseload data'!$B:$B,"custody")</f>
        <v>0</v>
      </c>
      <c r="M193" s="94">
        <f>SUMIFS('caseload data'!N:N,'caseload data'!$D:$D,"PSO",'caseload data'!$A:$A,"Wales",'caseload data'!$B:$B,"custody")</f>
        <v>0</v>
      </c>
      <c r="N193" s="94">
        <f>SUMIFS('caseload data'!O:O,'caseload data'!$D:$D,"PSO",'caseload data'!$A:$A,"Wales",'caseload data'!$B:$B,"custody")</f>
        <v>0</v>
      </c>
      <c r="O193" s="94">
        <f>SUMIFS('caseload data'!P:P,'caseload data'!$D:$D,"PSO",'caseload data'!$A:$A,"Wales",'caseload data'!$B:$B,"custody")</f>
        <v>0</v>
      </c>
      <c r="P193" s="94">
        <f>SUMIFS('caseload data'!Q:Q,'caseload data'!$D:$D,"PSO",'caseload data'!$A:$A,"Wales",'caseload data'!$B:$B,"custody")</f>
        <v>0</v>
      </c>
      <c r="Q193" s="94">
        <f>SUMIFS('caseload data'!R:R,'caseload data'!$D:$D,"PSO",'caseload data'!$A:$A,"Wales",'caseload data'!$B:$B,"custody")</f>
        <v>0</v>
      </c>
      <c r="R193" s="94">
        <f>SUMIFS('caseload data'!S:S,'caseload data'!$D:$D,"PSO",'caseload data'!$A:$A,"Wales",'caseload data'!$B:$B,"custody")</f>
        <v>0</v>
      </c>
      <c r="S193" s="94">
        <f>SUMIFS('caseload data'!T:T,'caseload data'!$D:$D,"PSO",'caseload data'!$A:$A,"Wales",'caseload data'!$B:$B,"custody")</f>
        <v>0</v>
      </c>
      <c r="T193" s="94">
        <f>SUMIFS('caseload data'!V:V,'caseload data'!D:D,"PSO",'caseload data'!A:A,"Wales",'caseload data'!B:B,"custody")</f>
        <v>0</v>
      </c>
      <c r="U193" s="64"/>
      <c r="V193" s="64"/>
      <c r="W193" s="472"/>
      <c r="X193" s="129" t="s">
        <v>1007</v>
      </c>
      <c r="Y193" s="167" t="e">
        <f t="shared" ref="Y193:Y196" si="103">SUM(D193)/SUM(D$192:D$196)</f>
        <v>#DIV/0!</v>
      </c>
      <c r="Z193" s="167" t="e">
        <f t="shared" si="102"/>
        <v>#DIV/0!</v>
      </c>
      <c r="AA193" s="167" t="e">
        <f t="shared" si="102"/>
        <v>#DIV/0!</v>
      </c>
      <c r="AB193" s="167" t="e">
        <f t="shared" si="102"/>
        <v>#DIV/0!</v>
      </c>
      <c r="AC193" s="167" t="e">
        <f t="shared" si="102"/>
        <v>#DIV/0!</v>
      </c>
      <c r="AD193" s="167" t="e">
        <f t="shared" si="102"/>
        <v>#DIV/0!</v>
      </c>
      <c r="AE193" s="167" t="e">
        <f t="shared" si="102"/>
        <v>#DIV/0!</v>
      </c>
      <c r="AF193" s="167" t="e">
        <f t="shared" si="102"/>
        <v>#DIV/0!</v>
      </c>
      <c r="AG193" s="167" t="e">
        <f t="shared" si="102"/>
        <v>#DIV/0!</v>
      </c>
      <c r="AH193" s="167" t="e">
        <f t="shared" si="102"/>
        <v>#DIV/0!</v>
      </c>
      <c r="AI193" s="167" t="e">
        <f t="shared" si="102"/>
        <v>#DIV/0!</v>
      </c>
      <c r="AJ193" s="167" t="e">
        <f t="shared" si="102"/>
        <v>#DIV/0!</v>
      </c>
      <c r="AK193" s="167" t="e">
        <f t="shared" si="102"/>
        <v>#DIV/0!</v>
      </c>
      <c r="AL193" s="167" t="e">
        <f t="shared" si="102"/>
        <v>#DIV/0!</v>
      </c>
      <c r="AM193" s="167" t="e">
        <f t="shared" si="102"/>
        <v>#DIV/0!</v>
      </c>
      <c r="AN193" s="167" t="e">
        <f t="shared" si="102"/>
        <v>#DIV/0!</v>
      </c>
      <c r="AO193" s="167" t="e">
        <f t="shared" si="102"/>
        <v>#DIV/0!</v>
      </c>
    </row>
    <row r="194" spans="2:41" x14ac:dyDescent="0.15">
      <c r="B194" s="472"/>
      <c r="C194" s="129" t="s">
        <v>1008</v>
      </c>
      <c r="D194" s="94">
        <f>SUMIFS('caseload data'!E:E,'caseload data'!$D:$D,"TPO",'caseload data'!$A:$A,"Wales",'caseload data'!$B:$B,"custody")</f>
        <v>0</v>
      </c>
      <c r="E194" s="94">
        <f>SUMIFS('caseload data'!F:F,'caseload data'!$D:$D,"TPO",'caseload data'!$A:$A,"Wales",'caseload data'!$B:$B,"custody")</f>
        <v>0</v>
      </c>
      <c r="F194" s="94">
        <f>SUMIFS('caseload data'!G:G,'caseload data'!$D:$D,"TPO",'caseload data'!$A:$A,"Wales",'caseload data'!$B:$B,"custody")</f>
        <v>0</v>
      </c>
      <c r="G194" s="94">
        <f>SUMIFS('caseload data'!H:H,'caseload data'!$D:$D,"TPO",'caseload data'!$A:$A,"Wales",'caseload data'!$B:$B,"custody")</f>
        <v>0</v>
      </c>
      <c r="H194" s="94">
        <f>SUMIFS('caseload data'!I:I,'caseload data'!$D:$D,"TPO",'caseload data'!$A:$A,"Wales",'caseload data'!$B:$B,"custody")</f>
        <v>0</v>
      </c>
      <c r="I194" s="94">
        <f>SUMIFS('caseload data'!J:J,'caseload data'!$D:$D,"TPO",'caseload data'!$A:$A,"Wales",'caseload data'!$B:$B,"custody")</f>
        <v>0</v>
      </c>
      <c r="J194" s="94">
        <f>SUMIFS('caseload data'!K:K,'caseload data'!$D:$D,"TPO",'caseload data'!$A:$A,"Wales",'caseload data'!$B:$B,"custody")</f>
        <v>0</v>
      </c>
      <c r="K194" s="94">
        <f>SUMIFS('caseload data'!L:L,'caseload data'!$D:$D,"TPO",'caseload data'!$A:$A,"Wales",'caseload data'!$B:$B,"custody")</f>
        <v>0</v>
      </c>
      <c r="L194" s="94">
        <f>SUMIFS('caseload data'!M:M,'caseload data'!$D:$D,"TPO",'caseload data'!$A:$A,"Wales",'caseload data'!$B:$B,"custody")</f>
        <v>0</v>
      </c>
      <c r="M194" s="94">
        <f>SUMIFS('caseload data'!N:N,'caseload data'!$D:$D,"TPO",'caseload data'!$A:$A,"Wales",'caseload data'!$B:$B,"custody")</f>
        <v>0</v>
      </c>
      <c r="N194" s="94">
        <f>SUMIFS('caseload data'!O:O,'caseload data'!$D:$D,"TPO",'caseload data'!$A:$A,"Wales",'caseload data'!$B:$B,"custody")</f>
        <v>0</v>
      </c>
      <c r="O194" s="94">
        <f>SUMIFS('caseload data'!P:P,'caseload data'!$D:$D,"TPO",'caseload data'!$A:$A,"Wales",'caseload data'!$B:$B,"custody")</f>
        <v>0</v>
      </c>
      <c r="P194" s="94">
        <f>SUMIFS('caseload data'!Q:Q,'caseload data'!$D:$D,"TPO",'caseload data'!$A:$A,"Wales",'caseload data'!$B:$B,"custody")</f>
        <v>0</v>
      </c>
      <c r="Q194" s="94">
        <f>SUMIFS('caseload data'!R:R,'caseload data'!$D:$D,"TPO",'caseload data'!$A:$A,"Wales",'caseload data'!$B:$B,"custody")</f>
        <v>0</v>
      </c>
      <c r="R194" s="94">
        <f>SUMIFS('caseload data'!S:S,'caseload data'!$D:$D,"TPO",'caseload data'!$A:$A,"Wales",'caseload data'!$B:$B,"custody")</f>
        <v>0</v>
      </c>
      <c r="S194" s="94">
        <f>SUMIFS('caseload data'!T:T,'caseload data'!$D:$D,"TPO",'caseload data'!$A:$A,"Wales",'caseload data'!$B:$B,"custody")</f>
        <v>0</v>
      </c>
      <c r="T194" s="94">
        <f>SUMIFS('caseload data'!V:V,'caseload data'!D:D,"TPO",'caseload data'!A:A,"Wales",'caseload data'!B:B,"custody")</f>
        <v>0</v>
      </c>
      <c r="U194" s="64"/>
      <c r="V194" s="64"/>
      <c r="W194" s="472"/>
      <c r="X194" s="129" t="s">
        <v>1008</v>
      </c>
      <c r="Y194" s="167" t="e">
        <f t="shared" si="103"/>
        <v>#DIV/0!</v>
      </c>
      <c r="Z194" s="167" t="e">
        <f t="shared" si="102"/>
        <v>#DIV/0!</v>
      </c>
      <c r="AA194" s="167" t="e">
        <f t="shared" si="102"/>
        <v>#DIV/0!</v>
      </c>
      <c r="AB194" s="167" t="e">
        <f t="shared" si="102"/>
        <v>#DIV/0!</v>
      </c>
      <c r="AC194" s="167" t="e">
        <f t="shared" si="102"/>
        <v>#DIV/0!</v>
      </c>
      <c r="AD194" s="167" t="e">
        <f t="shared" si="102"/>
        <v>#DIV/0!</v>
      </c>
      <c r="AE194" s="167" t="e">
        <f t="shared" si="102"/>
        <v>#DIV/0!</v>
      </c>
      <c r="AF194" s="167" t="e">
        <f t="shared" si="102"/>
        <v>#DIV/0!</v>
      </c>
      <c r="AG194" s="167" t="e">
        <f t="shared" si="102"/>
        <v>#DIV/0!</v>
      </c>
      <c r="AH194" s="167" t="e">
        <f t="shared" si="102"/>
        <v>#DIV/0!</v>
      </c>
      <c r="AI194" s="167" t="e">
        <f t="shared" si="102"/>
        <v>#DIV/0!</v>
      </c>
      <c r="AJ194" s="167" t="e">
        <f t="shared" si="102"/>
        <v>#DIV/0!</v>
      </c>
      <c r="AK194" s="167" t="e">
        <f t="shared" si="102"/>
        <v>#DIV/0!</v>
      </c>
      <c r="AL194" s="167" t="e">
        <f t="shared" si="102"/>
        <v>#DIV/0!</v>
      </c>
      <c r="AM194" s="167" t="e">
        <f t="shared" si="102"/>
        <v>#DIV/0!</v>
      </c>
      <c r="AN194" s="167" t="e">
        <f t="shared" si="102"/>
        <v>#DIV/0!</v>
      </c>
      <c r="AO194" s="167" t="e">
        <f t="shared" si="102"/>
        <v>#DIV/0!</v>
      </c>
    </row>
    <row r="195" spans="2:41" x14ac:dyDescent="0.15">
      <c r="B195" s="472"/>
      <c r="C195" s="129" t="s">
        <v>1009</v>
      </c>
      <c r="D195" s="94">
        <f>SUMIFS('caseload data'!E:E,'caseload data'!$D:$D,"SPO",'caseload data'!$A:$A,"Wales",'caseload data'!$B:$B,"custody")</f>
        <v>0</v>
      </c>
      <c r="E195" s="94">
        <f>SUMIFS('caseload data'!F:F,'caseload data'!$D:$D,"SPO",'caseload data'!$A:$A,"Wales",'caseload data'!$B:$B,"custody")</f>
        <v>0</v>
      </c>
      <c r="F195" s="94">
        <f>SUMIFS('caseload data'!G:G,'caseload data'!$D:$D,"SPO",'caseload data'!$A:$A,"Wales",'caseload data'!$B:$B,"custody")</f>
        <v>0</v>
      </c>
      <c r="G195" s="94">
        <f>SUMIFS('caseload data'!H:H,'caseload data'!$D:$D,"SPO",'caseload data'!$A:$A,"Wales",'caseload data'!$B:$B,"custody")</f>
        <v>0</v>
      </c>
      <c r="H195" s="94">
        <f>SUMIFS('caseload data'!I:I,'caseload data'!$D:$D,"SPO",'caseload data'!$A:$A,"Wales",'caseload data'!$B:$B,"custody")</f>
        <v>0</v>
      </c>
      <c r="I195" s="94">
        <f>SUMIFS('caseload data'!J:J,'caseload data'!$D:$D,"SPO",'caseload data'!$A:$A,"Wales",'caseload data'!$B:$B,"custody")</f>
        <v>0</v>
      </c>
      <c r="J195" s="94">
        <f>SUMIFS('caseload data'!K:K,'caseload data'!$D:$D,"SPO",'caseload data'!$A:$A,"Wales",'caseload data'!$B:$B,"custody")</f>
        <v>0</v>
      </c>
      <c r="K195" s="94">
        <f>SUMIFS('caseload data'!L:L,'caseload data'!$D:$D,"SPO",'caseload data'!$A:$A,"Wales",'caseload data'!$B:$B,"custody")</f>
        <v>0</v>
      </c>
      <c r="L195" s="94">
        <f>SUMIFS('caseload data'!M:M,'caseload data'!$D:$D,"SPO",'caseload data'!$A:$A,"Wales",'caseload data'!$B:$B,"custody")</f>
        <v>0</v>
      </c>
      <c r="M195" s="94">
        <f>SUMIFS('caseload data'!N:N,'caseload data'!$D:$D,"SPO",'caseload data'!$A:$A,"Wales",'caseload data'!$B:$B,"custody")</f>
        <v>0</v>
      </c>
      <c r="N195" s="94">
        <f>SUMIFS('caseload data'!O:O,'caseload data'!$D:$D,"SPO",'caseload data'!$A:$A,"Wales",'caseload data'!$B:$B,"custody")</f>
        <v>0</v>
      </c>
      <c r="O195" s="94">
        <f>SUMIFS('caseload data'!P:P,'caseload data'!$D:$D,"SPO",'caseload data'!$A:$A,"Wales",'caseload data'!$B:$B,"custody")</f>
        <v>0</v>
      </c>
      <c r="P195" s="94">
        <f>SUMIFS('caseload data'!Q:Q,'caseload data'!$D:$D,"SPO",'caseload data'!$A:$A,"Wales",'caseload data'!$B:$B,"custody")</f>
        <v>0</v>
      </c>
      <c r="Q195" s="94">
        <f>SUMIFS('caseload data'!R:R,'caseload data'!$D:$D,"SPO",'caseload data'!$A:$A,"Wales",'caseload data'!$B:$B,"custody")</f>
        <v>0</v>
      </c>
      <c r="R195" s="94">
        <f>SUMIFS('caseload data'!S:S,'caseload data'!$D:$D,"SPO",'caseload data'!$A:$A,"Wales",'caseload data'!$B:$B,"custody")</f>
        <v>0</v>
      </c>
      <c r="S195" s="94">
        <f>SUMIFS('caseload data'!T:T,'caseload data'!$D:$D,"SPO",'caseload data'!$A:$A,"Wales",'caseload data'!$B:$B,"custody")</f>
        <v>0</v>
      </c>
      <c r="T195" s="94">
        <f>SUMIFS('caseload data'!V:V,'caseload data'!$D:$D,"SPO",'caseload data'!$A:$A,"Wales",'caseload data'!$B:$B,"custody")</f>
        <v>0</v>
      </c>
      <c r="U195" s="64"/>
      <c r="V195" s="64"/>
      <c r="W195" s="472"/>
      <c r="X195" s="129" t="s">
        <v>1009</v>
      </c>
      <c r="Y195" s="167" t="e">
        <f t="shared" si="103"/>
        <v>#DIV/0!</v>
      </c>
      <c r="Z195" s="167" t="e">
        <f t="shared" si="102"/>
        <v>#DIV/0!</v>
      </c>
      <c r="AA195" s="167" t="e">
        <f t="shared" si="102"/>
        <v>#DIV/0!</v>
      </c>
      <c r="AB195" s="167" t="e">
        <f t="shared" si="102"/>
        <v>#DIV/0!</v>
      </c>
      <c r="AC195" s="167" t="e">
        <f t="shared" si="102"/>
        <v>#DIV/0!</v>
      </c>
      <c r="AD195" s="167" t="e">
        <f t="shared" si="102"/>
        <v>#DIV/0!</v>
      </c>
      <c r="AE195" s="167" t="e">
        <f t="shared" si="102"/>
        <v>#DIV/0!</v>
      </c>
      <c r="AF195" s="167" t="e">
        <f t="shared" si="102"/>
        <v>#DIV/0!</v>
      </c>
      <c r="AG195" s="167" t="e">
        <f t="shared" si="102"/>
        <v>#DIV/0!</v>
      </c>
      <c r="AH195" s="167" t="e">
        <f t="shared" si="102"/>
        <v>#DIV/0!</v>
      </c>
      <c r="AI195" s="167" t="e">
        <f t="shared" si="102"/>
        <v>#DIV/0!</v>
      </c>
      <c r="AJ195" s="167" t="e">
        <f t="shared" si="102"/>
        <v>#DIV/0!</v>
      </c>
      <c r="AK195" s="167" t="e">
        <f t="shared" si="102"/>
        <v>#DIV/0!</v>
      </c>
      <c r="AL195" s="167" t="e">
        <f t="shared" si="102"/>
        <v>#DIV/0!</v>
      </c>
      <c r="AM195" s="167" t="e">
        <f t="shared" si="102"/>
        <v>#DIV/0!</v>
      </c>
      <c r="AN195" s="167" t="e">
        <f t="shared" si="102"/>
        <v>#DIV/0!</v>
      </c>
      <c r="AO195" s="167" t="e">
        <f t="shared" si="102"/>
        <v>#DIV/0!</v>
      </c>
    </row>
    <row r="196" spans="2:41" x14ac:dyDescent="0.15">
      <c r="B196" s="473"/>
      <c r="C196" s="130" t="s">
        <v>1344</v>
      </c>
      <c r="D196" s="94">
        <f>SUMIFS('caseload data'!E:E,'caseload data'!$D:$D,"DMY",'caseload data'!$A:$A,"Wales",'caseload data'!$B:$B,"custody")</f>
        <v>0</v>
      </c>
      <c r="E196" s="94">
        <f>SUMIFS('caseload data'!F:F,'caseload data'!$D:$D,"DMY",'caseload data'!$A:$A,"Wales",'caseload data'!$B:$B,"custody")</f>
        <v>0</v>
      </c>
      <c r="F196" s="94">
        <f>SUMIFS('caseload data'!G:G,'caseload data'!$D:$D,"DMY",'caseload data'!$A:$A,"Wales",'caseload data'!$B:$B,"custody")</f>
        <v>0</v>
      </c>
      <c r="G196" s="94">
        <f>SUMIFS('caseload data'!H:H,'caseload data'!$D:$D,"DMY",'caseload data'!$A:$A,"Wales",'caseload data'!$B:$B,"custody")</f>
        <v>0</v>
      </c>
      <c r="H196" s="94">
        <f>SUMIFS('caseload data'!I:I,'caseload data'!$D:$D,"DMY",'caseload data'!$A:$A,"Wales",'caseload data'!$B:$B,"custody")</f>
        <v>0</v>
      </c>
      <c r="I196" s="94">
        <f>SUMIFS('caseload data'!J:J,'caseload data'!$D:$D,"DMY",'caseload data'!$A:$A,"Wales",'caseload data'!$B:$B,"custody")</f>
        <v>0</v>
      </c>
      <c r="J196" s="94">
        <f>SUMIFS('caseload data'!K:K,'caseload data'!$D:$D,"DMY",'caseload data'!$A:$A,"Wales",'caseload data'!$B:$B,"custody")</f>
        <v>0</v>
      </c>
      <c r="K196" s="94">
        <f>SUMIFS('caseload data'!L:L,'caseload data'!$D:$D,"DMY",'caseload data'!$A:$A,"Wales",'caseload data'!$B:$B,"custody")</f>
        <v>0</v>
      </c>
      <c r="L196" s="94">
        <f>SUMIFS('caseload data'!M:M,'caseload data'!$D:$D,"DMY",'caseload data'!$A:$A,"Wales",'caseload data'!$B:$B,"custody")</f>
        <v>0</v>
      </c>
      <c r="M196" s="94">
        <f>SUMIFS('caseload data'!N:N,'caseload data'!$D:$D,"DMY",'caseload data'!$A:$A,"Wales",'caseload data'!$B:$B,"custody")</f>
        <v>0</v>
      </c>
      <c r="N196" s="94">
        <f>SUMIFS('caseload data'!O:O,'caseload data'!$D:$D,"DMY",'caseload data'!$A:$A,"Wales",'caseload data'!$B:$B,"custody")</f>
        <v>0</v>
      </c>
      <c r="O196" s="94">
        <f>SUMIFS('caseload data'!P:P,'caseload data'!$D:$D,"DMY",'caseload data'!$A:$A,"Wales",'caseload data'!$B:$B,"custody")</f>
        <v>0</v>
      </c>
      <c r="P196" s="94">
        <f>SUMIFS('caseload data'!Q:Q,'caseload data'!$D:$D,"DMY",'caseload data'!$A:$A,"Wales",'caseload data'!$B:$B,"custody")</f>
        <v>0</v>
      </c>
      <c r="Q196" s="94">
        <f>SUMIFS('caseload data'!R:R,'caseload data'!$D:$D,"DMY",'caseload data'!$A:$A,"Wales",'caseload data'!$B:$B,"custody")</f>
        <v>0</v>
      </c>
      <c r="R196" s="94">
        <f>SUMIFS('caseload data'!S:S,'caseload data'!$D:$D,"DMY",'caseload data'!$A:$A,"Wales",'caseload data'!$B:$B,"custody")</f>
        <v>0</v>
      </c>
      <c r="S196" s="94">
        <f>SUMIFS('caseload data'!T:T,'caseload data'!$D:$D,"DMY",'caseload data'!$A:$A,"Wales",'caseload data'!$B:$B,"custody")</f>
        <v>0</v>
      </c>
      <c r="T196" s="94">
        <f>SUMIFS('caseload data'!V:V,'caseload data'!$D:$D,"DMY",'caseload data'!$A:$A,"Wales",'caseload data'!$B:$B,"custody")</f>
        <v>0</v>
      </c>
      <c r="U196" s="64"/>
      <c r="V196" s="64"/>
      <c r="W196" s="473"/>
      <c r="X196" s="130" t="s">
        <v>1344</v>
      </c>
      <c r="Y196" s="167" t="e">
        <f t="shared" si="103"/>
        <v>#DIV/0!</v>
      </c>
      <c r="Z196" s="167" t="e">
        <f t="shared" si="102"/>
        <v>#DIV/0!</v>
      </c>
      <c r="AA196" s="167" t="e">
        <f t="shared" si="102"/>
        <v>#DIV/0!</v>
      </c>
      <c r="AB196" s="167" t="e">
        <f t="shared" si="102"/>
        <v>#DIV/0!</v>
      </c>
      <c r="AC196" s="167" t="e">
        <f t="shared" si="102"/>
        <v>#DIV/0!</v>
      </c>
      <c r="AD196" s="167" t="e">
        <f t="shared" si="102"/>
        <v>#DIV/0!</v>
      </c>
      <c r="AE196" s="167" t="e">
        <f t="shared" si="102"/>
        <v>#DIV/0!</v>
      </c>
      <c r="AF196" s="167" t="e">
        <f t="shared" si="102"/>
        <v>#DIV/0!</v>
      </c>
      <c r="AG196" s="167" t="e">
        <f t="shared" si="102"/>
        <v>#DIV/0!</v>
      </c>
      <c r="AH196" s="167" t="e">
        <f t="shared" si="102"/>
        <v>#DIV/0!</v>
      </c>
      <c r="AI196" s="167" t="e">
        <f t="shared" si="102"/>
        <v>#DIV/0!</v>
      </c>
      <c r="AJ196" s="167" t="e">
        <f t="shared" si="102"/>
        <v>#DIV/0!</v>
      </c>
      <c r="AK196" s="167" t="e">
        <f t="shared" si="102"/>
        <v>#DIV/0!</v>
      </c>
      <c r="AL196" s="167" t="e">
        <f t="shared" si="102"/>
        <v>#DIV/0!</v>
      </c>
      <c r="AM196" s="167" t="e">
        <f t="shared" si="102"/>
        <v>#DIV/0!</v>
      </c>
      <c r="AN196" s="167" t="e">
        <f t="shared" si="102"/>
        <v>#DIV/0!</v>
      </c>
      <c r="AO196" s="167" t="e">
        <f t="shared" si="102"/>
        <v>#DIV/0!</v>
      </c>
    </row>
    <row r="197" spans="2:41" x14ac:dyDescent="0.15">
      <c r="B197" s="471" t="s">
        <v>27</v>
      </c>
      <c r="C197" s="128" t="s">
        <v>1002</v>
      </c>
      <c r="D197" s="94">
        <f>SUMIFS('caseload data'!E:E,'caseload data'!$D:$D,"PO",'caseload data'!$A:$A,$B$197,'caseload data'!$B:$B,"custody")</f>
        <v>0</v>
      </c>
      <c r="E197" s="94">
        <f>SUMIFS('caseload data'!F:F,'caseload data'!$D:$D,"PO",'caseload data'!$A:$A,$B$197,'caseload data'!$B:$B,"custody")</f>
        <v>0</v>
      </c>
      <c r="F197" s="94">
        <f>SUMIFS('caseload data'!G:G,'caseload data'!$D:$D,"PO",'caseload data'!$A:$A,$B$197,'caseload data'!$B:$B,"custody")</f>
        <v>0</v>
      </c>
      <c r="G197" s="94">
        <f>SUMIFS('caseload data'!H:H,'caseload data'!$D:$D,"PO",'caseload data'!$A:$A,$B$197,'caseload data'!$B:$B,"custody")</f>
        <v>0</v>
      </c>
      <c r="H197" s="94">
        <f>SUMIFS('caseload data'!I:I,'caseload data'!$D:$D,"PO",'caseload data'!$A:$A,$B$197,'caseload data'!$B:$B,"custody")</f>
        <v>0</v>
      </c>
      <c r="I197" s="94">
        <f>SUMIFS('caseload data'!J:J,'caseload data'!$D:$D,"PO",'caseload data'!$A:$A,$B$197,'caseload data'!$B:$B,"custody")</f>
        <v>0</v>
      </c>
      <c r="J197" s="94">
        <f>SUMIFS('caseload data'!K:K,'caseload data'!$D:$D,"PO",'caseload data'!$A:$A,$B$197,'caseload data'!$B:$B,"custody")</f>
        <v>0</v>
      </c>
      <c r="K197" s="94">
        <f>SUMIFS('caseload data'!L:L,'caseload data'!$D:$D,"PO",'caseload data'!$A:$A,$B$197,'caseload data'!$B:$B,"custody")</f>
        <v>0</v>
      </c>
      <c r="L197" s="94">
        <f>SUMIFS('caseload data'!M:M,'caseload data'!$D:$D,"PO",'caseload data'!$A:$A,$B$197,'caseload data'!$B:$B,"custody")</f>
        <v>0</v>
      </c>
      <c r="M197" s="94">
        <f>SUMIFS('caseload data'!N:N,'caseload data'!$D:$D,"PO",'caseload data'!$A:$A,$B$197,'caseload data'!$B:$B,"custody")</f>
        <v>0</v>
      </c>
      <c r="N197" s="94">
        <f>SUMIFS('caseload data'!O:O,'caseload data'!$D:$D,"PO",'caseload data'!$A:$A,$B$197,'caseload data'!$B:$B,"custody")</f>
        <v>0</v>
      </c>
      <c r="O197" s="94">
        <f>SUMIFS('caseload data'!P:P,'caseload data'!$D:$D,"PO",'caseload data'!$A:$A,$B$197,'caseload data'!$B:$B,"custody")</f>
        <v>0</v>
      </c>
      <c r="P197" s="94">
        <f>SUMIFS('caseload data'!Q:Q,'caseload data'!$D:$D,"PO",'caseload data'!$A:$A,$B$197,'caseload data'!$B:$B,"custody")</f>
        <v>0</v>
      </c>
      <c r="Q197" s="94">
        <f>SUMIFS('caseload data'!R:R,'caseload data'!$D:$D,"PO",'caseload data'!$A:$A,$B$197,'caseload data'!$B:$B,"custody")</f>
        <v>0</v>
      </c>
      <c r="R197" s="94">
        <f>SUMIFS('caseload data'!S:S,'caseload data'!$D:$D,"PO",'caseload data'!$A:$A,$B$197,'caseload data'!$B:$B,"custody")</f>
        <v>0</v>
      </c>
      <c r="S197" s="94">
        <f>SUMIFS('caseload data'!T:T,'caseload data'!$D:$D,"PO",'caseload data'!$A:$A,$B$197,'caseload data'!$B:$B,"custody")</f>
        <v>0</v>
      </c>
      <c r="T197" s="94">
        <f>SUMIFS('caseload data'!V:V,'caseload data'!D:D,"PO",'caseload data'!A:A,B197,'caseload data'!B:B,"custody")</f>
        <v>0</v>
      </c>
      <c r="U197" s="64"/>
      <c r="V197" s="64"/>
      <c r="W197" s="471" t="s">
        <v>27</v>
      </c>
      <c r="X197" s="128" t="s">
        <v>1002</v>
      </c>
      <c r="Y197" s="167" t="e">
        <f>SUM(D197)/SUM(D$197:D$201)</f>
        <v>#DIV/0!</v>
      </c>
      <c r="Z197" s="167" t="e">
        <f t="shared" ref="Z197:AO201" si="104">SUM(E197)/SUM(E$197:E$201)</f>
        <v>#DIV/0!</v>
      </c>
      <c r="AA197" s="167" t="e">
        <f t="shared" si="104"/>
        <v>#DIV/0!</v>
      </c>
      <c r="AB197" s="167" t="e">
        <f t="shared" si="104"/>
        <v>#DIV/0!</v>
      </c>
      <c r="AC197" s="167" t="e">
        <f t="shared" si="104"/>
        <v>#DIV/0!</v>
      </c>
      <c r="AD197" s="167" t="e">
        <f t="shared" si="104"/>
        <v>#DIV/0!</v>
      </c>
      <c r="AE197" s="167" t="e">
        <f t="shared" si="104"/>
        <v>#DIV/0!</v>
      </c>
      <c r="AF197" s="167" t="e">
        <f t="shared" si="104"/>
        <v>#DIV/0!</v>
      </c>
      <c r="AG197" s="167" t="e">
        <f t="shared" si="104"/>
        <v>#DIV/0!</v>
      </c>
      <c r="AH197" s="167" t="e">
        <f t="shared" si="104"/>
        <v>#DIV/0!</v>
      </c>
      <c r="AI197" s="167" t="e">
        <f t="shared" si="104"/>
        <v>#DIV/0!</v>
      </c>
      <c r="AJ197" s="167" t="e">
        <f t="shared" si="104"/>
        <v>#DIV/0!</v>
      </c>
      <c r="AK197" s="167" t="e">
        <f t="shared" si="104"/>
        <v>#DIV/0!</v>
      </c>
      <c r="AL197" s="167" t="e">
        <f t="shared" si="104"/>
        <v>#DIV/0!</v>
      </c>
      <c r="AM197" s="167" t="e">
        <f t="shared" si="104"/>
        <v>#DIV/0!</v>
      </c>
      <c r="AN197" s="167" t="e">
        <f t="shared" si="104"/>
        <v>#DIV/0!</v>
      </c>
      <c r="AO197" s="167" t="e">
        <f t="shared" si="104"/>
        <v>#DIV/0!</v>
      </c>
    </row>
    <row r="198" spans="2:41" x14ac:dyDescent="0.15">
      <c r="B198" s="472"/>
      <c r="C198" s="129" t="s">
        <v>1007</v>
      </c>
      <c r="D198" s="94">
        <f>SUMIFS('caseload data'!E:E,'caseload data'!$D:$D,"PSO",'caseload data'!$A:$A,B197,'caseload data'!$B:$B,"custody")</f>
        <v>0</v>
      </c>
      <c r="E198" s="94">
        <f>SUMIFS('caseload data'!F:F,'caseload data'!$D:$D,"PSO",'caseload data'!$A:$A,C197,'caseload data'!$B:$B,"custody")</f>
        <v>0</v>
      </c>
      <c r="F198" s="94">
        <f>SUMIFS('caseload data'!G:G,'caseload data'!$D:$D,"PSO",'caseload data'!$A:$A,D197,'caseload data'!$B:$B,"custody")</f>
        <v>0</v>
      </c>
      <c r="G198" s="94">
        <f>SUMIFS('caseload data'!H:H,'caseload data'!$D:$D,"PSO",'caseload data'!$A:$A,E197,'caseload data'!$B:$B,"custody")</f>
        <v>0</v>
      </c>
      <c r="H198" s="94">
        <f>SUMIFS('caseload data'!I:I,'caseload data'!$D:$D,"PSO",'caseload data'!$A:$A,F197,'caseload data'!$B:$B,"custody")</f>
        <v>0</v>
      </c>
      <c r="I198" s="94">
        <f>SUMIFS('caseload data'!J:J,'caseload data'!$D:$D,"PSO",'caseload data'!$A:$A,G197,'caseload data'!$B:$B,"custody")</f>
        <v>0</v>
      </c>
      <c r="J198" s="94">
        <f>SUMIFS('caseload data'!K:K,'caseload data'!$D:$D,"PSO",'caseload data'!$A:$A,H197,'caseload data'!$B:$B,"custody")</f>
        <v>0</v>
      </c>
      <c r="K198" s="94">
        <f>SUMIFS('caseload data'!L:L,'caseload data'!$D:$D,"PSO",'caseload data'!$A:$A,I197,'caseload data'!$B:$B,"custody")</f>
        <v>0</v>
      </c>
      <c r="L198" s="94">
        <f>SUMIFS('caseload data'!M:M,'caseload data'!$D:$D,"PSO",'caseload data'!$A:$A,J197,'caseload data'!$B:$B,"custody")</f>
        <v>0</v>
      </c>
      <c r="M198" s="94">
        <f>SUMIFS('caseload data'!N:N,'caseload data'!$D:$D,"PSO",'caseload data'!$A:$A,K197,'caseload data'!$B:$B,"custody")</f>
        <v>0</v>
      </c>
      <c r="N198" s="94">
        <f>SUMIFS('caseload data'!O:O,'caseload data'!$D:$D,"PSO",'caseload data'!$A:$A,L197,'caseload data'!$B:$B,"custody")</f>
        <v>0</v>
      </c>
      <c r="O198" s="94">
        <f>SUMIFS('caseload data'!P:P,'caseload data'!$D:$D,"PSO",'caseload data'!$A:$A,M197,'caseload data'!$B:$B,"custody")</f>
        <v>0</v>
      </c>
      <c r="P198" s="94">
        <f>SUMIFS('caseload data'!Q:Q,'caseload data'!$D:$D,"PSO",'caseload data'!$A:$A,N197,'caseload data'!$B:$B,"custody")</f>
        <v>0</v>
      </c>
      <c r="Q198" s="94">
        <f>SUMIFS('caseload data'!R:R,'caseload data'!$D:$D,"PSO",'caseload data'!$A:$A,O197,'caseload data'!$B:$B,"custody")</f>
        <v>0</v>
      </c>
      <c r="R198" s="94">
        <f>SUMIFS('caseload data'!S:S,'caseload data'!$D:$D,"PSO",'caseload data'!$A:$A,P197,'caseload data'!$B:$B,"custody")</f>
        <v>0</v>
      </c>
      <c r="S198" s="94">
        <f>SUMIFS('caseload data'!T:T,'caseload data'!$D:$D,"PSO",'caseload data'!$A:$A,Q197,'caseload data'!$B:$B,"custody")</f>
        <v>0</v>
      </c>
      <c r="T198" s="94">
        <f>SUMIFS('caseload data'!V:V,'caseload data'!D:D,"PSO",'caseload data'!A:A,B197)</f>
        <v>0</v>
      </c>
      <c r="U198" s="64"/>
      <c r="V198" s="64"/>
      <c r="W198" s="472"/>
      <c r="X198" s="129" t="s">
        <v>1007</v>
      </c>
      <c r="Y198" s="167" t="e">
        <f t="shared" ref="Y198:Y201" si="105">SUM(D198)/SUM(D$197:D$201)</f>
        <v>#DIV/0!</v>
      </c>
      <c r="Z198" s="167" t="e">
        <f t="shared" si="104"/>
        <v>#DIV/0!</v>
      </c>
      <c r="AA198" s="167" t="e">
        <f t="shared" si="104"/>
        <v>#DIV/0!</v>
      </c>
      <c r="AB198" s="167" t="e">
        <f t="shared" si="104"/>
        <v>#DIV/0!</v>
      </c>
      <c r="AC198" s="167" t="e">
        <f t="shared" si="104"/>
        <v>#DIV/0!</v>
      </c>
      <c r="AD198" s="167" t="e">
        <f t="shared" si="104"/>
        <v>#DIV/0!</v>
      </c>
      <c r="AE198" s="167" t="e">
        <f t="shared" si="104"/>
        <v>#DIV/0!</v>
      </c>
      <c r="AF198" s="167" t="e">
        <f t="shared" si="104"/>
        <v>#DIV/0!</v>
      </c>
      <c r="AG198" s="167" t="e">
        <f t="shared" si="104"/>
        <v>#DIV/0!</v>
      </c>
      <c r="AH198" s="167" t="e">
        <f t="shared" si="104"/>
        <v>#DIV/0!</v>
      </c>
      <c r="AI198" s="167" t="e">
        <f t="shared" si="104"/>
        <v>#DIV/0!</v>
      </c>
      <c r="AJ198" s="167" t="e">
        <f t="shared" si="104"/>
        <v>#DIV/0!</v>
      </c>
      <c r="AK198" s="167" t="e">
        <f t="shared" si="104"/>
        <v>#DIV/0!</v>
      </c>
      <c r="AL198" s="167" t="e">
        <f t="shared" si="104"/>
        <v>#DIV/0!</v>
      </c>
      <c r="AM198" s="167" t="e">
        <f t="shared" si="104"/>
        <v>#DIV/0!</v>
      </c>
      <c r="AN198" s="167" t="e">
        <f t="shared" si="104"/>
        <v>#DIV/0!</v>
      </c>
      <c r="AO198" s="167" t="e">
        <f t="shared" si="104"/>
        <v>#DIV/0!</v>
      </c>
    </row>
    <row r="199" spans="2:41" x14ac:dyDescent="0.15">
      <c r="B199" s="472"/>
      <c r="C199" s="129" t="s">
        <v>1008</v>
      </c>
      <c r="D199" s="94">
        <f>SUMIFS('caseload data'!E:E,'caseload data'!$D:$D,"TPO",'caseload data'!$A:$A,B197)</f>
        <v>0</v>
      </c>
      <c r="E199" s="94">
        <f>SUMIFS('caseload data'!F:F,'caseload data'!$D:$D,"TPO",'caseload data'!$A:$A,C197)</f>
        <v>0</v>
      </c>
      <c r="F199" s="94">
        <f>SUMIFS('caseload data'!G:G,'caseload data'!$D:$D,"TPO",'caseload data'!$A:$A,D197)</f>
        <v>0</v>
      </c>
      <c r="G199" s="94">
        <f>SUMIFS('caseload data'!H:H,'caseload data'!$D:$D,"TPO",'caseload data'!$A:$A,E197)</f>
        <v>0</v>
      </c>
      <c r="H199" s="94">
        <f>SUMIFS('caseload data'!I:I,'caseload data'!$D:$D,"TPO",'caseload data'!$A:$A,F197)</f>
        <v>0</v>
      </c>
      <c r="I199" s="94">
        <f>SUMIFS('caseload data'!J:J,'caseload data'!$D:$D,"TPO",'caseload data'!$A:$A,G197)</f>
        <v>0</v>
      </c>
      <c r="J199" s="94">
        <f>SUMIFS('caseload data'!K:K,'caseload data'!$D:$D,"TPO",'caseload data'!$A:$A,H197)</f>
        <v>0</v>
      </c>
      <c r="K199" s="94">
        <f>SUMIFS('caseload data'!L:L,'caseload data'!$D:$D,"TPO",'caseload data'!$A:$A,I197)</f>
        <v>0</v>
      </c>
      <c r="L199" s="94">
        <f>SUMIFS('caseload data'!M:M,'caseload data'!$D:$D,"TPO",'caseload data'!$A:$A,J197)</f>
        <v>0</v>
      </c>
      <c r="M199" s="94">
        <f>SUMIFS('caseload data'!N:N,'caseload data'!$D:$D,"TPO",'caseload data'!$A:$A,K197)</f>
        <v>0</v>
      </c>
      <c r="N199" s="94">
        <f>SUMIFS('caseload data'!O:O,'caseload data'!$D:$D,"TPO",'caseload data'!$A:$A,L197)</f>
        <v>0</v>
      </c>
      <c r="O199" s="94">
        <f>SUMIFS('caseload data'!P:P,'caseload data'!$D:$D,"TPO",'caseload data'!$A:$A,M197)</f>
        <v>0</v>
      </c>
      <c r="P199" s="94">
        <f>SUMIFS('caseload data'!Q:Q,'caseload data'!$D:$D,"TPO",'caseload data'!$A:$A,N197)</f>
        <v>0</v>
      </c>
      <c r="Q199" s="94">
        <f>SUMIFS('caseload data'!R:R,'caseload data'!$D:$D,"TPO",'caseload data'!$A:$A,O197)</f>
        <v>0</v>
      </c>
      <c r="R199" s="94">
        <f>SUMIFS('caseload data'!S:S,'caseload data'!$D:$D,"TPO",'caseload data'!$A:$A,P197)</f>
        <v>0</v>
      </c>
      <c r="S199" s="94">
        <f>SUMIFS('caseload data'!T:T,'caseload data'!$D:$D,"TPO",'caseload data'!$A:$A,Q197)</f>
        <v>0</v>
      </c>
      <c r="T199" s="94">
        <f>SUMIFS('caseload data'!V:V,'caseload data'!D:D,"TPO",'caseload data'!A:A,B197,'caseload data'!B:B,"custody")</f>
        <v>0</v>
      </c>
      <c r="U199" s="64"/>
      <c r="V199" s="64"/>
      <c r="W199" s="472"/>
      <c r="X199" s="129" t="s">
        <v>1008</v>
      </c>
      <c r="Y199" s="167" t="e">
        <f t="shared" si="105"/>
        <v>#DIV/0!</v>
      </c>
      <c r="Z199" s="167" t="e">
        <f t="shared" si="104"/>
        <v>#DIV/0!</v>
      </c>
      <c r="AA199" s="167" t="e">
        <f t="shared" si="104"/>
        <v>#DIV/0!</v>
      </c>
      <c r="AB199" s="167" t="e">
        <f t="shared" si="104"/>
        <v>#DIV/0!</v>
      </c>
      <c r="AC199" s="167" t="e">
        <f t="shared" si="104"/>
        <v>#DIV/0!</v>
      </c>
      <c r="AD199" s="167" t="e">
        <f t="shared" si="104"/>
        <v>#DIV/0!</v>
      </c>
      <c r="AE199" s="167" t="e">
        <f t="shared" si="104"/>
        <v>#DIV/0!</v>
      </c>
      <c r="AF199" s="167" t="e">
        <f t="shared" si="104"/>
        <v>#DIV/0!</v>
      </c>
      <c r="AG199" s="167" t="e">
        <f t="shared" si="104"/>
        <v>#DIV/0!</v>
      </c>
      <c r="AH199" s="167" t="e">
        <f t="shared" si="104"/>
        <v>#DIV/0!</v>
      </c>
      <c r="AI199" s="167" t="e">
        <f t="shared" si="104"/>
        <v>#DIV/0!</v>
      </c>
      <c r="AJ199" s="167" t="e">
        <f t="shared" si="104"/>
        <v>#DIV/0!</v>
      </c>
      <c r="AK199" s="167" t="e">
        <f t="shared" si="104"/>
        <v>#DIV/0!</v>
      </c>
      <c r="AL199" s="167" t="e">
        <f t="shared" si="104"/>
        <v>#DIV/0!</v>
      </c>
      <c r="AM199" s="167" t="e">
        <f t="shared" si="104"/>
        <v>#DIV/0!</v>
      </c>
      <c r="AN199" s="167" t="e">
        <f t="shared" si="104"/>
        <v>#DIV/0!</v>
      </c>
      <c r="AO199" s="167" t="e">
        <f t="shared" si="104"/>
        <v>#DIV/0!</v>
      </c>
    </row>
    <row r="200" spans="2:41" x14ac:dyDescent="0.15">
      <c r="B200" s="472"/>
      <c r="C200" s="129" t="s">
        <v>1009</v>
      </c>
      <c r="D200" s="94">
        <f>SUMIFS('caseload data'!E:E,'caseload data'!$D:$D,"SPO",'caseload data'!$A:$A,"West Midlands Region",'caseload data'!$B:$B,"custody")</f>
        <v>0</v>
      </c>
      <c r="E200" s="94">
        <f>SUMIFS('caseload data'!F:F,'caseload data'!$D:$D,"SPO",'caseload data'!$A:$A,"West Midlands Region",'caseload data'!$B:$B,"custody")</f>
        <v>0</v>
      </c>
      <c r="F200" s="94">
        <f>SUMIFS('caseload data'!G:G,'caseload data'!$D:$D,"SPO",'caseload data'!$A:$A,"West Midlands Region",'caseload data'!$B:$B,"custody")</f>
        <v>0</v>
      </c>
      <c r="G200" s="94">
        <f>SUMIFS('caseload data'!H:H,'caseload data'!$D:$D,"SPO",'caseload data'!$A:$A,"West Midlands Region",'caseload data'!$B:$B,"custody")</f>
        <v>0</v>
      </c>
      <c r="H200" s="94">
        <f>SUMIFS('caseload data'!I:I,'caseload data'!$D:$D,"SPO",'caseload data'!$A:$A,"West Midlands Region",'caseload data'!$B:$B,"custody")</f>
        <v>0</v>
      </c>
      <c r="I200" s="94">
        <f>SUMIFS('caseload data'!J:J,'caseload data'!$D:$D,"SPO",'caseload data'!$A:$A,"West Midlands Region",'caseload data'!$B:$B,"custody")</f>
        <v>0</v>
      </c>
      <c r="J200" s="94">
        <f>SUMIFS('caseload data'!K:K,'caseload data'!$D:$D,"SPO",'caseload data'!$A:$A,"West Midlands Region",'caseload data'!$B:$B,"custody")</f>
        <v>0</v>
      </c>
      <c r="K200" s="94">
        <f>SUMIFS('caseload data'!L:L,'caseload data'!$D:$D,"SPO",'caseload data'!$A:$A,"West Midlands Region",'caseload data'!$B:$B,"custody")</f>
        <v>0</v>
      </c>
      <c r="L200" s="94">
        <f>SUMIFS('caseload data'!M:M,'caseload data'!$D:$D,"SPO",'caseload data'!$A:$A,"West Midlands Region",'caseload data'!$B:$B,"custody")</f>
        <v>0</v>
      </c>
      <c r="M200" s="94">
        <f>SUMIFS('caseload data'!N:N,'caseload data'!$D:$D,"SPO",'caseload data'!$A:$A,"West Midlands Region",'caseload data'!$B:$B,"custody")</f>
        <v>0</v>
      </c>
      <c r="N200" s="94">
        <f>SUMIFS('caseload data'!O:O,'caseload data'!$D:$D,"SPO",'caseload data'!$A:$A,"West Midlands Region",'caseload data'!$B:$B,"custody")</f>
        <v>0</v>
      </c>
      <c r="O200" s="94">
        <f>SUMIFS('caseload data'!P:P,'caseload data'!$D:$D,"SPO",'caseload data'!$A:$A,"West Midlands Region",'caseload data'!$B:$B,"custody")</f>
        <v>0</v>
      </c>
      <c r="P200" s="94">
        <f>SUMIFS('caseload data'!Q:Q,'caseload data'!$D:$D,"SPO",'caseload data'!$A:$A,"West Midlands Region",'caseload data'!$B:$B,"custody")</f>
        <v>0</v>
      </c>
      <c r="Q200" s="94">
        <f>SUMIFS('caseload data'!R:R,'caseload data'!$D:$D,"SPO",'caseload data'!$A:$A,"West Midlands Region",'caseload data'!$B:$B,"custody")</f>
        <v>0</v>
      </c>
      <c r="R200" s="94">
        <f>SUMIFS('caseload data'!S:S,'caseload data'!$D:$D,"SPO",'caseload data'!$A:$A,"West Midlands Region",'caseload data'!$B:$B,"custody")</f>
        <v>0</v>
      </c>
      <c r="S200" s="94">
        <f>SUMIFS('caseload data'!T:T,'caseload data'!$D:$D,"SPO",'caseload data'!$A:$A,"West Midlands Region",'caseload data'!$B:$B,"custody")</f>
        <v>0</v>
      </c>
      <c r="T200" s="94">
        <f>SUMIFS('caseload data'!V:V,'caseload data'!$D:$D,"SPO",'caseload data'!$A:$A,"West Midlands Region",'caseload data'!$B:$B,"custody")</f>
        <v>0</v>
      </c>
      <c r="U200" s="64"/>
      <c r="V200" s="64"/>
      <c r="W200" s="472"/>
      <c r="X200" s="129" t="s">
        <v>1009</v>
      </c>
      <c r="Y200" s="167" t="e">
        <f t="shared" si="105"/>
        <v>#DIV/0!</v>
      </c>
      <c r="Z200" s="167" t="e">
        <f t="shared" si="104"/>
        <v>#DIV/0!</v>
      </c>
      <c r="AA200" s="167" t="e">
        <f t="shared" si="104"/>
        <v>#DIV/0!</v>
      </c>
      <c r="AB200" s="167" t="e">
        <f t="shared" si="104"/>
        <v>#DIV/0!</v>
      </c>
      <c r="AC200" s="167" t="e">
        <f t="shared" si="104"/>
        <v>#DIV/0!</v>
      </c>
      <c r="AD200" s="167" t="e">
        <f t="shared" si="104"/>
        <v>#DIV/0!</v>
      </c>
      <c r="AE200" s="167" t="e">
        <f t="shared" si="104"/>
        <v>#DIV/0!</v>
      </c>
      <c r="AF200" s="167" t="e">
        <f t="shared" si="104"/>
        <v>#DIV/0!</v>
      </c>
      <c r="AG200" s="167" t="e">
        <f t="shared" si="104"/>
        <v>#DIV/0!</v>
      </c>
      <c r="AH200" s="167" t="e">
        <f t="shared" si="104"/>
        <v>#DIV/0!</v>
      </c>
      <c r="AI200" s="167" t="e">
        <f t="shared" si="104"/>
        <v>#DIV/0!</v>
      </c>
      <c r="AJ200" s="167" t="e">
        <f t="shared" si="104"/>
        <v>#DIV/0!</v>
      </c>
      <c r="AK200" s="167" t="e">
        <f t="shared" si="104"/>
        <v>#DIV/0!</v>
      </c>
      <c r="AL200" s="167" t="e">
        <f t="shared" si="104"/>
        <v>#DIV/0!</v>
      </c>
      <c r="AM200" s="167" t="e">
        <f t="shared" si="104"/>
        <v>#DIV/0!</v>
      </c>
      <c r="AN200" s="167" t="e">
        <f t="shared" si="104"/>
        <v>#DIV/0!</v>
      </c>
      <c r="AO200" s="167" t="e">
        <f t="shared" si="104"/>
        <v>#DIV/0!</v>
      </c>
    </row>
    <row r="201" spans="2:41" x14ac:dyDescent="0.15">
      <c r="B201" s="473"/>
      <c r="C201" s="130" t="s">
        <v>1344</v>
      </c>
      <c r="D201" s="94">
        <f>SUMIFS('caseload data'!E:E,'caseload data'!$D:$D,"DMY",'caseload data'!$A:$A,"West Midlands Region",'caseload data'!$B:$B,"custody")</f>
        <v>0</v>
      </c>
      <c r="E201" s="94">
        <f>SUMIFS('caseload data'!F:F,'caseload data'!$D:$D,"DMY",'caseload data'!$A:$A,"West Midlands Region",'caseload data'!$B:$B,"custody")</f>
        <v>0</v>
      </c>
      <c r="F201" s="94">
        <f>SUMIFS('caseload data'!G:G,'caseload data'!$D:$D,"DMY",'caseload data'!$A:$A,"West Midlands Region",'caseload data'!$B:$B,"custody")</f>
        <v>0</v>
      </c>
      <c r="G201" s="94">
        <f>SUMIFS('caseload data'!H:H,'caseload data'!$D:$D,"DMY",'caseload data'!$A:$A,"West Midlands Region",'caseload data'!$B:$B,"custody")</f>
        <v>0</v>
      </c>
      <c r="H201" s="94">
        <f>SUMIFS('caseload data'!I:I,'caseload data'!$D:$D,"DMY",'caseload data'!$A:$A,"West Midlands Region",'caseload data'!$B:$B,"custody")</f>
        <v>0</v>
      </c>
      <c r="I201" s="94">
        <f>SUMIFS('caseload data'!J:J,'caseload data'!$D:$D,"DMY",'caseload data'!$A:$A,"West Midlands Region",'caseload data'!$B:$B,"custody")</f>
        <v>0</v>
      </c>
      <c r="J201" s="94">
        <f>SUMIFS('caseload data'!K:K,'caseload data'!$D:$D,"DMY",'caseload data'!$A:$A,"West Midlands Region",'caseload data'!$B:$B,"custody")</f>
        <v>0</v>
      </c>
      <c r="K201" s="94">
        <f>SUMIFS('caseload data'!L:L,'caseload data'!$D:$D,"DMY",'caseload data'!$A:$A,"West Midlands Region",'caseload data'!$B:$B,"custody")</f>
        <v>0</v>
      </c>
      <c r="L201" s="94">
        <f>SUMIFS('caseload data'!M:M,'caseload data'!$D:$D,"DMY",'caseload data'!$A:$A,"West Midlands Region",'caseload data'!$B:$B,"custody")</f>
        <v>0</v>
      </c>
      <c r="M201" s="94">
        <f>SUMIFS('caseload data'!N:N,'caseload data'!$D:$D,"DMY",'caseload data'!$A:$A,"West Midlands Region",'caseload data'!$B:$B,"custody")</f>
        <v>0</v>
      </c>
      <c r="N201" s="94">
        <f>SUMIFS('caseload data'!O:O,'caseload data'!$D:$D,"DMY",'caseload data'!$A:$A,"West Midlands Region",'caseload data'!$B:$B,"custody")</f>
        <v>0</v>
      </c>
      <c r="O201" s="94">
        <f>SUMIFS('caseload data'!P:P,'caseload data'!$D:$D,"DMY",'caseload data'!$A:$A,"West Midlands Region",'caseload data'!$B:$B,"custody")</f>
        <v>0</v>
      </c>
      <c r="P201" s="94">
        <f>SUMIFS('caseload data'!Q:Q,'caseload data'!$D:$D,"DMY",'caseload data'!$A:$A,"West Midlands Region",'caseload data'!$B:$B,"custody")</f>
        <v>0</v>
      </c>
      <c r="Q201" s="94">
        <f>SUMIFS('caseload data'!R:R,'caseload data'!$D:$D,"DMY",'caseload data'!$A:$A,"West Midlands Region",'caseload data'!$B:$B,"custody")</f>
        <v>0</v>
      </c>
      <c r="R201" s="94">
        <f>SUMIFS('caseload data'!S:S,'caseload data'!$D:$D,"DMY",'caseload data'!$A:$A,"West Midlands Region",'caseload data'!$B:$B,"custody")</f>
        <v>0</v>
      </c>
      <c r="S201" s="94">
        <f>SUMIFS('caseload data'!T:T,'caseload data'!$D:$D,"DMY",'caseload data'!$A:$A,"West Midlands Region",'caseload data'!$B:$B,"custody")</f>
        <v>0</v>
      </c>
      <c r="T201" s="94">
        <f>SUMIFS('caseload data'!V:V,'caseload data'!$D:$D,"DMY",'caseload data'!$A:$A,"West Midlands Region",'caseload data'!$B:$B,"custody")</f>
        <v>0</v>
      </c>
      <c r="U201" s="64"/>
      <c r="V201" s="64"/>
      <c r="W201" s="473"/>
      <c r="X201" s="130" t="s">
        <v>1344</v>
      </c>
      <c r="Y201" s="167" t="e">
        <f t="shared" si="105"/>
        <v>#DIV/0!</v>
      </c>
      <c r="Z201" s="167" t="e">
        <f t="shared" si="104"/>
        <v>#DIV/0!</v>
      </c>
      <c r="AA201" s="167" t="e">
        <f t="shared" si="104"/>
        <v>#DIV/0!</v>
      </c>
      <c r="AB201" s="167" t="e">
        <f t="shared" si="104"/>
        <v>#DIV/0!</v>
      </c>
      <c r="AC201" s="167" t="e">
        <f t="shared" si="104"/>
        <v>#DIV/0!</v>
      </c>
      <c r="AD201" s="167" t="e">
        <f t="shared" si="104"/>
        <v>#DIV/0!</v>
      </c>
      <c r="AE201" s="167" t="e">
        <f t="shared" si="104"/>
        <v>#DIV/0!</v>
      </c>
      <c r="AF201" s="167" t="e">
        <f t="shared" si="104"/>
        <v>#DIV/0!</v>
      </c>
      <c r="AG201" s="167" t="e">
        <f t="shared" si="104"/>
        <v>#DIV/0!</v>
      </c>
      <c r="AH201" s="167" t="e">
        <f t="shared" si="104"/>
        <v>#DIV/0!</v>
      </c>
      <c r="AI201" s="167" t="e">
        <f t="shared" si="104"/>
        <v>#DIV/0!</v>
      </c>
      <c r="AJ201" s="167" t="e">
        <f t="shared" si="104"/>
        <v>#DIV/0!</v>
      </c>
      <c r="AK201" s="167" t="e">
        <f t="shared" si="104"/>
        <v>#DIV/0!</v>
      </c>
      <c r="AL201" s="167" t="e">
        <f t="shared" si="104"/>
        <v>#DIV/0!</v>
      </c>
      <c r="AM201" s="167" t="e">
        <f t="shared" si="104"/>
        <v>#DIV/0!</v>
      </c>
      <c r="AN201" s="167" t="e">
        <f t="shared" si="104"/>
        <v>#DIV/0!</v>
      </c>
      <c r="AO201" s="167" t="e">
        <f t="shared" si="104"/>
        <v>#DIV/0!</v>
      </c>
    </row>
    <row r="202" spans="2:41" x14ac:dyDescent="0.15">
      <c r="B202" s="471" t="s">
        <v>28</v>
      </c>
      <c r="C202" s="128" t="s">
        <v>1002</v>
      </c>
      <c r="D202" s="94">
        <f>SUMIFS('caseload data'!E:E,'caseload data'!$D:$D,"PO",'caseload data'!$A:$A,$B$202,'caseload data'!$B:$B,"custody")</f>
        <v>0</v>
      </c>
      <c r="E202" s="94">
        <f>SUMIFS('caseload data'!F:F,'caseload data'!$D:$D,"PO",'caseload data'!$A:$A,$B$202,'caseload data'!$B:$B,"custody")</f>
        <v>0</v>
      </c>
      <c r="F202" s="94">
        <f>SUMIFS('caseload data'!G:G,'caseload data'!$D:$D,"PO",'caseload data'!$A:$A,$B$202,'caseload data'!$B:$B,"custody")</f>
        <v>0</v>
      </c>
      <c r="G202" s="94">
        <f>SUMIFS('caseload data'!H:H,'caseload data'!$D:$D,"PO",'caseload data'!$A:$A,$B$202,'caseload data'!$B:$B,"custody")</f>
        <v>0</v>
      </c>
      <c r="H202" s="94">
        <f>SUMIFS('caseload data'!I:I,'caseload data'!$D:$D,"PO",'caseload data'!$A:$A,$B$202,'caseload data'!$B:$B,"custody")</f>
        <v>0</v>
      </c>
      <c r="I202" s="94">
        <f>SUMIFS('caseload data'!J:J,'caseload data'!$D:$D,"PO",'caseload data'!$A:$A,$B$202,'caseload data'!$B:$B,"custody")</f>
        <v>0</v>
      </c>
      <c r="J202" s="94">
        <f>SUMIFS('caseload data'!K:K,'caseload data'!$D:$D,"PO",'caseload data'!$A:$A,$B$202,'caseload data'!$B:$B,"custody")</f>
        <v>0</v>
      </c>
      <c r="K202" s="94">
        <f>SUMIFS('caseload data'!L:L,'caseload data'!$D:$D,"PO",'caseload data'!$A:$A,$B$202,'caseload data'!$B:$B,"custody")</f>
        <v>0</v>
      </c>
      <c r="L202" s="94">
        <f>SUMIFS('caseload data'!M:M,'caseload data'!$D:$D,"PO",'caseload data'!$A:$A,$B$202,'caseload data'!$B:$B,"custody")</f>
        <v>0</v>
      </c>
      <c r="M202" s="94">
        <f>SUMIFS('caseload data'!N:N,'caseload data'!$D:$D,"PO",'caseload data'!$A:$A,$B$202,'caseload data'!$B:$B,"custody")</f>
        <v>0</v>
      </c>
      <c r="N202" s="94">
        <f>SUMIFS('caseload data'!O:O,'caseload data'!$D:$D,"PO",'caseload data'!$A:$A,$B$202,'caseload data'!$B:$B,"custody")</f>
        <v>0</v>
      </c>
      <c r="O202" s="94">
        <f>SUMIFS('caseload data'!P:P,'caseload data'!$D:$D,"PO",'caseload data'!$A:$A,$B$202,'caseload data'!$B:$B,"custody")</f>
        <v>0</v>
      </c>
      <c r="P202" s="94">
        <f>SUMIFS('caseload data'!Q:Q,'caseload data'!$D:$D,"PO",'caseload data'!$A:$A,$B$202,'caseload data'!$B:$B,"custody")</f>
        <v>0</v>
      </c>
      <c r="Q202" s="94">
        <f>SUMIFS('caseload data'!R:R,'caseload data'!$D:$D,"PO",'caseload data'!$A:$A,$B$202,'caseload data'!$B:$B,"custody")</f>
        <v>0</v>
      </c>
      <c r="R202" s="94">
        <f>SUMIFS('caseload data'!S:S,'caseload data'!$D:$D,"PO",'caseload data'!$A:$A,$B$202,'caseload data'!$B:$B,"custody")</f>
        <v>0</v>
      </c>
      <c r="S202" s="94">
        <f>SUMIFS('caseload data'!T:T,'caseload data'!$D:$D,"PO",'caseload data'!$A:$A,$B$202,'caseload data'!$B:$B,"custody")</f>
        <v>0</v>
      </c>
      <c r="T202" s="94">
        <f>SUMIFS('caseload data'!V:V,'caseload data'!D:D,"PO",'caseload data'!A:A,B202,'caseload data'!B:B,"custody")</f>
        <v>0</v>
      </c>
      <c r="U202" s="64"/>
      <c r="V202" s="64"/>
      <c r="W202" s="471" t="s">
        <v>28</v>
      </c>
      <c r="X202" s="128" t="s">
        <v>1002</v>
      </c>
      <c r="Y202" s="167" t="e">
        <f>SUM(D202)/SUM(D$202:D$206)</f>
        <v>#DIV/0!</v>
      </c>
      <c r="Z202" s="167" t="e">
        <f t="shared" ref="Z202:AO206" si="106">SUM(E202)/SUM(E$202:E$206)</f>
        <v>#DIV/0!</v>
      </c>
      <c r="AA202" s="167" t="e">
        <f t="shared" si="106"/>
        <v>#DIV/0!</v>
      </c>
      <c r="AB202" s="167" t="e">
        <f t="shared" si="106"/>
        <v>#DIV/0!</v>
      </c>
      <c r="AC202" s="167" t="e">
        <f t="shared" si="106"/>
        <v>#DIV/0!</v>
      </c>
      <c r="AD202" s="167" t="e">
        <f t="shared" si="106"/>
        <v>#DIV/0!</v>
      </c>
      <c r="AE202" s="167" t="e">
        <f t="shared" si="106"/>
        <v>#DIV/0!</v>
      </c>
      <c r="AF202" s="167" t="e">
        <f t="shared" si="106"/>
        <v>#DIV/0!</v>
      </c>
      <c r="AG202" s="167" t="e">
        <f t="shared" si="106"/>
        <v>#DIV/0!</v>
      </c>
      <c r="AH202" s="167" t="e">
        <f t="shared" si="106"/>
        <v>#DIV/0!</v>
      </c>
      <c r="AI202" s="167" t="e">
        <f t="shared" si="106"/>
        <v>#DIV/0!</v>
      </c>
      <c r="AJ202" s="167" t="e">
        <f t="shared" si="106"/>
        <v>#DIV/0!</v>
      </c>
      <c r="AK202" s="167" t="e">
        <f t="shared" si="106"/>
        <v>#DIV/0!</v>
      </c>
      <c r="AL202" s="167" t="e">
        <f t="shared" si="106"/>
        <v>#DIV/0!</v>
      </c>
      <c r="AM202" s="167" t="e">
        <f t="shared" si="106"/>
        <v>#DIV/0!</v>
      </c>
      <c r="AN202" s="167" t="e">
        <f t="shared" si="106"/>
        <v>#DIV/0!</v>
      </c>
      <c r="AO202" s="167" t="e">
        <f t="shared" si="106"/>
        <v>#DIV/0!</v>
      </c>
    </row>
    <row r="203" spans="2:41" x14ac:dyDescent="0.15">
      <c r="B203" s="472"/>
      <c r="C203" s="129" t="s">
        <v>1007</v>
      </c>
      <c r="D203" s="94">
        <f>SUMIFS('caseload data'!E:E,'caseload data'!$D:$D,"PSO",'caseload data'!$A:$A,B202,'caseload data'!$B:$B,"custody")</f>
        <v>0</v>
      </c>
      <c r="E203" s="94">
        <f>SUMIFS('caseload data'!F:F,'caseload data'!$D:$D,"PSO",'caseload data'!$A:$A,C202,'caseload data'!$B:$B,"custody")</f>
        <v>0</v>
      </c>
      <c r="F203" s="94">
        <f>SUMIFS('caseload data'!G:G,'caseload data'!$D:$D,"PSO",'caseload data'!$A:$A,D202,'caseload data'!$B:$B,"custody")</f>
        <v>0</v>
      </c>
      <c r="G203" s="94">
        <f>SUMIFS('caseload data'!H:H,'caseload data'!$D:$D,"PSO",'caseload data'!$A:$A,E202,'caseload data'!$B:$B,"custody")</f>
        <v>0</v>
      </c>
      <c r="H203" s="94">
        <f>SUMIFS('caseload data'!I:I,'caseload data'!$D:$D,"PSO",'caseload data'!$A:$A,F202,'caseload data'!$B:$B,"custody")</f>
        <v>0</v>
      </c>
      <c r="I203" s="94">
        <f>SUMIFS('caseload data'!J:J,'caseload data'!$D:$D,"PSO",'caseload data'!$A:$A,G202,'caseload data'!$B:$B,"custody")</f>
        <v>0</v>
      </c>
      <c r="J203" s="94">
        <f>SUMIFS('caseload data'!K:K,'caseload data'!$D:$D,"PSO",'caseload data'!$A:$A,H202,'caseload data'!$B:$B,"custody")</f>
        <v>0</v>
      </c>
      <c r="K203" s="94">
        <f>SUMIFS('caseload data'!L:L,'caseload data'!$D:$D,"PSO",'caseload data'!$A:$A,I202,'caseload data'!$B:$B,"custody")</f>
        <v>0</v>
      </c>
      <c r="L203" s="94">
        <f>SUMIFS('caseload data'!M:M,'caseload data'!$D:$D,"PSO",'caseload data'!$A:$A,J202,'caseload data'!$B:$B,"custody")</f>
        <v>0</v>
      </c>
      <c r="M203" s="94">
        <f>SUMIFS('caseload data'!N:N,'caseload data'!$D:$D,"PSO",'caseload data'!$A:$A,K202,'caseload data'!$B:$B,"custody")</f>
        <v>0</v>
      </c>
      <c r="N203" s="94">
        <f>SUMIFS('caseload data'!O:O,'caseload data'!$D:$D,"PSO",'caseload data'!$A:$A,L202,'caseload data'!$B:$B,"custody")</f>
        <v>0</v>
      </c>
      <c r="O203" s="94">
        <f>SUMIFS('caseload data'!P:P,'caseload data'!$D:$D,"PSO",'caseload data'!$A:$A,M202,'caseload data'!$B:$B,"custody")</f>
        <v>0</v>
      </c>
      <c r="P203" s="94">
        <f>SUMIFS('caseload data'!Q:Q,'caseload data'!$D:$D,"PSO",'caseload data'!$A:$A,N202,'caseload data'!$B:$B,"custody")</f>
        <v>0</v>
      </c>
      <c r="Q203" s="94">
        <f>SUMIFS('caseload data'!R:R,'caseload data'!$D:$D,"PSO",'caseload data'!$A:$A,O202,'caseload data'!$B:$B,"custody")</f>
        <v>0</v>
      </c>
      <c r="R203" s="94">
        <f>SUMIFS('caseload data'!S:S,'caseload data'!$D:$D,"PSO",'caseload data'!$A:$A,P202,'caseload data'!$B:$B,"custody")</f>
        <v>0</v>
      </c>
      <c r="S203" s="94">
        <f>SUMIFS('caseload data'!T:T,'caseload data'!$D:$D,"PSO",'caseload data'!$A:$A,Q202,'caseload data'!$B:$B,"custody")</f>
        <v>0</v>
      </c>
      <c r="T203" s="94">
        <f>SUMIFS('caseload data'!V:V,'caseload data'!D:D,"PSO",'caseload data'!A:A,B202,'caseload data'!B:B,"custody")</f>
        <v>0</v>
      </c>
      <c r="U203" s="64"/>
      <c r="V203" s="64"/>
      <c r="W203" s="472"/>
      <c r="X203" s="129" t="s">
        <v>1007</v>
      </c>
      <c r="Y203" s="167" t="e">
        <f t="shared" ref="Y203:Y206" si="107">SUM(D203)/SUM(D$202:D$206)</f>
        <v>#DIV/0!</v>
      </c>
      <c r="Z203" s="167" t="e">
        <f t="shared" si="106"/>
        <v>#DIV/0!</v>
      </c>
      <c r="AA203" s="167" t="e">
        <f t="shared" si="106"/>
        <v>#DIV/0!</v>
      </c>
      <c r="AB203" s="167" t="e">
        <f t="shared" si="106"/>
        <v>#DIV/0!</v>
      </c>
      <c r="AC203" s="167" t="e">
        <f t="shared" si="106"/>
        <v>#DIV/0!</v>
      </c>
      <c r="AD203" s="167" t="e">
        <f t="shared" si="106"/>
        <v>#DIV/0!</v>
      </c>
      <c r="AE203" s="167" t="e">
        <f t="shared" si="106"/>
        <v>#DIV/0!</v>
      </c>
      <c r="AF203" s="167" t="e">
        <f t="shared" si="106"/>
        <v>#DIV/0!</v>
      </c>
      <c r="AG203" s="167" t="e">
        <f t="shared" si="106"/>
        <v>#DIV/0!</v>
      </c>
      <c r="AH203" s="167" t="e">
        <f t="shared" si="106"/>
        <v>#DIV/0!</v>
      </c>
      <c r="AI203" s="167" t="e">
        <f t="shared" si="106"/>
        <v>#DIV/0!</v>
      </c>
      <c r="AJ203" s="167" t="e">
        <f t="shared" si="106"/>
        <v>#DIV/0!</v>
      </c>
      <c r="AK203" s="167" t="e">
        <f t="shared" si="106"/>
        <v>#DIV/0!</v>
      </c>
      <c r="AL203" s="167" t="e">
        <f t="shared" si="106"/>
        <v>#DIV/0!</v>
      </c>
      <c r="AM203" s="167" t="e">
        <f t="shared" si="106"/>
        <v>#DIV/0!</v>
      </c>
      <c r="AN203" s="167" t="e">
        <f t="shared" si="106"/>
        <v>#DIV/0!</v>
      </c>
      <c r="AO203" s="167" t="e">
        <f t="shared" si="106"/>
        <v>#DIV/0!</v>
      </c>
    </row>
    <row r="204" spans="2:41" x14ac:dyDescent="0.15">
      <c r="B204" s="472"/>
      <c r="C204" s="129" t="s">
        <v>1008</v>
      </c>
      <c r="D204" s="94">
        <f>SUMIFS('caseload data'!E:E,'caseload data'!$D:$D,"TPO",'caseload data'!$A:$A,B202,'caseload data'!$B:$B,"custody")</f>
        <v>0</v>
      </c>
      <c r="E204" s="94">
        <f>SUMIFS('caseload data'!F:F,'caseload data'!$D:$D,"TPO",'caseload data'!$A:$A,C202,'caseload data'!$B:$B,"custody")</f>
        <v>0</v>
      </c>
      <c r="F204" s="94">
        <f>SUMIFS('caseload data'!G:G,'caseload data'!$D:$D,"TPO",'caseload data'!$A:$A,D202,'caseload data'!$B:$B,"custody")</f>
        <v>0</v>
      </c>
      <c r="G204" s="94">
        <f>SUMIFS('caseload data'!H:H,'caseload data'!$D:$D,"TPO",'caseload data'!$A:$A,E202,'caseload data'!$B:$B,"custody")</f>
        <v>0</v>
      </c>
      <c r="H204" s="94">
        <f>SUMIFS('caseload data'!I:I,'caseload data'!$D:$D,"TPO",'caseload data'!$A:$A,F202,'caseload data'!$B:$B,"custody")</f>
        <v>0</v>
      </c>
      <c r="I204" s="94">
        <f>SUMIFS('caseload data'!J:J,'caseload data'!$D:$D,"TPO",'caseload data'!$A:$A,G202,'caseload data'!$B:$B,"custody")</f>
        <v>0</v>
      </c>
      <c r="J204" s="94">
        <f>SUMIFS('caseload data'!K:K,'caseload data'!$D:$D,"TPO",'caseload data'!$A:$A,H202,'caseload data'!$B:$B,"custody")</f>
        <v>0</v>
      </c>
      <c r="K204" s="94">
        <f>SUMIFS('caseload data'!L:L,'caseload data'!$D:$D,"TPO",'caseload data'!$A:$A,I202,'caseload data'!$B:$B,"custody")</f>
        <v>0</v>
      </c>
      <c r="L204" s="94">
        <f>SUMIFS('caseload data'!M:M,'caseload data'!$D:$D,"TPO",'caseload data'!$A:$A,J202,'caseload data'!$B:$B,"custody")</f>
        <v>0</v>
      </c>
      <c r="M204" s="94">
        <f>SUMIFS('caseload data'!N:N,'caseload data'!$D:$D,"TPO",'caseload data'!$A:$A,K202,'caseload data'!$B:$B,"custody")</f>
        <v>0</v>
      </c>
      <c r="N204" s="94">
        <f>SUMIFS('caseload data'!O:O,'caseload data'!$D:$D,"TPO",'caseload data'!$A:$A,L202,'caseload data'!$B:$B,"custody")</f>
        <v>0</v>
      </c>
      <c r="O204" s="94">
        <f>SUMIFS('caseload data'!P:P,'caseload data'!$D:$D,"TPO",'caseload data'!$A:$A,M202,'caseload data'!$B:$B,"custody")</f>
        <v>0</v>
      </c>
      <c r="P204" s="94">
        <f>SUMIFS('caseload data'!Q:Q,'caseload data'!$D:$D,"TPO",'caseload data'!$A:$A,N202,'caseload data'!$B:$B,"custody")</f>
        <v>0</v>
      </c>
      <c r="Q204" s="94">
        <f>SUMIFS('caseload data'!R:R,'caseload data'!$D:$D,"TPO",'caseload data'!$A:$A,O202,'caseload data'!$B:$B,"custody")</f>
        <v>0</v>
      </c>
      <c r="R204" s="94">
        <f>SUMIFS('caseload data'!S:S,'caseload data'!$D:$D,"TPO",'caseload data'!$A:$A,P202,'caseload data'!$B:$B,"custody")</f>
        <v>0</v>
      </c>
      <c r="S204" s="94">
        <f>SUMIFS('caseload data'!T:T,'caseload data'!$D:$D,"TPO",'caseload data'!$A:$A,Q202,'caseload data'!$B:$B,"custody")</f>
        <v>0</v>
      </c>
      <c r="T204" s="94">
        <f>SUMIFS('caseload data'!V:V,'caseload data'!D:D,"TPO",'caseload data'!A:A,B202,'caseload data'!B:B,"custody")</f>
        <v>0</v>
      </c>
      <c r="U204" s="64"/>
      <c r="V204" s="64"/>
      <c r="W204" s="472"/>
      <c r="X204" s="129" t="s">
        <v>1008</v>
      </c>
      <c r="Y204" s="167" t="e">
        <f t="shared" si="107"/>
        <v>#DIV/0!</v>
      </c>
      <c r="Z204" s="167" t="e">
        <f t="shared" si="106"/>
        <v>#DIV/0!</v>
      </c>
      <c r="AA204" s="167" t="e">
        <f t="shared" si="106"/>
        <v>#DIV/0!</v>
      </c>
      <c r="AB204" s="167" t="e">
        <f t="shared" si="106"/>
        <v>#DIV/0!</v>
      </c>
      <c r="AC204" s="167" t="e">
        <f t="shared" si="106"/>
        <v>#DIV/0!</v>
      </c>
      <c r="AD204" s="167" t="e">
        <f t="shared" si="106"/>
        <v>#DIV/0!</v>
      </c>
      <c r="AE204" s="167" t="e">
        <f t="shared" si="106"/>
        <v>#DIV/0!</v>
      </c>
      <c r="AF204" s="167" t="e">
        <f t="shared" si="106"/>
        <v>#DIV/0!</v>
      </c>
      <c r="AG204" s="167" t="e">
        <f t="shared" si="106"/>
        <v>#DIV/0!</v>
      </c>
      <c r="AH204" s="167" t="e">
        <f t="shared" si="106"/>
        <v>#DIV/0!</v>
      </c>
      <c r="AI204" s="167" t="e">
        <f t="shared" si="106"/>
        <v>#DIV/0!</v>
      </c>
      <c r="AJ204" s="167" t="e">
        <f t="shared" si="106"/>
        <v>#DIV/0!</v>
      </c>
      <c r="AK204" s="167" t="e">
        <f t="shared" si="106"/>
        <v>#DIV/0!</v>
      </c>
      <c r="AL204" s="167" t="e">
        <f t="shared" si="106"/>
        <v>#DIV/0!</v>
      </c>
      <c r="AM204" s="167" t="e">
        <f t="shared" si="106"/>
        <v>#DIV/0!</v>
      </c>
      <c r="AN204" s="167" t="e">
        <f t="shared" si="106"/>
        <v>#DIV/0!</v>
      </c>
      <c r="AO204" s="167" t="e">
        <f t="shared" si="106"/>
        <v>#DIV/0!</v>
      </c>
    </row>
    <row r="205" spans="2:41" x14ac:dyDescent="0.15">
      <c r="B205" s="472"/>
      <c r="C205" s="129" t="s">
        <v>1009</v>
      </c>
      <c r="D205" s="94">
        <f>SUMIFS('caseload data'!E:E,'caseload data'!$D:$D,"SPO",'caseload data'!$A:$A,"Yorkshire and The Humber",'caseload data'!$B:$B,"custody")</f>
        <v>0</v>
      </c>
      <c r="E205" s="94">
        <f>SUMIFS('caseload data'!F:F,'caseload data'!$D:$D,"SPO",'caseload data'!$A:$A,"Yorkshire and The Humber",'caseload data'!$B:$B,"custody")</f>
        <v>0</v>
      </c>
      <c r="F205" s="94">
        <f>SUMIFS('caseload data'!G:G,'caseload data'!$D:$D,"SPO",'caseload data'!$A:$A,"Yorkshire and The Humber",'caseload data'!$B:$B,"custody")</f>
        <v>0</v>
      </c>
      <c r="G205" s="94">
        <f>SUMIFS('caseload data'!H:H,'caseload data'!$D:$D,"SPO",'caseload data'!$A:$A,"Yorkshire and The Humber",'caseload data'!$B:$B,"custody")</f>
        <v>0</v>
      </c>
      <c r="H205" s="94">
        <f>SUMIFS('caseload data'!I:I,'caseload data'!$D:$D,"SPO",'caseload data'!$A:$A,"Yorkshire and The Humber",'caseload data'!$B:$B,"custody")</f>
        <v>0</v>
      </c>
      <c r="I205" s="94">
        <f>SUMIFS('caseload data'!J:J,'caseload data'!$D:$D,"SPO",'caseload data'!$A:$A,"Yorkshire and The Humber",'caseload data'!$B:$B,"custody")</f>
        <v>0</v>
      </c>
      <c r="J205" s="94">
        <f>SUMIFS('caseload data'!K:K,'caseload data'!$D:$D,"SPO",'caseload data'!$A:$A,"Yorkshire and The Humber",'caseload data'!$B:$B,"custody")</f>
        <v>0</v>
      </c>
      <c r="K205" s="94">
        <f>SUMIFS('caseload data'!L:L,'caseload data'!$D:$D,"SPO",'caseload data'!$A:$A,"Yorkshire and The Humber",'caseload data'!$B:$B,"custody")</f>
        <v>0</v>
      </c>
      <c r="L205" s="94">
        <f>SUMIFS('caseload data'!M:M,'caseload data'!$D:$D,"SPO",'caseload data'!$A:$A,"Yorkshire and The Humber",'caseload data'!$B:$B,"custody")</f>
        <v>0</v>
      </c>
      <c r="M205" s="94">
        <f>SUMIFS('caseload data'!N:N,'caseload data'!$D:$D,"SPO",'caseload data'!$A:$A,"Yorkshire and The Humber",'caseload data'!$B:$B,"custody")</f>
        <v>0</v>
      </c>
      <c r="N205" s="94">
        <f>SUMIFS('caseload data'!O:O,'caseload data'!$D:$D,"SPO",'caseload data'!$A:$A,"Yorkshire and The Humber",'caseload data'!$B:$B,"custody")</f>
        <v>0</v>
      </c>
      <c r="O205" s="94">
        <f>SUMIFS('caseload data'!P:P,'caseload data'!$D:$D,"SPO",'caseload data'!$A:$A,"Yorkshire and The Humber",'caseload data'!$B:$B,"custody")</f>
        <v>0</v>
      </c>
      <c r="P205" s="94">
        <f>SUMIFS('caseload data'!Q:Q,'caseload data'!$D:$D,"SPO",'caseload data'!$A:$A,"Yorkshire and The Humber",'caseload data'!$B:$B,"custody")</f>
        <v>0</v>
      </c>
      <c r="Q205" s="94">
        <f>SUMIFS('caseload data'!R:R,'caseload data'!$D:$D,"SPO",'caseload data'!$A:$A,"Yorkshire and The Humber",'caseload data'!$B:$B,"custody")</f>
        <v>0</v>
      </c>
      <c r="R205" s="94">
        <f>SUMIFS('caseload data'!S:S,'caseload data'!$D:$D,"SPO",'caseload data'!$A:$A,"Yorkshire and The Humber",'caseload data'!$B:$B,"custody")</f>
        <v>0</v>
      </c>
      <c r="S205" s="94">
        <f>SUMIFS('caseload data'!T:T,'caseload data'!$D:$D,"SPO",'caseload data'!$A:$A,"Yorkshire and The Humber",'caseload data'!$B:$B,"custody")</f>
        <v>0</v>
      </c>
      <c r="T205" s="94">
        <f>SUMIFS('caseload data'!V:V,'caseload data'!$D:$D,"SPO",'caseload data'!$A:$A,"Yorkshire and The Humber",'caseload data'!$B:$B,"custody")</f>
        <v>0</v>
      </c>
      <c r="U205" s="64"/>
      <c r="V205" s="64"/>
      <c r="W205" s="472"/>
      <c r="X205" s="129" t="s">
        <v>1009</v>
      </c>
      <c r="Y205" s="167" t="e">
        <f t="shared" si="107"/>
        <v>#DIV/0!</v>
      </c>
      <c r="Z205" s="167" t="e">
        <f t="shared" si="106"/>
        <v>#DIV/0!</v>
      </c>
      <c r="AA205" s="167" t="e">
        <f t="shared" si="106"/>
        <v>#DIV/0!</v>
      </c>
      <c r="AB205" s="167" t="e">
        <f t="shared" si="106"/>
        <v>#DIV/0!</v>
      </c>
      <c r="AC205" s="167" t="e">
        <f t="shared" si="106"/>
        <v>#DIV/0!</v>
      </c>
      <c r="AD205" s="167" t="e">
        <f t="shared" si="106"/>
        <v>#DIV/0!</v>
      </c>
      <c r="AE205" s="167" t="e">
        <f t="shared" si="106"/>
        <v>#DIV/0!</v>
      </c>
      <c r="AF205" s="167" t="e">
        <f t="shared" si="106"/>
        <v>#DIV/0!</v>
      </c>
      <c r="AG205" s="167" t="e">
        <f t="shared" si="106"/>
        <v>#DIV/0!</v>
      </c>
      <c r="AH205" s="167" t="e">
        <f t="shared" si="106"/>
        <v>#DIV/0!</v>
      </c>
      <c r="AI205" s="167" t="e">
        <f t="shared" si="106"/>
        <v>#DIV/0!</v>
      </c>
      <c r="AJ205" s="167" t="e">
        <f t="shared" si="106"/>
        <v>#DIV/0!</v>
      </c>
      <c r="AK205" s="167" t="e">
        <f t="shared" si="106"/>
        <v>#DIV/0!</v>
      </c>
      <c r="AL205" s="167" t="e">
        <f t="shared" si="106"/>
        <v>#DIV/0!</v>
      </c>
      <c r="AM205" s="167" t="e">
        <f t="shared" si="106"/>
        <v>#DIV/0!</v>
      </c>
      <c r="AN205" s="167" t="e">
        <f t="shared" si="106"/>
        <v>#DIV/0!</v>
      </c>
      <c r="AO205" s="167" t="e">
        <f t="shared" si="106"/>
        <v>#DIV/0!</v>
      </c>
    </row>
    <row r="206" spans="2:41" ht="15" thickBot="1" x14ac:dyDescent="0.2">
      <c r="B206" s="472"/>
      <c r="C206" s="129" t="s">
        <v>1344</v>
      </c>
      <c r="D206" s="377">
        <f>SUMIFS('caseload data'!E:E,'caseload data'!$D:$D,"DMY",'caseload data'!$A:$A,"Yorkshire and The Humber",'caseload data'!$B:$B,"custody")</f>
        <v>0</v>
      </c>
      <c r="E206" s="377">
        <f>SUMIFS('caseload data'!F:F,'caseload data'!$D:$D,"DMY",'caseload data'!$A:$A,"Yorkshire and The Humber",'caseload data'!$B:$B,"custody")</f>
        <v>0</v>
      </c>
      <c r="F206" s="377">
        <f>SUMIFS('caseload data'!G:G,'caseload data'!$D:$D,"DMY",'caseload data'!$A:$A,"Yorkshire and The Humber",'caseload data'!$B:$B,"custody")</f>
        <v>0</v>
      </c>
      <c r="G206" s="377">
        <f>SUMIFS('caseload data'!H:H,'caseload data'!$D:$D,"DMY",'caseload data'!$A:$A,"Yorkshire and The Humber",'caseload data'!$B:$B,"custody")</f>
        <v>0</v>
      </c>
      <c r="H206" s="377">
        <f>SUMIFS('caseload data'!I:I,'caseload data'!$D:$D,"DMY",'caseload data'!$A:$A,"Yorkshire and The Humber",'caseload data'!$B:$B,"custody")</f>
        <v>0</v>
      </c>
      <c r="I206" s="377">
        <f>SUMIFS('caseload data'!J:J,'caseload data'!$D:$D,"DMY",'caseload data'!$A:$A,"Yorkshire and The Humber",'caseload data'!$B:$B,"custody")</f>
        <v>0</v>
      </c>
      <c r="J206" s="377">
        <f>SUMIFS('caseload data'!K:K,'caseload data'!$D:$D,"DMY",'caseload data'!$A:$A,"Yorkshire and The Humber",'caseload data'!$B:$B,"custody")</f>
        <v>0</v>
      </c>
      <c r="K206" s="377">
        <f>SUMIFS('caseload data'!L:L,'caseload data'!$D:$D,"DMY",'caseload data'!$A:$A,"Yorkshire and The Humber",'caseload data'!$B:$B,"custody")</f>
        <v>0</v>
      </c>
      <c r="L206" s="377">
        <f>SUMIFS('caseload data'!M:M,'caseload data'!$D:$D,"DMY",'caseload data'!$A:$A,"Yorkshire and The Humber",'caseload data'!$B:$B,"custody")</f>
        <v>0</v>
      </c>
      <c r="M206" s="377">
        <f>SUMIFS('caseload data'!N:N,'caseload data'!$D:$D,"DMY",'caseload data'!$A:$A,"Yorkshire and The Humber",'caseload data'!$B:$B,"custody")</f>
        <v>0</v>
      </c>
      <c r="N206" s="377">
        <f>SUMIFS('caseload data'!O:O,'caseload data'!$D:$D,"DMY",'caseload data'!$A:$A,"Yorkshire and The Humber",'caseload data'!$B:$B,"custody")</f>
        <v>0</v>
      </c>
      <c r="O206" s="377">
        <f>SUMIFS('caseload data'!P:P,'caseload data'!$D:$D,"DMY",'caseload data'!$A:$A,"Yorkshire and The Humber",'caseload data'!$B:$B,"custody")</f>
        <v>0</v>
      </c>
      <c r="P206" s="377">
        <f>SUMIFS('caseload data'!Q:Q,'caseload data'!$D:$D,"DMY",'caseload data'!$A:$A,"Yorkshire and The Humber",'caseload data'!$B:$B,"custody")</f>
        <v>0</v>
      </c>
      <c r="Q206" s="377">
        <f>SUMIFS('caseload data'!R:R,'caseload data'!$D:$D,"DMY",'caseload data'!$A:$A,"Yorkshire and The Humber",'caseload data'!$B:$B,"custody")</f>
        <v>0</v>
      </c>
      <c r="R206" s="377">
        <f>SUMIFS('caseload data'!S:S,'caseload data'!$D:$D,"DMY",'caseload data'!$A:$A,"Yorkshire and The Humber",'caseload data'!$B:$B,"custody")</f>
        <v>0</v>
      </c>
      <c r="S206" s="377">
        <f>SUMIFS('caseload data'!T:T,'caseload data'!$D:$D,"DMY",'caseload data'!$A:$A,"Yorkshire and The Humber",'caseload data'!$B:$B,"custody")</f>
        <v>0</v>
      </c>
      <c r="T206" s="377">
        <f>SUMIFS('caseload data'!V:V,'caseload data'!$D:$D,"DMY",'caseload data'!$A:$A,"Yorkshire and The Humber",'caseload data'!$B:$B,"custody")</f>
        <v>0</v>
      </c>
      <c r="U206" s="64"/>
      <c r="V206" s="64"/>
      <c r="W206" s="472"/>
      <c r="X206" s="129" t="s">
        <v>1344</v>
      </c>
      <c r="Y206" s="373" t="e">
        <f t="shared" si="107"/>
        <v>#DIV/0!</v>
      </c>
      <c r="Z206" s="373" t="e">
        <f t="shared" si="106"/>
        <v>#DIV/0!</v>
      </c>
      <c r="AA206" s="373" t="e">
        <f t="shared" si="106"/>
        <v>#DIV/0!</v>
      </c>
      <c r="AB206" s="373" t="e">
        <f t="shared" si="106"/>
        <v>#DIV/0!</v>
      </c>
      <c r="AC206" s="373" t="e">
        <f t="shared" si="106"/>
        <v>#DIV/0!</v>
      </c>
      <c r="AD206" s="373" t="e">
        <f t="shared" si="106"/>
        <v>#DIV/0!</v>
      </c>
      <c r="AE206" s="373" t="e">
        <f t="shared" si="106"/>
        <v>#DIV/0!</v>
      </c>
      <c r="AF206" s="373" t="e">
        <f t="shared" si="106"/>
        <v>#DIV/0!</v>
      </c>
      <c r="AG206" s="373" t="e">
        <f t="shared" si="106"/>
        <v>#DIV/0!</v>
      </c>
      <c r="AH206" s="373" t="e">
        <f t="shared" si="106"/>
        <v>#DIV/0!</v>
      </c>
      <c r="AI206" s="373" t="e">
        <f t="shared" si="106"/>
        <v>#DIV/0!</v>
      </c>
      <c r="AJ206" s="373" t="e">
        <f t="shared" si="106"/>
        <v>#DIV/0!</v>
      </c>
      <c r="AK206" s="373" t="e">
        <f t="shared" si="106"/>
        <v>#DIV/0!</v>
      </c>
      <c r="AL206" s="373" t="e">
        <f t="shared" si="106"/>
        <v>#DIV/0!</v>
      </c>
      <c r="AM206" s="373" t="e">
        <f t="shared" si="106"/>
        <v>#DIV/0!</v>
      </c>
      <c r="AN206" s="373" t="e">
        <f t="shared" si="106"/>
        <v>#DIV/0!</v>
      </c>
      <c r="AO206" s="373" t="e">
        <f t="shared" si="106"/>
        <v>#DIV/0!</v>
      </c>
    </row>
    <row r="207" spans="2:41" x14ac:dyDescent="0.15">
      <c r="B207" s="495" t="s">
        <v>964</v>
      </c>
      <c r="C207" s="378" t="s">
        <v>1002</v>
      </c>
      <c r="D207" s="379">
        <f>SUMIFS('caseload data'!E:E,'caseload data'!$D:$D,"PO",'caseload data'!$B:$B,"custody")</f>
        <v>0</v>
      </c>
      <c r="E207" s="379">
        <f>SUMIFS('caseload data'!F:F,'caseload data'!$D:$D,"PO",'caseload data'!$B:$B,"custody")</f>
        <v>0</v>
      </c>
      <c r="F207" s="379">
        <f>SUMIFS('caseload data'!G:G,'caseload data'!$D:$D,"PO",'caseload data'!$B:$B,"custody")</f>
        <v>0</v>
      </c>
      <c r="G207" s="379">
        <f>SUMIFS('caseload data'!H:H,'caseload data'!$D:$D,"PO",'caseload data'!$B:$B,"custody")</f>
        <v>0</v>
      </c>
      <c r="H207" s="379">
        <f>SUMIFS('caseload data'!I:I,'caseload data'!$D:$D,"PO",'caseload data'!$B:$B,"custody")</f>
        <v>0</v>
      </c>
      <c r="I207" s="379">
        <f>SUMIFS('caseload data'!J:J,'caseload data'!$D:$D,"PO",'caseload data'!$B:$B,"custody")</f>
        <v>0</v>
      </c>
      <c r="J207" s="379">
        <f>SUMIFS('caseload data'!K:K,'caseload data'!$D:$D,"PO",'caseload data'!$B:$B,"custody")</f>
        <v>0</v>
      </c>
      <c r="K207" s="379">
        <f>SUMIFS('caseload data'!L:L,'caseload data'!$D:$D,"PO",'caseload data'!$B:$B,"custody")</f>
        <v>0</v>
      </c>
      <c r="L207" s="379">
        <f>SUMIFS('caseload data'!M:M,'caseload data'!$D:$D,"PO",'caseload data'!$B:$B,"custody")</f>
        <v>0</v>
      </c>
      <c r="M207" s="379">
        <f>SUMIFS('caseload data'!N:N,'caseload data'!$D:$D,"PO",'caseload data'!$B:$B,"custody")</f>
        <v>0</v>
      </c>
      <c r="N207" s="379">
        <f>SUMIFS('caseload data'!O:O,'caseload data'!$D:$D,"PO",'caseload data'!$B:$B,"custody")</f>
        <v>0</v>
      </c>
      <c r="O207" s="379">
        <f>SUMIFS('caseload data'!P:P,'caseload data'!$D:$D,"PO",'caseload data'!$B:$B,"custody")</f>
        <v>0</v>
      </c>
      <c r="P207" s="379">
        <f>SUMIFS('caseload data'!Q:Q,'caseload data'!$D:$D,"PO",'caseload data'!$B:$B,"custody")</f>
        <v>0</v>
      </c>
      <c r="Q207" s="379">
        <f>SUMIFS('caseload data'!R:R,'caseload data'!$D:$D,"PO",'caseload data'!$B:$B,"custody")</f>
        <v>0</v>
      </c>
      <c r="R207" s="379">
        <f>SUMIFS('caseload data'!S:S,'caseload data'!$D:$D,"PO",'caseload data'!$B:$B,"custody")</f>
        <v>0</v>
      </c>
      <c r="S207" s="379">
        <f>SUMIFS('caseload data'!T:T,'caseload data'!$D:$D,"PO",'caseload data'!$B:$B,"custody")</f>
        <v>0</v>
      </c>
      <c r="T207" s="380">
        <f>SUMIFS('caseload data'!V:V,'caseload data'!D:D,"PO",'caseload data'!B:B,"custody")</f>
        <v>0</v>
      </c>
      <c r="U207" s="64"/>
      <c r="V207" s="64"/>
      <c r="W207" s="498" t="s">
        <v>964</v>
      </c>
      <c r="X207" s="386" t="s">
        <v>1002</v>
      </c>
      <c r="Y207" s="388" t="e">
        <f>SUM(D207)/SUM(D$207:D$211)</f>
        <v>#DIV/0!</v>
      </c>
      <c r="Z207" s="388" t="e">
        <f t="shared" ref="Z207:AO211" si="108">SUM(E207)/SUM(E$207:E$211)</f>
        <v>#DIV/0!</v>
      </c>
      <c r="AA207" s="388" t="e">
        <f t="shared" si="108"/>
        <v>#DIV/0!</v>
      </c>
      <c r="AB207" s="388" t="e">
        <f t="shared" si="108"/>
        <v>#DIV/0!</v>
      </c>
      <c r="AC207" s="388" t="e">
        <f t="shared" si="108"/>
        <v>#DIV/0!</v>
      </c>
      <c r="AD207" s="388" t="e">
        <f t="shared" si="108"/>
        <v>#DIV/0!</v>
      </c>
      <c r="AE207" s="388" t="e">
        <f t="shared" si="108"/>
        <v>#DIV/0!</v>
      </c>
      <c r="AF207" s="388" t="e">
        <f t="shared" si="108"/>
        <v>#DIV/0!</v>
      </c>
      <c r="AG207" s="388" t="e">
        <f t="shared" si="108"/>
        <v>#DIV/0!</v>
      </c>
      <c r="AH207" s="388" t="e">
        <f t="shared" si="108"/>
        <v>#DIV/0!</v>
      </c>
      <c r="AI207" s="388" t="e">
        <f t="shared" si="108"/>
        <v>#DIV/0!</v>
      </c>
      <c r="AJ207" s="388" t="e">
        <f t="shared" si="108"/>
        <v>#DIV/0!</v>
      </c>
      <c r="AK207" s="388" t="e">
        <f t="shared" si="108"/>
        <v>#DIV/0!</v>
      </c>
      <c r="AL207" s="388" t="e">
        <f t="shared" si="108"/>
        <v>#DIV/0!</v>
      </c>
      <c r="AM207" s="388" t="e">
        <f t="shared" si="108"/>
        <v>#DIV/0!</v>
      </c>
      <c r="AN207" s="388" t="e">
        <f t="shared" si="108"/>
        <v>#DIV/0!</v>
      </c>
      <c r="AO207" s="390" t="e">
        <f t="shared" si="108"/>
        <v>#DIV/0!</v>
      </c>
    </row>
    <row r="208" spans="2:41" x14ac:dyDescent="0.15">
      <c r="B208" s="496"/>
      <c r="C208" s="137" t="s">
        <v>1007</v>
      </c>
      <c r="D208" s="136">
        <f>SUMIFS('caseload data'!E:E,'caseload data'!$D:$D,"PSO",'caseload data'!$B:$B,"custody")</f>
        <v>0</v>
      </c>
      <c r="E208" s="136">
        <f>SUMIFS('caseload data'!F:F,'caseload data'!$D:$D,"PSO",'caseload data'!$B:$B,"custody")</f>
        <v>0</v>
      </c>
      <c r="F208" s="136">
        <f>SUMIFS('caseload data'!G:G,'caseload data'!$D:$D,"PSO",'caseload data'!$B:$B,"custody")</f>
        <v>0</v>
      </c>
      <c r="G208" s="136">
        <f>SUMIFS('caseload data'!H:H,'caseload data'!$D:$D,"PSO",'caseload data'!$B:$B,"custody")</f>
        <v>0</v>
      </c>
      <c r="H208" s="136">
        <f>SUMIFS('caseload data'!I:I,'caseload data'!$D:$D,"PSO",'caseload data'!$B:$B,"custody")</f>
        <v>0</v>
      </c>
      <c r="I208" s="136">
        <f>SUMIFS('caseload data'!J:J,'caseload data'!$D:$D,"PSO",'caseload data'!$B:$B,"custody")</f>
        <v>0</v>
      </c>
      <c r="J208" s="136">
        <f>SUMIFS('caseload data'!K:K,'caseload data'!$D:$D,"PSO",'caseload data'!$B:$B,"custody")</f>
        <v>0</v>
      </c>
      <c r="K208" s="136">
        <f>SUMIFS('caseload data'!L:L,'caseload data'!$D:$D,"PSO",'caseload data'!$B:$B,"custody")</f>
        <v>0</v>
      </c>
      <c r="L208" s="136">
        <f>SUMIFS('caseload data'!M:M,'caseload data'!$D:$D,"PSO",'caseload data'!$B:$B,"custody")</f>
        <v>0</v>
      </c>
      <c r="M208" s="136">
        <f>SUMIFS('caseload data'!N:N,'caseload data'!$D:$D,"PSO",'caseload data'!$B:$B,"custody")</f>
        <v>0</v>
      </c>
      <c r="N208" s="136">
        <f>SUMIFS('caseload data'!O:O,'caseload data'!$D:$D,"PSO",'caseload data'!$B:$B,"custody")</f>
        <v>0</v>
      </c>
      <c r="O208" s="136">
        <f>SUMIFS('caseload data'!P:P,'caseload data'!$D:$D,"PSO",'caseload data'!$B:$B,"custody")</f>
        <v>0</v>
      </c>
      <c r="P208" s="136">
        <f>SUMIFS('caseload data'!Q:Q,'caseload data'!$D:$D,"PSO",'caseload data'!$B:$B,"custody")</f>
        <v>0</v>
      </c>
      <c r="Q208" s="136">
        <f>SUMIFS('caseload data'!R:R,'caseload data'!$D:$D,"PSO",'caseload data'!$B:$B,"custody")</f>
        <v>0</v>
      </c>
      <c r="R208" s="136">
        <f>SUMIFS('caseload data'!S:S,'caseload data'!$D:$D,"PSO",'caseload data'!$B:$B,"custody")</f>
        <v>0</v>
      </c>
      <c r="S208" s="136">
        <f>SUMIFS('caseload data'!T:T,'caseload data'!$D:$D,"PSO",'caseload data'!$B:$B,"custody")</f>
        <v>0</v>
      </c>
      <c r="T208" s="381">
        <f>SUMIFS('caseload data'!V:V,'caseload data'!D:D,"PSO",'caseload data'!B:B,"custody")</f>
        <v>0</v>
      </c>
      <c r="U208" s="64"/>
      <c r="V208" s="64"/>
      <c r="W208" s="499"/>
      <c r="X208" s="372" t="s">
        <v>1007</v>
      </c>
      <c r="Y208" s="138" t="e">
        <f t="shared" ref="Y208:Y211" si="109">SUM(D208)/SUM(D$207:D$211)</f>
        <v>#DIV/0!</v>
      </c>
      <c r="Z208" s="138" t="e">
        <f t="shared" si="108"/>
        <v>#DIV/0!</v>
      </c>
      <c r="AA208" s="138" t="e">
        <f t="shared" si="108"/>
        <v>#DIV/0!</v>
      </c>
      <c r="AB208" s="138" t="e">
        <f t="shared" si="108"/>
        <v>#DIV/0!</v>
      </c>
      <c r="AC208" s="138" t="e">
        <f t="shared" si="108"/>
        <v>#DIV/0!</v>
      </c>
      <c r="AD208" s="138" t="e">
        <f t="shared" si="108"/>
        <v>#DIV/0!</v>
      </c>
      <c r="AE208" s="138" t="e">
        <f t="shared" si="108"/>
        <v>#DIV/0!</v>
      </c>
      <c r="AF208" s="138" t="e">
        <f t="shared" si="108"/>
        <v>#DIV/0!</v>
      </c>
      <c r="AG208" s="138" t="e">
        <f t="shared" si="108"/>
        <v>#DIV/0!</v>
      </c>
      <c r="AH208" s="138" t="e">
        <f t="shared" si="108"/>
        <v>#DIV/0!</v>
      </c>
      <c r="AI208" s="138" t="e">
        <f t="shared" si="108"/>
        <v>#DIV/0!</v>
      </c>
      <c r="AJ208" s="138" t="e">
        <f t="shared" si="108"/>
        <v>#DIV/0!</v>
      </c>
      <c r="AK208" s="138" t="e">
        <f t="shared" si="108"/>
        <v>#DIV/0!</v>
      </c>
      <c r="AL208" s="138" t="e">
        <f t="shared" si="108"/>
        <v>#DIV/0!</v>
      </c>
      <c r="AM208" s="138" t="e">
        <f t="shared" si="108"/>
        <v>#DIV/0!</v>
      </c>
      <c r="AN208" s="138" t="e">
        <f t="shared" si="108"/>
        <v>#DIV/0!</v>
      </c>
      <c r="AO208" s="391" t="e">
        <f t="shared" si="108"/>
        <v>#DIV/0!</v>
      </c>
    </row>
    <row r="209" spans="2:41" x14ac:dyDescent="0.15">
      <c r="B209" s="496"/>
      <c r="C209" s="137" t="s">
        <v>1008</v>
      </c>
      <c r="D209" s="136">
        <f>SUMIFS('caseload data'!E:E,'caseload data'!$D:$D,"TPO",'caseload data'!$B:$B,"custody")</f>
        <v>0</v>
      </c>
      <c r="E209" s="136">
        <f>SUMIFS('caseload data'!F:F,'caseload data'!$D:$D,"TPO",'caseload data'!$B:$B,"custody")</f>
        <v>0</v>
      </c>
      <c r="F209" s="136">
        <f>SUMIFS('caseload data'!G:G,'caseload data'!$D:$D,"TPO",'caseload data'!$B:$B,"custody")</f>
        <v>0</v>
      </c>
      <c r="G209" s="136">
        <f>SUMIFS('caseload data'!H:H,'caseload data'!$D:$D,"TPO",'caseload data'!$B:$B,"custody")</f>
        <v>0</v>
      </c>
      <c r="H209" s="136">
        <f>SUMIFS('caseload data'!I:I,'caseload data'!$D:$D,"TPO",'caseload data'!$B:$B,"custody")</f>
        <v>0</v>
      </c>
      <c r="I209" s="136">
        <f>SUMIFS('caseload data'!J:J,'caseload data'!$D:$D,"TPO",'caseload data'!$B:$B,"custody")</f>
        <v>0</v>
      </c>
      <c r="J209" s="136">
        <f>SUMIFS('caseload data'!K:K,'caseload data'!$D:$D,"TPO",'caseload data'!$B:$B,"custody")</f>
        <v>0</v>
      </c>
      <c r="K209" s="136">
        <f>SUMIFS('caseload data'!L:L,'caseload data'!$D:$D,"TPO",'caseload data'!$B:$B,"custody")</f>
        <v>0</v>
      </c>
      <c r="L209" s="136">
        <f>SUMIFS('caseload data'!M:M,'caseload data'!$D:$D,"TPO",'caseload data'!$B:$B,"custody")</f>
        <v>0</v>
      </c>
      <c r="M209" s="136">
        <f>SUMIFS('caseload data'!N:N,'caseload data'!$D:$D,"TPO",'caseload data'!$B:$B,"custody")</f>
        <v>0</v>
      </c>
      <c r="N209" s="136">
        <f>SUMIFS('caseload data'!O:O,'caseload data'!$D:$D,"TPO",'caseload data'!$B:$B,"custody")</f>
        <v>0</v>
      </c>
      <c r="O209" s="136">
        <f>SUMIFS('caseload data'!P:P,'caseload data'!$D:$D,"TPO",'caseload data'!$B:$B,"custody")</f>
        <v>0</v>
      </c>
      <c r="P209" s="136">
        <f>SUMIFS('caseload data'!Q:Q,'caseload data'!$D:$D,"TPO",'caseload data'!$B:$B,"custody")</f>
        <v>0</v>
      </c>
      <c r="Q209" s="136">
        <f>SUMIFS('caseload data'!R:R,'caseload data'!$D:$D,"TPO",'caseload data'!$B:$B,"custody")</f>
        <v>0</v>
      </c>
      <c r="R209" s="136">
        <f>SUMIFS('caseload data'!S:S,'caseload data'!$D:$D,"TPO",'caseload data'!$B:$B,"custody")</f>
        <v>0</v>
      </c>
      <c r="S209" s="136">
        <f>SUMIFS('caseload data'!T:T,'caseload data'!$D:$D,"TPO",'caseload data'!$B:$B,"custody")</f>
        <v>0</v>
      </c>
      <c r="T209" s="381">
        <f>SUMIFS('caseload data'!V:V,'caseload data'!D:D,"TPO",'caseload data'!B:B,"custody")</f>
        <v>0</v>
      </c>
      <c r="U209" s="64"/>
      <c r="V209" s="64"/>
      <c r="W209" s="499"/>
      <c r="X209" s="372" t="s">
        <v>1008</v>
      </c>
      <c r="Y209" s="138" t="e">
        <f t="shared" si="109"/>
        <v>#DIV/0!</v>
      </c>
      <c r="Z209" s="138" t="e">
        <f t="shared" si="108"/>
        <v>#DIV/0!</v>
      </c>
      <c r="AA209" s="138" t="e">
        <f t="shared" si="108"/>
        <v>#DIV/0!</v>
      </c>
      <c r="AB209" s="138" t="e">
        <f t="shared" si="108"/>
        <v>#DIV/0!</v>
      </c>
      <c r="AC209" s="138" t="e">
        <f t="shared" si="108"/>
        <v>#DIV/0!</v>
      </c>
      <c r="AD209" s="138" t="e">
        <f t="shared" si="108"/>
        <v>#DIV/0!</v>
      </c>
      <c r="AE209" s="138" t="e">
        <f t="shared" si="108"/>
        <v>#DIV/0!</v>
      </c>
      <c r="AF209" s="138" t="e">
        <f t="shared" si="108"/>
        <v>#DIV/0!</v>
      </c>
      <c r="AG209" s="138" t="e">
        <f t="shared" si="108"/>
        <v>#DIV/0!</v>
      </c>
      <c r="AH209" s="138" t="e">
        <f t="shared" si="108"/>
        <v>#DIV/0!</v>
      </c>
      <c r="AI209" s="138" t="e">
        <f t="shared" si="108"/>
        <v>#DIV/0!</v>
      </c>
      <c r="AJ209" s="138" t="e">
        <f t="shared" si="108"/>
        <v>#DIV/0!</v>
      </c>
      <c r="AK209" s="138" t="e">
        <f t="shared" si="108"/>
        <v>#DIV/0!</v>
      </c>
      <c r="AL209" s="138" t="e">
        <f t="shared" si="108"/>
        <v>#DIV/0!</v>
      </c>
      <c r="AM209" s="138" t="e">
        <f t="shared" si="108"/>
        <v>#DIV/0!</v>
      </c>
      <c r="AN209" s="138" t="e">
        <f t="shared" si="108"/>
        <v>#DIV/0!</v>
      </c>
      <c r="AO209" s="391" t="e">
        <f t="shared" si="108"/>
        <v>#DIV/0!</v>
      </c>
    </row>
    <row r="210" spans="2:41" x14ac:dyDescent="0.15">
      <c r="B210" s="496"/>
      <c r="C210" s="137" t="s">
        <v>1009</v>
      </c>
      <c r="D210" s="136">
        <f>SUMIFS('caseload data'!E:E,'caseload data'!$D:$D,"SPO",'caseload data'!$B:$B,"custody")</f>
        <v>0</v>
      </c>
      <c r="E210" s="136">
        <f>SUMIFS('caseload data'!F:F,'caseload data'!$D:$D,"SPO",'caseload data'!$B:$B,"custody")</f>
        <v>0</v>
      </c>
      <c r="F210" s="136">
        <f>SUMIFS('caseload data'!G:G,'caseload data'!$D:$D,"SPO",'caseload data'!$B:$B,"custody")</f>
        <v>0</v>
      </c>
      <c r="G210" s="136">
        <f>SUMIFS('caseload data'!H:H,'caseload data'!$D:$D,"SPO",'caseload data'!$B:$B,"custody")</f>
        <v>0</v>
      </c>
      <c r="H210" s="136">
        <f>SUMIFS('caseload data'!I:I,'caseload data'!$D:$D,"SPO",'caseload data'!$B:$B,"custody")</f>
        <v>0</v>
      </c>
      <c r="I210" s="136">
        <f>SUMIFS('caseload data'!J:J,'caseload data'!$D:$D,"SPO",'caseload data'!$B:$B,"custody")</f>
        <v>0</v>
      </c>
      <c r="J210" s="136">
        <f>SUMIFS('caseload data'!K:K,'caseload data'!$D:$D,"SPO",'caseload data'!$B:$B,"custody")</f>
        <v>0</v>
      </c>
      <c r="K210" s="136">
        <f>SUMIFS('caseload data'!L:L,'caseload data'!$D:$D,"SPO",'caseload data'!$B:$B,"custody")</f>
        <v>0</v>
      </c>
      <c r="L210" s="136">
        <f>SUMIFS('caseload data'!M:M,'caseload data'!$D:$D,"SPO",'caseload data'!$B:$B,"custody")</f>
        <v>0</v>
      </c>
      <c r="M210" s="136">
        <f>SUMIFS('caseload data'!N:N,'caseload data'!$D:$D,"SPO",'caseload data'!$B:$B,"custody")</f>
        <v>0</v>
      </c>
      <c r="N210" s="136">
        <f>SUMIFS('caseload data'!O:O,'caseload data'!$D:$D,"SPO",'caseload data'!$B:$B,"custody")</f>
        <v>0</v>
      </c>
      <c r="O210" s="136">
        <f>SUMIFS('caseload data'!P:P,'caseload data'!$D:$D,"SPO",'caseload data'!$B:$B,"custody")</f>
        <v>0</v>
      </c>
      <c r="P210" s="136">
        <f>SUMIFS('caseload data'!Q:Q,'caseload data'!$D:$D,"SPO",'caseload data'!$B:$B,"custody")</f>
        <v>0</v>
      </c>
      <c r="Q210" s="136">
        <f>SUMIFS('caseload data'!R:R,'caseload data'!$D:$D,"SPO",'caseload data'!$B:$B,"custody")</f>
        <v>0</v>
      </c>
      <c r="R210" s="136">
        <f>SUMIFS('caseload data'!S:S,'caseload data'!$D:$D,"SPO",'caseload data'!$B:$B,"custody")</f>
        <v>0</v>
      </c>
      <c r="S210" s="136">
        <f>SUMIFS('caseload data'!T:T,'caseload data'!$D:$D,"SPO",'caseload data'!$B:$B,"custody")</f>
        <v>0</v>
      </c>
      <c r="T210" s="381">
        <f>SUMIFS('caseload data'!V:V,'caseload data'!$D:$D,"SPO",'caseload data'!$B:$B,"custody")</f>
        <v>0</v>
      </c>
      <c r="U210" s="64"/>
      <c r="V210" s="64"/>
      <c r="W210" s="499"/>
      <c r="X210" s="372" t="s">
        <v>1009</v>
      </c>
      <c r="Y210" s="138" t="e">
        <f t="shared" si="109"/>
        <v>#DIV/0!</v>
      </c>
      <c r="Z210" s="138" t="e">
        <f t="shared" si="108"/>
        <v>#DIV/0!</v>
      </c>
      <c r="AA210" s="138" t="e">
        <f t="shared" si="108"/>
        <v>#DIV/0!</v>
      </c>
      <c r="AB210" s="138" t="e">
        <f t="shared" si="108"/>
        <v>#DIV/0!</v>
      </c>
      <c r="AC210" s="138" t="e">
        <f t="shared" si="108"/>
        <v>#DIV/0!</v>
      </c>
      <c r="AD210" s="138" t="e">
        <f t="shared" si="108"/>
        <v>#DIV/0!</v>
      </c>
      <c r="AE210" s="138" t="e">
        <f t="shared" si="108"/>
        <v>#DIV/0!</v>
      </c>
      <c r="AF210" s="138" t="e">
        <f t="shared" si="108"/>
        <v>#DIV/0!</v>
      </c>
      <c r="AG210" s="138" t="e">
        <f t="shared" si="108"/>
        <v>#DIV/0!</v>
      </c>
      <c r="AH210" s="138" t="e">
        <f t="shared" si="108"/>
        <v>#DIV/0!</v>
      </c>
      <c r="AI210" s="138" t="e">
        <f t="shared" si="108"/>
        <v>#DIV/0!</v>
      </c>
      <c r="AJ210" s="138" t="e">
        <f t="shared" si="108"/>
        <v>#DIV/0!</v>
      </c>
      <c r="AK210" s="138" t="e">
        <f t="shared" si="108"/>
        <v>#DIV/0!</v>
      </c>
      <c r="AL210" s="138" t="e">
        <f t="shared" si="108"/>
        <v>#DIV/0!</v>
      </c>
      <c r="AM210" s="138" t="e">
        <f t="shared" si="108"/>
        <v>#DIV/0!</v>
      </c>
      <c r="AN210" s="138" t="e">
        <f t="shared" si="108"/>
        <v>#DIV/0!</v>
      </c>
      <c r="AO210" s="391" t="e">
        <f t="shared" si="108"/>
        <v>#DIV/0!</v>
      </c>
    </row>
    <row r="211" spans="2:41" ht="15" thickBot="1" x14ac:dyDescent="0.2">
      <c r="B211" s="496"/>
      <c r="C211" s="137" t="s">
        <v>1344</v>
      </c>
      <c r="D211" s="136">
        <f>SUMIFS('caseload data'!E:E,'caseload data'!$D:$D,"DMY",'caseload data'!$B:$B,"custody")</f>
        <v>0</v>
      </c>
      <c r="E211" s="136">
        <f>SUMIFS('caseload data'!F:F,'caseload data'!$D:$D,"DMY",'caseload data'!$B:$B,"custody")</f>
        <v>0</v>
      </c>
      <c r="F211" s="136">
        <f>SUMIFS('caseload data'!G:G,'caseload data'!$D:$D,"DMY",'caseload data'!$B:$B,"custody")</f>
        <v>0</v>
      </c>
      <c r="G211" s="136">
        <f>SUMIFS('caseload data'!H:H,'caseload data'!$D:$D,"DMY",'caseload data'!$B:$B,"custody")</f>
        <v>0</v>
      </c>
      <c r="H211" s="136">
        <f>SUMIFS('caseload data'!I:I,'caseload data'!$D:$D,"DMY",'caseload data'!$B:$B,"custody")</f>
        <v>0</v>
      </c>
      <c r="I211" s="136">
        <f>SUMIFS('caseload data'!J:J,'caseload data'!$D:$D,"DMY",'caseload data'!$B:$B,"custody")</f>
        <v>0</v>
      </c>
      <c r="J211" s="136">
        <f>SUMIFS('caseload data'!K:K,'caseload data'!$D:$D,"DMY",'caseload data'!$B:$B,"custody")</f>
        <v>0</v>
      </c>
      <c r="K211" s="136">
        <f>SUMIFS('caseload data'!L:L,'caseload data'!$D:$D,"DMY",'caseload data'!$B:$B,"custody")</f>
        <v>0</v>
      </c>
      <c r="L211" s="136">
        <f>SUMIFS('caseload data'!M:M,'caseload data'!$D:$D,"DMY",'caseload data'!$B:$B,"custody")</f>
        <v>0</v>
      </c>
      <c r="M211" s="136">
        <f>SUMIFS('caseload data'!N:N,'caseload data'!$D:$D,"DMY",'caseload data'!$B:$B,"custody")</f>
        <v>0</v>
      </c>
      <c r="N211" s="136">
        <f>SUMIFS('caseload data'!O:O,'caseload data'!$D:$D,"DMY",'caseload data'!$B:$B,"custody")</f>
        <v>0</v>
      </c>
      <c r="O211" s="136">
        <f>SUMIFS('caseload data'!P:P,'caseload data'!$D:$D,"DMY",'caseload data'!$B:$B,"custody")</f>
        <v>0</v>
      </c>
      <c r="P211" s="136">
        <f>SUMIFS('caseload data'!Q:Q,'caseload data'!$D:$D,"DMY",'caseload data'!$B:$B,"custody")</f>
        <v>0</v>
      </c>
      <c r="Q211" s="136">
        <f>SUMIFS('caseload data'!R:R,'caseload data'!$D:$D,"DMY",'caseload data'!$B:$B,"custody")</f>
        <v>0</v>
      </c>
      <c r="R211" s="136">
        <f>SUMIFS('caseload data'!S:S,'caseload data'!$D:$D,"DMY",'caseload data'!$B:$B,"custody")</f>
        <v>0</v>
      </c>
      <c r="S211" s="136">
        <f>SUMIFS('caseload data'!T:T,'caseload data'!$D:$D,"DMY",'caseload data'!$B:$B,"custody")</f>
        <v>0</v>
      </c>
      <c r="T211" s="381">
        <f>SUMIFS('caseload data'!V:V,'caseload data'!$D:$D,"DMY",'caseload data'!$B:$B,"custody")</f>
        <v>0</v>
      </c>
      <c r="U211" s="64"/>
      <c r="V211" s="64"/>
      <c r="W211" s="500"/>
      <c r="X211" s="387" t="s">
        <v>1344</v>
      </c>
      <c r="Y211" s="389" t="e">
        <f t="shared" si="109"/>
        <v>#DIV/0!</v>
      </c>
      <c r="Z211" s="389" t="e">
        <f t="shared" si="108"/>
        <v>#DIV/0!</v>
      </c>
      <c r="AA211" s="389" t="e">
        <f t="shared" si="108"/>
        <v>#DIV/0!</v>
      </c>
      <c r="AB211" s="389" t="e">
        <f t="shared" si="108"/>
        <v>#DIV/0!</v>
      </c>
      <c r="AC211" s="389" t="e">
        <f t="shared" si="108"/>
        <v>#DIV/0!</v>
      </c>
      <c r="AD211" s="389" t="e">
        <f t="shared" si="108"/>
        <v>#DIV/0!</v>
      </c>
      <c r="AE211" s="389" t="e">
        <f t="shared" si="108"/>
        <v>#DIV/0!</v>
      </c>
      <c r="AF211" s="389" t="e">
        <f t="shared" si="108"/>
        <v>#DIV/0!</v>
      </c>
      <c r="AG211" s="389" t="e">
        <f t="shared" si="108"/>
        <v>#DIV/0!</v>
      </c>
      <c r="AH211" s="389" t="e">
        <f t="shared" si="108"/>
        <v>#DIV/0!</v>
      </c>
      <c r="AI211" s="389" t="e">
        <f t="shared" si="108"/>
        <v>#DIV/0!</v>
      </c>
      <c r="AJ211" s="389" t="e">
        <f t="shared" si="108"/>
        <v>#DIV/0!</v>
      </c>
      <c r="AK211" s="389" t="e">
        <f t="shared" si="108"/>
        <v>#DIV/0!</v>
      </c>
      <c r="AL211" s="389" t="e">
        <f t="shared" si="108"/>
        <v>#DIV/0!</v>
      </c>
      <c r="AM211" s="389" t="e">
        <f t="shared" si="108"/>
        <v>#DIV/0!</v>
      </c>
      <c r="AN211" s="389" t="e">
        <f t="shared" si="108"/>
        <v>#DIV/0!</v>
      </c>
      <c r="AO211" s="392" t="e">
        <f t="shared" si="108"/>
        <v>#DIV/0!</v>
      </c>
    </row>
    <row r="212" spans="2:41" ht="31.5" customHeight="1" thickBot="1" x14ac:dyDescent="0.2">
      <c r="B212" s="497"/>
      <c r="C212" s="382" t="s">
        <v>1081</v>
      </c>
      <c r="D212" s="383">
        <f>SUMIF('caseload data'!$B:$B,"custody",'caseload data'!E:E)</f>
        <v>0</v>
      </c>
      <c r="E212" s="383">
        <f>SUMIF('caseload data'!$B:$B,"custody",'caseload data'!F:F)</f>
        <v>0</v>
      </c>
      <c r="F212" s="383">
        <f>SUMIF('caseload data'!$B:$B,"custody",'caseload data'!G:G)</f>
        <v>0</v>
      </c>
      <c r="G212" s="383">
        <f>SUMIF('caseload data'!$B:$B,"custody",'caseload data'!H:H)</f>
        <v>0</v>
      </c>
      <c r="H212" s="383">
        <f>SUMIF('caseload data'!$B:$B,"custody",'caseload data'!I:I)</f>
        <v>0</v>
      </c>
      <c r="I212" s="383">
        <f>SUMIF('caseload data'!$B:$B,"custody",'caseload data'!J:J)</f>
        <v>0</v>
      </c>
      <c r="J212" s="383">
        <f>SUMIF('caseload data'!$B:$B,"custody",'caseload data'!K:K)</f>
        <v>0</v>
      </c>
      <c r="K212" s="383">
        <f>SUMIF('caseload data'!$B:$B,"custody",'caseload data'!L:L)</f>
        <v>0</v>
      </c>
      <c r="L212" s="383">
        <f>SUMIF('caseload data'!$B:$B,"custody",'caseload data'!M:M)</f>
        <v>0</v>
      </c>
      <c r="M212" s="383">
        <f>SUMIF('caseload data'!$B:$B,"custody",'caseload data'!N:N)</f>
        <v>0</v>
      </c>
      <c r="N212" s="383">
        <f>SUMIF('caseload data'!$B:$B,"custody",'caseload data'!O:O)</f>
        <v>0</v>
      </c>
      <c r="O212" s="383">
        <f>SUMIF('caseload data'!$B:$B,"custody",'caseload data'!P:P)</f>
        <v>0</v>
      </c>
      <c r="P212" s="383">
        <f>SUMIF('caseload data'!$B:$B,"custody",'caseload data'!Q:Q)</f>
        <v>0</v>
      </c>
      <c r="Q212" s="383">
        <f>SUMIF('caseload data'!$B:$B,"custody",'caseload data'!R:R)</f>
        <v>0</v>
      </c>
      <c r="R212" s="383">
        <f>SUMIF('caseload data'!$B:$B,"custody",'caseload data'!S:S)</f>
        <v>0</v>
      </c>
      <c r="S212" s="383">
        <f>SUMIF('caseload data'!$B:$B,"custody",'caseload data'!T:T)</f>
        <v>0</v>
      </c>
      <c r="T212" s="384">
        <f>SUMIF('caseload data'!B:B,"custody",'caseload data'!V:V)</f>
        <v>0</v>
      </c>
      <c r="U212" s="64"/>
      <c r="V212" s="64"/>
      <c r="W212" s="64"/>
      <c r="X212" s="64"/>
      <c r="Y212" s="64"/>
      <c r="Z212" s="64"/>
      <c r="AA212" s="64"/>
      <c r="AB212" s="64"/>
      <c r="AC212" s="64"/>
      <c r="AD212" s="64"/>
      <c r="AE212" s="64"/>
    </row>
  </sheetData>
  <mergeCells count="88">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 ref="W112:W116"/>
    <mergeCell ref="W117:W121"/>
    <mergeCell ref="W122:W126"/>
    <mergeCell ref="W22:W26"/>
    <mergeCell ref="W17:W21"/>
    <mergeCell ref="W62:W66"/>
    <mergeCell ref="W57:W61"/>
    <mergeCell ref="W52:W56"/>
    <mergeCell ref="B97:B101"/>
    <mergeCell ref="B102:B106"/>
    <mergeCell ref="W97:W101"/>
    <mergeCell ref="W102:W106"/>
    <mergeCell ref="W107:W11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37:B41"/>
    <mergeCell ref="B42:B46"/>
    <mergeCell ref="B47:B51"/>
    <mergeCell ref="B52:B56"/>
    <mergeCell ref="B57:B61"/>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132:B136"/>
    <mergeCell ref="B127:B131"/>
    <mergeCell ref="B122:B126"/>
    <mergeCell ref="B117:B121"/>
    <mergeCell ref="B107:B111"/>
    <mergeCell ref="B112:B116"/>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s>
  <conditionalFormatting sqref="T15:T16 T35:T36 T40:T41 T50:T51 T55:T56 T70:T71">
    <cfRule type="cellIs" dxfId="5898" priority="4272" operator="equal">
      <formula>0</formula>
    </cfRule>
  </conditionalFormatting>
  <conditionalFormatting sqref="T150:T151 T155:T156 T160:T161 T170:T171 T195:T196 T200:T201 T205:T206 T210:T211">
    <cfRule type="cellIs" dxfId="5897" priority="4271" operator="equal">
      <formula>0</formula>
    </cfRule>
  </conditionalFormatting>
  <conditionalFormatting sqref="T80:T81 T105:T106 T110:T111 D140:T141">
    <cfRule type="cellIs" dxfId="5896" priority="4270" operator="equal">
      <formula>0</formula>
    </cfRule>
  </conditionalFormatting>
  <conditionalFormatting sqref="T10">
    <cfRule type="cellIs" dxfId="5895" priority="4253" operator="equal">
      <formula>0</formula>
    </cfRule>
  </conditionalFormatting>
  <conditionalFormatting sqref="T20:T21">
    <cfRule type="cellIs" dxfId="5894" priority="4236" operator="equal">
      <formula>0</formula>
    </cfRule>
  </conditionalFormatting>
  <conditionalFormatting sqref="T25:T26">
    <cfRule type="cellIs" dxfId="5893" priority="4219" operator="equal">
      <formula>0</formula>
    </cfRule>
  </conditionalFormatting>
  <conditionalFormatting sqref="T30:T31">
    <cfRule type="cellIs" dxfId="5892" priority="4202" operator="equal">
      <formula>0</formula>
    </cfRule>
  </conditionalFormatting>
  <conditionalFormatting sqref="T60:T61">
    <cfRule type="cellIs" dxfId="5891" priority="4191" operator="equal">
      <formula>0</formula>
    </cfRule>
  </conditionalFormatting>
  <conditionalFormatting sqref="T65:T66">
    <cfRule type="cellIs" dxfId="5890" priority="4180" operator="equal">
      <formula>0</formula>
    </cfRule>
  </conditionalFormatting>
  <conditionalFormatting sqref="T85:T86">
    <cfRule type="cellIs" dxfId="5889" priority="4165" operator="equal">
      <formula>0</formula>
    </cfRule>
  </conditionalFormatting>
  <conditionalFormatting sqref="T90:T91">
    <cfRule type="cellIs" dxfId="5888" priority="4150" operator="equal">
      <formula>0</formula>
    </cfRule>
  </conditionalFormatting>
  <conditionalFormatting sqref="T95:T96">
    <cfRule type="cellIs" dxfId="5887" priority="4135" operator="equal">
      <formula>0</formula>
    </cfRule>
  </conditionalFormatting>
  <conditionalFormatting sqref="T100:T101">
    <cfRule type="cellIs" dxfId="5886" priority="4120" operator="equal">
      <formula>0</formula>
    </cfRule>
  </conditionalFormatting>
  <conditionalFormatting sqref="T175:T176">
    <cfRule type="cellIs" dxfId="5885" priority="4105" operator="equal">
      <formula>0</formula>
    </cfRule>
  </conditionalFormatting>
  <conditionalFormatting sqref="T165:T166">
    <cfRule type="cellIs" dxfId="5884" priority="4090" operator="equal">
      <formula>0</formula>
    </cfRule>
  </conditionalFormatting>
  <conditionalFormatting sqref="T190:T191">
    <cfRule type="cellIs" dxfId="5883" priority="4075" operator="equal">
      <formula>0</formula>
    </cfRule>
  </conditionalFormatting>
  <conditionalFormatting sqref="T180:T181">
    <cfRule type="cellIs" dxfId="5882" priority="4060" operator="equal">
      <formula>0</formula>
    </cfRule>
  </conditionalFormatting>
  <conditionalFormatting sqref="T135:T136">
    <cfRule type="cellIs" dxfId="5881" priority="4030" operator="equal">
      <formula>0</formula>
    </cfRule>
  </conditionalFormatting>
  <conditionalFormatting sqref="T45:T46">
    <cfRule type="cellIs" dxfId="5880" priority="4019" operator="equal">
      <formula>0</formula>
    </cfRule>
  </conditionalFormatting>
  <conditionalFormatting sqref="N20">
    <cfRule type="cellIs" dxfId="5879" priority="3880" operator="equal">
      <formula>0</formula>
    </cfRule>
  </conditionalFormatting>
  <conditionalFormatting sqref="T185:T186">
    <cfRule type="cellIs" dxfId="5878" priority="3992" operator="equal">
      <formula>0</formula>
    </cfRule>
  </conditionalFormatting>
  <conditionalFormatting sqref="D8:D9">
    <cfRule type="cellIs" dxfId="5877" priority="3985" operator="equal">
      <formula>0</formula>
    </cfRule>
    <cfRule type="cellIs" dxfId="5876" priority="3986" operator="notEqual">
      <formula>0</formula>
    </cfRule>
  </conditionalFormatting>
  <conditionalFormatting sqref="D10">
    <cfRule type="cellIs" dxfId="5875" priority="3984" operator="equal">
      <formula>0</formula>
    </cfRule>
  </conditionalFormatting>
  <conditionalFormatting sqref="E8:E9">
    <cfRule type="cellIs" dxfId="5874" priority="3982" operator="equal">
      <formula>0</formula>
    </cfRule>
    <cfRule type="cellIs" dxfId="5873" priority="3983" operator="notEqual">
      <formula>0</formula>
    </cfRule>
  </conditionalFormatting>
  <conditionalFormatting sqref="E10">
    <cfRule type="cellIs" dxfId="5872" priority="3981" operator="equal">
      <formula>0</formula>
    </cfRule>
  </conditionalFormatting>
  <conditionalFormatting sqref="F8:F9">
    <cfRule type="cellIs" dxfId="5871" priority="3979" operator="equal">
      <formula>0</formula>
    </cfRule>
    <cfRule type="cellIs" dxfId="5870" priority="3980" operator="notEqual">
      <formula>0</formula>
    </cfRule>
  </conditionalFormatting>
  <conditionalFormatting sqref="F10">
    <cfRule type="cellIs" dxfId="5869" priority="3978" operator="equal">
      <formula>0</formula>
    </cfRule>
  </conditionalFormatting>
  <conditionalFormatting sqref="G8:G9">
    <cfRule type="cellIs" dxfId="5868" priority="3976" operator="equal">
      <formula>0</formula>
    </cfRule>
    <cfRule type="cellIs" dxfId="5867" priority="3977" operator="notEqual">
      <formula>0</formula>
    </cfRule>
  </conditionalFormatting>
  <conditionalFormatting sqref="G10">
    <cfRule type="cellIs" dxfId="5866" priority="3975" operator="equal">
      <formula>0</formula>
    </cfRule>
  </conditionalFormatting>
  <conditionalFormatting sqref="H8:H9">
    <cfRule type="cellIs" dxfId="5865" priority="3973" operator="equal">
      <formula>0</formula>
    </cfRule>
    <cfRule type="cellIs" dxfId="5864" priority="3974" operator="notEqual">
      <formula>0</formula>
    </cfRule>
  </conditionalFormatting>
  <conditionalFormatting sqref="H10">
    <cfRule type="cellIs" dxfId="5863" priority="3972" operator="equal">
      <formula>0</formula>
    </cfRule>
  </conditionalFormatting>
  <conditionalFormatting sqref="I8:I9">
    <cfRule type="cellIs" dxfId="5862" priority="3970" operator="equal">
      <formula>0</formula>
    </cfRule>
    <cfRule type="cellIs" dxfId="5861" priority="3971" operator="notEqual">
      <formula>0</formula>
    </cfRule>
  </conditionalFormatting>
  <conditionalFormatting sqref="I10">
    <cfRule type="cellIs" dxfId="5860" priority="3969" operator="equal">
      <formula>0</formula>
    </cfRule>
  </conditionalFormatting>
  <conditionalFormatting sqref="J8:J9">
    <cfRule type="cellIs" dxfId="5859" priority="3967" operator="equal">
      <formula>0</formula>
    </cfRule>
    <cfRule type="cellIs" dxfId="5858" priority="3968" operator="notEqual">
      <formula>0</formula>
    </cfRule>
  </conditionalFormatting>
  <conditionalFormatting sqref="J10">
    <cfRule type="cellIs" dxfId="5857" priority="3966" operator="equal">
      <formula>0</formula>
    </cfRule>
  </conditionalFormatting>
  <conditionalFormatting sqref="K8:K9">
    <cfRule type="cellIs" dxfId="5856" priority="3964" operator="equal">
      <formula>0</formula>
    </cfRule>
    <cfRule type="cellIs" dxfId="5855" priority="3965" operator="notEqual">
      <formula>0</formula>
    </cfRule>
  </conditionalFormatting>
  <conditionalFormatting sqref="K10">
    <cfRule type="cellIs" dxfId="5854" priority="3963" operator="equal">
      <formula>0</formula>
    </cfRule>
  </conditionalFormatting>
  <conditionalFormatting sqref="L10">
    <cfRule type="cellIs" dxfId="5853" priority="3962" operator="equal">
      <formula>0</formula>
    </cfRule>
  </conditionalFormatting>
  <conditionalFormatting sqref="M10">
    <cfRule type="cellIs" dxfId="5852" priority="3961" operator="equal">
      <formula>0</formula>
    </cfRule>
  </conditionalFormatting>
  <conditionalFormatting sqref="N10">
    <cfRule type="cellIs" dxfId="5851" priority="3960" operator="equal">
      <formula>0</formula>
    </cfRule>
  </conditionalFormatting>
  <conditionalFormatting sqref="O10">
    <cfRule type="cellIs" dxfId="5850" priority="3959" operator="equal">
      <formula>0</formula>
    </cfRule>
  </conditionalFormatting>
  <conditionalFormatting sqref="P7">
    <cfRule type="cellIs" dxfId="5849" priority="3957" operator="equal">
      <formula>0</formula>
    </cfRule>
    <cfRule type="cellIs" dxfId="5848" priority="3958" operator="notEqual">
      <formula>0</formula>
    </cfRule>
  </conditionalFormatting>
  <conditionalFormatting sqref="P10">
    <cfRule type="cellIs" dxfId="5847" priority="3956" operator="equal">
      <formula>0</formula>
    </cfRule>
  </conditionalFormatting>
  <conditionalFormatting sqref="Q7">
    <cfRule type="cellIs" dxfId="5846" priority="3954" operator="equal">
      <formula>0</formula>
    </cfRule>
    <cfRule type="cellIs" dxfId="5845" priority="3955" operator="notEqual">
      <formula>0</formula>
    </cfRule>
  </conditionalFormatting>
  <conditionalFormatting sqref="Q10">
    <cfRule type="cellIs" dxfId="5844" priority="3953" operator="equal">
      <formula>0</formula>
    </cfRule>
  </conditionalFormatting>
  <conditionalFormatting sqref="R7">
    <cfRule type="cellIs" dxfId="5843" priority="3951" operator="equal">
      <formula>0</formula>
    </cfRule>
    <cfRule type="cellIs" dxfId="5842" priority="3952" operator="notEqual">
      <formula>0</formula>
    </cfRule>
  </conditionalFormatting>
  <conditionalFormatting sqref="R10">
    <cfRule type="cellIs" dxfId="5841" priority="3950" operator="equal">
      <formula>0</formula>
    </cfRule>
  </conditionalFormatting>
  <conditionalFormatting sqref="S7">
    <cfRule type="cellIs" dxfId="5840" priority="3948" operator="equal">
      <formula>0</formula>
    </cfRule>
    <cfRule type="cellIs" dxfId="5839" priority="3949" operator="notEqual">
      <formula>0</formula>
    </cfRule>
  </conditionalFormatting>
  <conditionalFormatting sqref="S10">
    <cfRule type="cellIs" dxfId="5838" priority="3947" operator="equal">
      <formula>0</formula>
    </cfRule>
  </conditionalFormatting>
  <conditionalFormatting sqref="D13:D14">
    <cfRule type="cellIs" dxfId="5837" priority="3945" operator="equal">
      <formula>0</formula>
    </cfRule>
    <cfRule type="cellIs" dxfId="5836" priority="3946" operator="notEqual">
      <formula>0</formula>
    </cfRule>
  </conditionalFormatting>
  <conditionalFormatting sqref="D15:D16">
    <cfRule type="cellIs" dxfId="5835" priority="3944" operator="equal">
      <formula>0</formula>
    </cfRule>
  </conditionalFormatting>
  <conditionalFormatting sqref="E13:E14">
    <cfRule type="cellIs" dxfId="5834" priority="3942" operator="equal">
      <formula>0</formula>
    </cfRule>
    <cfRule type="cellIs" dxfId="5833" priority="3943" operator="notEqual">
      <formula>0</formula>
    </cfRule>
  </conditionalFormatting>
  <conditionalFormatting sqref="E15:E16 F16:S16">
    <cfRule type="cellIs" dxfId="5832" priority="3941" operator="equal">
      <formula>0</formula>
    </cfRule>
  </conditionalFormatting>
  <conditionalFormatting sqref="F13:F14">
    <cfRule type="cellIs" dxfId="5831" priority="3939" operator="equal">
      <formula>0</formula>
    </cfRule>
    <cfRule type="cellIs" dxfId="5830" priority="3940" operator="notEqual">
      <formula>0</formula>
    </cfRule>
  </conditionalFormatting>
  <conditionalFormatting sqref="F15">
    <cfRule type="cellIs" dxfId="5829" priority="3938" operator="equal">
      <formula>0</formula>
    </cfRule>
  </conditionalFormatting>
  <conditionalFormatting sqref="G13:G14">
    <cfRule type="cellIs" dxfId="5828" priority="3936" operator="equal">
      <formula>0</formula>
    </cfRule>
    <cfRule type="cellIs" dxfId="5827" priority="3937" operator="notEqual">
      <formula>0</formula>
    </cfRule>
  </conditionalFormatting>
  <conditionalFormatting sqref="G15">
    <cfRule type="cellIs" dxfId="5826" priority="3935" operator="equal">
      <formula>0</formula>
    </cfRule>
  </conditionalFormatting>
  <conditionalFormatting sqref="H13:H14">
    <cfRule type="cellIs" dxfId="5825" priority="3933" operator="equal">
      <formula>0</formula>
    </cfRule>
    <cfRule type="cellIs" dxfId="5824" priority="3934" operator="notEqual">
      <formula>0</formula>
    </cfRule>
  </conditionalFormatting>
  <conditionalFormatting sqref="H15">
    <cfRule type="cellIs" dxfId="5823" priority="3932" operator="equal">
      <formula>0</formula>
    </cfRule>
  </conditionalFormatting>
  <conditionalFormatting sqref="I13:I14">
    <cfRule type="cellIs" dxfId="5822" priority="3930" operator="equal">
      <formula>0</formula>
    </cfRule>
    <cfRule type="cellIs" dxfId="5821" priority="3931" operator="notEqual">
      <formula>0</formula>
    </cfRule>
  </conditionalFormatting>
  <conditionalFormatting sqref="I15">
    <cfRule type="cellIs" dxfId="5820" priority="3929" operator="equal">
      <formula>0</formula>
    </cfRule>
  </conditionalFormatting>
  <conditionalFormatting sqref="J13:J14">
    <cfRule type="cellIs" dxfId="5819" priority="3927" operator="equal">
      <formula>0</formula>
    </cfRule>
    <cfRule type="cellIs" dxfId="5818" priority="3928" operator="notEqual">
      <formula>0</formula>
    </cfRule>
  </conditionalFormatting>
  <conditionalFormatting sqref="J15">
    <cfRule type="cellIs" dxfId="5817" priority="3926" operator="equal">
      <formula>0</formula>
    </cfRule>
  </conditionalFormatting>
  <conditionalFormatting sqref="K13:K14">
    <cfRule type="cellIs" dxfId="5816" priority="3924" operator="equal">
      <formula>0</formula>
    </cfRule>
    <cfRule type="cellIs" dxfId="5815" priority="3925" operator="notEqual">
      <formula>0</formula>
    </cfRule>
  </conditionalFormatting>
  <conditionalFormatting sqref="K15">
    <cfRule type="cellIs" dxfId="5814" priority="3923" operator="equal">
      <formula>0</formula>
    </cfRule>
  </conditionalFormatting>
  <conditionalFormatting sqref="L15">
    <cfRule type="cellIs" dxfId="5813" priority="3922" operator="equal">
      <formula>0</formula>
    </cfRule>
  </conditionalFormatting>
  <conditionalFormatting sqref="M15">
    <cfRule type="cellIs" dxfId="5812" priority="3921" operator="equal">
      <formula>0</formula>
    </cfRule>
  </conditionalFormatting>
  <conditionalFormatting sqref="N15">
    <cfRule type="cellIs" dxfId="5811" priority="3920" operator="equal">
      <formula>0</formula>
    </cfRule>
  </conditionalFormatting>
  <conditionalFormatting sqref="O15">
    <cfRule type="cellIs" dxfId="5810" priority="3919" operator="equal">
      <formula>0</formula>
    </cfRule>
  </conditionalFormatting>
  <conditionalFormatting sqref="P12">
    <cfRule type="cellIs" dxfId="5809" priority="3917" operator="equal">
      <formula>0</formula>
    </cfRule>
    <cfRule type="cellIs" dxfId="5808" priority="3918" operator="notEqual">
      <formula>0</formula>
    </cfRule>
  </conditionalFormatting>
  <conditionalFormatting sqref="P15">
    <cfRule type="cellIs" dxfId="5807" priority="3916" operator="equal">
      <formula>0</formula>
    </cfRule>
  </conditionalFormatting>
  <conditionalFormatting sqref="Q12">
    <cfRule type="cellIs" dxfId="5806" priority="3914" operator="equal">
      <formula>0</formula>
    </cfRule>
    <cfRule type="cellIs" dxfId="5805" priority="3915" operator="notEqual">
      <formula>0</formula>
    </cfRule>
  </conditionalFormatting>
  <conditionalFormatting sqref="Q15">
    <cfRule type="cellIs" dxfId="5804" priority="3913" operator="equal">
      <formula>0</formula>
    </cfRule>
  </conditionalFormatting>
  <conditionalFormatting sqref="R12">
    <cfRule type="cellIs" dxfId="5803" priority="3911" operator="equal">
      <formula>0</formula>
    </cfRule>
    <cfRule type="cellIs" dxfId="5802" priority="3912" operator="notEqual">
      <formula>0</formula>
    </cfRule>
  </conditionalFormatting>
  <conditionalFormatting sqref="R15">
    <cfRule type="cellIs" dxfId="5801" priority="3910" operator="equal">
      <formula>0</formula>
    </cfRule>
  </conditionalFormatting>
  <conditionalFormatting sqref="S12">
    <cfRule type="cellIs" dxfId="5800" priority="3908" operator="equal">
      <formula>0</formula>
    </cfRule>
    <cfRule type="cellIs" dxfId="5799" priority="3909" operator="notEqual">
      <formula>0</formula>
    </cfRule>
  </conditionalFormatting>
  <conditionalFormatting sqref="S15">
    <cfRule type="cellIs" dxfId="5798" priority="3907" operator="equal">
      <formula>0</formula>
    </cfRule>
  </conditionalFormatting>
  <conditionalFormatting sqref="D18:D19">
    <cfRule type="cellIs" dxfId="5797" priority="3905" operator="equal">
      <formula>0</formula>
    </cfRule>
    <cfRule type="cellIs" dxfId="5796" priority="3906" operator="notEqual">
      <formula>0</formula>
    </cfRule>
  </conditionalFormatting>
  <conditionalFormatting sqref="D20:D21 E21:S21">
    <cfRule type="cellIs" dxfId="5795" priority="3904" operator="equal">
      <formula>0</formula>
    </cfRule>
  </conditionalFormatting>
  <conditionalFormatting sqref="E18:E19">
    <cfRule type="cellIs" dxfId="5794" priority="3902" operator="equal">
      <formula>0</formula>
    </cfRule>
    <cfRule type="cellIs" dxfId="5793" priority="3903" operator="notEqual">
      <formula>0</formula>
    </cfRule>
  </conditionalFormatting>
  <conditionalFormatting sqref="E20">
    <cfRule type="cellIs" dxfId="5792" priority="3901" operator="equal">
      <formula>0</formula>
    </cfRule>
  </conditionalFormatting>
  <conditionalFormatting sqref="F18:F19">
    <cfRule type="cellIs" dxfId="5791" priority="3899" operator="equal">
      <formula>0</formula>
    </cfRule>
    <cfRule type="cellIs" dxfId="5790" priority="3900" operator="notEqual">
      <formula>0</formula>
    </cfRule>
  </conditionalFormatting>
  <conditionalFormatting sqref="F20">
    <cfRule type="cellIs" dxfId="5789" priority="3898" operator="equal">
      <formula>0</formula>
    </cfRule>
  </conditionalFormatting>
  <conditionalFormatting sqref="G18:G19">
    <cfRule type="cellIs" dxfId="5788" priority="3896" operator="equal">
      <formula>0</formula>
    </cfRule>
    <cfRule type="cellIs" dxfId="5787" priority="3897" operator="notEqual">
      <formula>0</formula>
    </cfRule>
  </conditionalFormatting>
  <conditionalFormatting sqref="G20">
    <cfRule type="cellIs" dxfId="5786" priority="3895" operator="equal">
      <formula>0</formula>
    </cfRule>
  </conditionalFormatting>
  <conditionalFormatting sqref="H18:H19">
    <cfRule type="cellIs" dxfId="5785" priority="3893" operator="equal">
      <formula>0</formula>
    </cfRule>
    <cfRule type="cellIs" dxfId="5784" priority="3894" operator="notEqual">
      <formula>0</formula>
    </cfRule>
  </conditionalFormatting>
  <conditionalFormatting sqref="H20">
    <cfRule type="cellIs" dxfId="5783" priority="3892" operator="equal">
      <formula>0</formula>
    </cfRule>
  </conditionalFormatting>
  <conditionalFormatting sqref="I18:I19">
    <cfRule type="cellIs" dxfId="5782" priority="3890" operator="equal">
      <formula>0</formula>
    </cfRule>
    <cfRule type="cellIs" dxfId="5781" priority="3891" operator="notEqual">
      <formula>0</formula>
    </cfRule>
  </conditionalFormatting>
  <conditionalFormatting sqref="I20">
    <cfRule type="cellIs" dxfId="5780" priority="3889" operator="equal">
      <formula>0</formula>
    </cfRule>
  </conditionalFormatting>
  <conditionalFormatting sqref="J18:J19">
    <cfRule type="cellIs" dxfId="5779" priority="3887" operator="equal">
      <formula>0</formula>
    </cfRule>
    <cfRule type="cellIs" dxfId="5778" priority="3888" operator="notEqual">
      <formula>0</formula>
    </cfRule>
  </conditionalFormatting>
  <conditionalFormatting sqref="J20">
    <cfRule type="cellIs" dxfId="5777" priority="3886" operator="equal">
      <formula>0</formula>
    </cfRule>
  </conditionalFormatting>
  <conditionalFormatting sqref="K18:K19">
    <cfRule type="cellIs" dxfId="5776" priority="3884" operator="equal">
      <formula>0</formula>
    </cfRule>
    <cfRule type="cellIs" dxfId="5775" priority="3885" operator="notEqual">
      <formula>0</formula>
    </cfRule>
  </conditionalFormatting>
  <conditionalFormatting sqref="K20">
    <cfRule type="cellIs" dxfId="5774" priority="3883" operator="equal">
      <formula>0</formula>
    </cfRule>
  </conditionalFormatting>
  <conditionalFormatting sqref="L20">
    <cfRule type="cellIs" dxfId="5773" priority="3882" operator="equal">
      <formula>0</formula>
    </cfRule>
  </conditionalFormatting>
  <conditionalFormatting sqref="M20">
    <cfRule type="cellIs" dxfId="5772" priority="3881" operator="equal">
      <formula>0</formula>
    </cfRule>
  </conditionalFormatting>
  <conditionalFormatting sqref="O20">
    <cfRule type="cellIs" dxfId="5771" priority="3879" operator="equal">
      <formula>0</formula>
    </cfRule>
  </conditionalFormatting>
  <conditionalFormatting sqref="P17">
    <cfRule type="cellIs" dxfId="5770" priority="3877" operator="equal">
      <formula>0</formula>
    </cfRule>
    <cfRule type="cellIs" dxfId="5769" priority="3878" operator="notEqual">
      <formula>0</formula>
    </cfRule>
  </conditionalFormatting>
  <conditionalFormatting sqref="P20">
    <cfRule type="cellIs" dxfId="5768" priority="3876" operator="equal">
      <formula>0</formula>
    </cfRule>
  </conditionalFormatting>
  <conditionalFormatting sqref="Q17">
    <cfRule type="cellIs" dxfId="5767" priority="3874" operator="equal">
      <formula>0</formula>
    </cfRule>
    <cfRule type="cellIs" dxfId="5766" priority="3875" operator="notEqual">
      <formula>0</formula>
    </cfRule>
  </conditionalFormatting>
  <conditionalFormatting sqref="Q20">
    <cfRule type="cellIs" dxfId="5765" priority="3873" operator="equal">
      <formula>0</formula>
    </cfRule>
  </conditionalFormatting>
  <conditionalFormatting sqref="R17">
    <cfRule type="cellIs" dxfId="5764" priority="3871" operator="equal">
      <formula>0</formula>
    </cfRule>
    <cfRule type="cellIs" dxfId="5763" priority="3872" operator="notEqual">
      <formula>0</formula>
    </cfRule>
  </conditionalFormatting>
  <conditionalFormatting sqref="R20">
    <cfRule type="cellIs" dxfId="5762" priority="3870" operator="equal">
      <formula>0</formula>
    </cfRule>
  </conditionalFormatting>
  <conditionalFormatting sqref="S17">
    <cfRule type="cellIs" dxfId="5761" priority="3868" operator="equal">
      <formula>0</formula>
    </cfRule>
    <cfRule type="cellIs" dxfId="5760" priority="3869" operator="notEqual">
      <formula>0</formula>
    </cfRule>
  </conditionalFormatting>
  <conditionalFormatting sqref="S20">
    <cfRule type="cellIs" dxfId="5759" priority="3867" operator="equal">
      <formula>0</formula>
    </cfRule>
  </conditionalFormatting>
  <conditionalFormatting sqref="D23:D24">
    <cfRule type="cellIs" dxfId="5758" priority="3865" operator="equal">
      <formula>0</formula>
    </cfRule>
    <cfRule type="cellIs" dxfId="5757" priority="3866" operator="notEqual">
      <formula>0</formula>
    </cfRule>
  </conditionalFormatting>
  <conditionalFormatting sqref="D25:D26 E26:S26">
    <cfRule type="cellIs" dxfId="5756" priority="3864" operator="equal">
      <formula>0</formula>
    </cfRule>
  </conditionalFormatting>
  <conditionalFormatting sqref="E23:E24">
    <cfRule type="cellIs" dxfId="5755" priority="3862" operator="equal">
      <formula>0</formula>
    </cfRule>
    <cfRule type="cellIs" dxfId="5754" priority="3863" operator="notEqual">
      <formula>0</formula>
    </cfRule>
  </conditionalFormatting>
  <conditionalFormatting sqref="E25">
    <cfRule type="cellIs" dxfId="5753" priority="3861" operator="equal">
      <formula>0</formula>
    </cfRule>
  </conditionalFormatting>
  <conditionalFormatting sqref="F23:F24">
    <cfRule type="cellIs" dxfId="5752" priority="3859" operator="equal">
      <formula>0</formula>
    </cfRule>
    <cfRule type="cellIs" dxfId="5751" priority="3860" operator="notEqual">
      <formula>0</formula>
    </cfRule>
  </conditionalFormatting>
  <conditionalFormatting sqref="F25">
    <cfRule type="cellIs" dxfId="5750" priority="3858" operator="equal">
      <formula>0</formula>
    </cfRule>
  </conditionalFormatting>
  <conditionalFormatting sqref="G23:G24">
    <cfRule type="cellIs" dxfId="5749" priority="3856" operator="equal">
      <formula>0</formula>
    </cfRule>
    <cfRule type="cellIs" dxfId="5748" priority="3857" operator="notEqual">
      <formula>0</formula>
    </cfRule>
  </conditionalFormatting>
  <conditionalFormatting sqref="G25">
    <cfRule type="cellIs" dxfId="5747" priority="3855" operator="equal">
      <formula>0</formula>
    </cfRule>
  </conditionalFormatting>
  <conditionalFormatting sqref="H23:H24">
    <cfRule type="cellIs" dxfId="5746" priority="3853" operator="equal">
      <formula>0</formula>
    </cfRule>
    <cfRule type="cellIs" dxfId="5745" priority="3854" operator="notEqual">
      <formula>0</formula>
    </cfRule>
  </conditionalFormatting>
  <conditionalFormatting sqref="H25">
    <cfRule type="cellIs" dxfId="5744" priority="3852" operator="equal">
      <formula>0</formula>
    </cfRule>
  </conditionalFormatting>
  <conditionalFormatting sqref="I23:I24">
    <cfRule type="cellIs" dxfId="5743" priority="3850" operator="equal">
      <formula>0</formula>
    </cfRule>
    <cfRule type="cellIs" dxfId="5742" priority="3851" operator="notEqual">
      <formula>0</formula>
    </cfRule>
  </conditionalFormatting>
  <conditionalFormatting sqref="I25">
    <cfRule type="cellIs" dxfId="5741" priority="3849" operator="equal">
      <formula>0</formula>
    </cfRule>
  </conditionalFormatting>
  <conditionalFormatting sqref="J23:J24">
    <cfRule type="cellIs" dxfId="5740" priority="3847" operator="equal">
      <formula>0</formula>
    </cfRule>
    <cfRule type="cellIs" dxfId="5739" priority="3848" operator="notEqual">
      <formula>0</formula>
    </cfRule>
  </conditionalFormatting>
  <conditionalFormatting sqref="J25">
    <cfRule type="cellIs" dxfId="5738" priority="3846" operator="equal">
      <formula>0</formula>
    </cfRule>
  </conditionalFormatting>
  <conditionalFormatting sqref="K23:K24">
    <cfRule type="cellIs" dxfId="5737" priority="3844" operator="equal">
      <formula>0</formula>
    </cfRule>
    <cfRule type="cellIs" dxfId="5736" priority="3845" operator="notEqual">
      <formula>0</formula>
    </cfRule>
  </conditionalFormatting>
  <conditionalFormatting sqref="K25">
    <cfRule type="cellIs" dxfId="5735" priority="3843" operator="equal">
      <formula>0</formula>
    </cfRule>
  </conditionalFormatting>
  <conditionalFormatting sqref="L25">
    <cfRule type="cellIs" dxfId="5734" priority="3842" operator="equal">
      <formula>0</formula>
    </cfRule>
  </conditionalFormatting>
  <conditionalFormatting sqref="M25">
    <cfRule type="cellIs" dxfId="5733" priority="3841" operator="equal">
      <formula>0</formula>
    </cfRule>
  </conditionalFormatting>
  <conditionalFormatting sqref="N25">
    <cfRule type="cellIs" dxfId="5732" priority="3840" operator="equal">
      <formula>0</formula>
    </cfRule>
  </conditionalFormatting>
  <conditionalFormatting sqref="O25">
    <cfRule type="cellIs" dxfId="5731" priority="3839" operator="equal">
      <formula>0</formula>
    </cfRule>
  </conditionalFormatting>
  <conditionalFormatting sqref="P22">
    <cfRule type="cellIs" dxfId="5730" priority="3837" operator="equal">
      <formula>0</formula>
    </cfRule>
    <cfRule type="cellIs" dxfId="5729" priority="3838" operator="notEqual">
      <formula>0</formula>
    </cfRule>
  </conditionalFormatting>
  <conditionalFormatting sqref="P25">
    <cfRule type="cellIs" dxfId="5728" priority="3836" operator="equal">
      <formula>0</formula>
    </cfRule>
  </conditionalFormatting>
  <conditionalFormatting sqref="Q22">
    <cfRule type="cellIs" dxfId="5727" priority="3834" operator="equal">
      <formula>0</formula>
    </cfRule>
    <cfRule type="cellIs" dxfId="5726" priority="3835" operator="notEqual">
      <formula>0</formula>
    </cfRule>
  </conditionalFormatting>
  <conditionalFormatting sqref="Q25">
    <cfRule type="cellIs" dxfId="5725" priority="3833" operator="equal">
      <formula>0</formula>
    </cfRule>
  </conditionalFormatting>
  <conditionalFormatting sqref="R22">
    <cfRule type="cellIs" dxfId="5724" priority="3831" operator="equal">
      <formula>0</formula>
    </cfRule>
    <cfRule type="cellIs" dxfId="5723" priority="3832" operator="notEqual">
      <formula>0</formula>
    </cfRule>
  </conditionalFormatting>
  <conditionalFormatting sqref="R25">
    <cfRule type="cellIs" dxfId="5722" priority="3830" operator="equal">
      <formula>0</formula>
    </cfRule>
  </conditionalFormatting>
  <conditionalFormatting sqref="S22">
    <cfRule type="cellIs" dxfId="5721" priority="3828" operator="equal">
      <formula>0</formula>
    </cfRule>
    <cfRule type="cellIs" dxfId="5720" priority="3829" operator="notEqual">
      <formula>0</formula>
    </cfRule>
  </conditionalFormatting>
  <conditionalFormatting sqref="S25">
    <cfRule type="cellIs" dxfId="5719" priority="3827" operator="equal">
      <formula>0</formula>
    </cfRule>
  </conditionalFormatting>
  <conditionalFormatting sqref="D28:D29">
    <cfRule type="cellIs" dxfId="5718" priority="3825" operator="equal">
      <formula>0</formula>
    </cfRule>
    <cfRule type="cellIs" dxfId="5717" priority="3826" operator="notEqual">
      <formula>0</formula>
    </cfRule>
  </conditionalFormatting>
  <conditionalFormatting sqref="D30:D31 E31:S31">
    <cfRule type="cellIs" dxfId="5716" priority="3824" operator="equal">
      <formula>0</formula>
    </cfRule>
  </conditionalFormatting>
  <conditionalFormatting sqref="E28:E29">
    <cfRule type="cellIs" dxfId="5715" priority="3822" operator="equal">
      <formula>0</formula>
    </cfRule>
    <cfRule type="cellIs" dxfId="5714" priority="3823" operator="notEqual">
      <formula>0</formula>
    </cfRule>
  </conditionalFormatting>
  <conditionalFormatting sqref="E30">
    <cfRule type="cellIs" dxfId="5713" priority="3821" operator="equal">
      <formula>0</formula>
    </cfRule>
  </conditionalFormatting>
  <conditionalFormatting sqref="F28:F29">
    <cfRule type="cellIs" dxfId="5712" priority="3819" operator="equal">
      <formula>0</formula>
    </cfRule>
    <cfRule type="cellIs" dxfId="5711" priority="3820" operator="notEqual">
      <formula>0</formula>
    </cfRule>
  </conditionalFormatting>
  <conditionalFormatting sqref="F30">
    <cfRule type="cellIs" dxfId="5710" priority="3818" operator="equal">
      <formula>0</formula>
    </cfRule>
  </conditionalFormatting>
  <conditionalFormatting sqref="G28:G29">
    <cfRule type="cellIs" dxfId="5709" priority="3816" operator="equal">
      <formula>0</formula>
    </cfRule>
    <cfRule type="cellIs" dxfId="5708" priority="3817" operator="notEqual">
      <formula>0</formula>
    </cfRule>
  </conditionalFormatting>
  <conditionalFormatting sqref="G30">
    <cfRule type="cellIs" dxfId="5707" priority="3815" operator="equal">
      <formula>0</formula>
    </cfRule>
  </conditionalFormatting>
  <conditionalFormatting sqref="H28:H29">
    <cfRule type="cellIs" dxfId="5706" priority="3813" operator="equal">
      <formula>0</formula>
    </cfRule>
    <cfRule type="cellIs" dxfId="5705" priority="3814" operator="notEqual">
      <formula>0</formula>
    </cfRule>
  </conditionalFormatting>
  <conditionalFormatting sqref="H30">
    <cfRule type="cellIs" dxfId="5704" priority="3812" operator="equal">
      <formula>0</formula>
    </cfRule>
  </conditionalFormatting>
  <conditionalFormatting sqref="I28:I29">
    <cfRule type="cellIs" dxfId="5703" priority="3810" operator="equal">
      <formula>0</formula>
    </cfRule>
    <cfRule type="cellIs" dxfId="5702" priority="3811" operator="notEqual">
      <formula>0</formula>
    </cfRule>
  </conditionalFormatting>
  <conditionalFormatting sqref="I30">
    <cfRule type="cellIs" dxfId="5701" priority="3809" operator="equal">
      <formula>0</formula>
    </cfRule>
  </conditionalFormatting>
  <conditionalFormatting sqref="J28:J29">
    <cfRule type="cellIs" dxfId="5700" priority="3807" operator="equal">
      <formula>0</formula>
    </cfRule>
    <cfRule type="cellIs" dxfId="5699" priority="3808" operator="notEqual">
      <formula>0</formula>
    </cfRule>
  </conditionalFormatting>
  <conditionalFormatting sqref="J30">
    <cfRule type="cellIs" dxfId="5698" priority="3806" operator="equal">
      <formula>0</formula>
    </cfRule>
  </conditionalFormatting>
  <conditionalFormatting sqref="K28:K29">
    <cfRule type="cellIs" dxfId="5697" priority="3804" operator="equal">
      <formula>0</formula>
    </cfRule>
    <cfRule type="cellIs" dxfId="5696" priority="3805" operator="notEqual">
      <formula>0</formula>
    </cfRule>
  </conditionalFormatting>
  <conditionalFormatting sqref="K30">
    <cfRule type="cellIs" dxfId="5695" priority="3803" operator="equal">
      <formula>0</formula>
    </cfRule>
  </conditionalFormatting>
  <conditionalFormatting sqref="L30">
    <cfRule type="cellIs" dxfId="5694" priority="3802" operator="equal">
      <formula>0</formula>
    </cfRule>
  </conditionalFormatting>
  <conditionalFormatting sqref="M30">
    <cfRule type="cellIs" dxfId="5693" priority="3801" operator="equal">
      <formula>0</formula>
    </cfRule>
  </conditionalFormatting>
  <conditionalFormatting sqref="N30">
    <cfRule type="cellIs" dxfId="5692" priority="3800" operator="equal">
      <formula>0</formula>
    </cfRule>
  </conditionalFormatting>
  <conditionalFormatting sqref="O30">
    <cfRule type="cellIs" dxfId="5691" priority="3799" operator="equal">
      <formula>0</formula>
    </cfRule>
  </conditionalFormatting>
  <conditionalFormatting sqref="P27">
    <cfRule type="cellIs" dxfId="5690" priority="3797" operator="equal">
      <formula>0</formula>
    </cfRule>
    <cfRule type="cellIs" dxfId="5689" priority="3798" operator="notEqual">
      <formula>0</formula>
    </cfRule>
  </conditionalFormatting>
  <conditionalFormatting sqref="P30">
    <cfRule type="cellIs" dxfId="5688" priority="3796" operator="equal">
      <formula>0</formula>
    </cfRule>
  </conditionalFormatting>
  <conditionalFormatting sqref="Q27">
    <cfRule type="cellIs" dxfId="5687" priority="3794" operator="equal">
      <formula>0</formula>
    </cfRule>
    <cfRule type="cellIs" dxfId="5686" priority="3795" operator="notEqual">
      <formula>0</formula>
    </cfRule>
  </conditionalFormatting>
  <conditionalFormatting sqref="Q30">
    <cfRule type="cellIs" dxfId="5685" priority="3793" operator="equal">
      <formula>0</formula>
    </cfRule>
  </conditionalFormatting>
  <conditionalFormatting sqref="R27">
    <cfRule type="cellIs" dxfId="5684" priority="3791" operator="equal">
      <formula>0</formula>
    </cfRule>
    <cfRule type="cellIs" dxfId="5683" priority="3792" operator="notEqual">
      <formula>0</formula>
    </cfRule>
  </conditionalFormatting>
  <conditionalFormatting sqref="R30">
    <cfRule type="cellIs" dxfId="5682" priority="3790" operator="equal">
      <formula>0</formula>
    </cfRule>
  </conditionalFormatting>
  <conditionalFormatting sqref="S27">
    <cfRule type="cellIs" dxfId="5681" priority="3788" operator="equal">
      <formula>0</formula>
    </cfRule>
    <cfRule type="cellIs" dxfId="5680" priority="3789" operator="notEqual">
      <formula>0</formula>
    </cfRule>
  </conditionalFormatting>
  <conditionalFormatting sqref="S30">
    <cfRule type="cellIs" dxfId="5679" priority="3787" operator="equal">
      <formula>0</formula>
    </cfRule>
  </conditionalFormatting>
  <conditionalFormatting sqref="D33:D34">
    <cfRule type="cellIs" dxfId="5678" priority="3785" operator="equal">
      <formula>0</formula>
    </cfRule>
    <cfRule type="cellIs" dxfId="5677" priority="3786" operator="notEqual">
      <formula>0</formula>
    </cfRule>
  </conditionalFormatting>
  <conditionalFormatting sqref="D35:D36 E36:S36">
    <cfRule type="cellIs" dxfId="5676" priority="3784" operator="equal">
      <formula>0</formula>
    </cfRule>
  </conditionalFormatting>
  <conditionalFormatting sqref="E33:E34">
    <cfRule type="cellIs" dxfId="5675" priority="3782" operator="equal">
      <formula>0</formula>
    </cfRule>
    <cfRule type="cellIs" dxfId="5674" priority="3783" operator="notEqual">
      <formula>0</formula>
    </cfRule>
  </conditionalFormatting>
  <conditionalFormatting sqref="E35">
    <cfRule type="cellIs" dxfId="5673" priority="3781" operator="equal">
      <formula>0</formula>
    </cfRule>
  </conditionalFormatting>
  <conditionalFormatting sqref="F33:F34">
    <cfRule type="cellIs" dxfId="5672" priority="3779" operator="equal">
      <formula>0</formula>
    </cfRule>
    <cfRule type="cellIs" dxfId="5671" priority="3780" operator="notEqual">
      <formula>0</formula>
    </cfRule>
  </conditionalFormatting>
  <conditionalFormatting sqref="F35">
    <cfRule type="cellIs" dxfId="5670" priority="3778" operator="equal">
      <formula>0</formula>
    </cfRule>
  </conditionalFormatting>
  <conditionalFormatting sqref="G33:G34">
    <cfRule type="cellIs" dxfId="5669" priority="3776" operator="equal">
      <formula>0</formula>
    </cfRule>
    <cfRule type="cellIs" dxfId="5668" priority="3777" operator="notEqual">
      <formula>0</formula>
    </cfRule>
  </conditionalFormatting>
  <conditionalFormatting sqref="G35">
    <cfRule type="cellIs" dxfId="5667" priority="3775" operator="equal">
      <formula>0</formula>
    </cfRule>
  </conditionalFormatting>
  <conditionalFormatting sqref="H33:H34">
    <cfRule type="cellIs" dxfId="5666" priority="3773" operator="equal">
      <formula>0</formula>
    </cfRule>
    <cfRule type="cellIs" dxfId="5665" priority="3774" operator="notEqual">
      <formula>0</formula>
    </cfRule>
  </conditionalFormatting>
  <conditionalFormatting sqref="H35">
    <cfRule type="cellIs" dxfId="5664" priority="3772" operator="equal">
      <formula>0</formula>
    </cfRule>
  </conditionalFormatting>
  <conditionalFormatting sqref="I33:I34">
    <cfRule type="cellIs" dxfId="5663" priority="3770" operator="equal">
      <formula>0</formula>
    </cfRule>
    <cfRule type="cellIs" dxfId="5662" priority="3771" operator="notEqual">
      <formula>0</formula>
    </cfRule>
  </conditionalFormatting>
  <conditionalFormatting sqref="I35">
    <cfRule type="cellIs" dxfId="5661" priority="3769" operator="equal">
      <formula>0</formula>
    </cfRule>
  </conditionalFormatting>
  <conditionalFormatting sqref="J33:J34">
    <cfRule type="cellIs" dxfId="5660" priority="3767" operator="equal">
      <formula>0</formula>
    </cfRule>
    <cfRule type="cellIs" dxfId="5659" priority="3768" operator="notEqual">
      <formula>0</formula>
    </cfRule>
  </conditionalFormatting>
  <conditionalFormatting sqref="J35">
    <cfRule type="cellIs" dxfId="5658" priority="3766" operator="equal">
      <formula>0</formula>
    </cfRule>
  </conditionalFormatting>
  <conditionalFormatting sqref="K33:K34">
    <cfRule type="cellIs" dxfId="5657" priority="3764" operator="equal">
      <formula>0</formula>
    </cfRule>
    <cfRule type="cellIs" dxfId="5656" priority="3765" operator="notEqual">
      <formula>0</formula>
    </cfRule>
  </conditionalFormatting>
  <conditionalFormatting sqref="K35">
    <cfRule type="cellIs" dxfId="5655" priority="3763" operator="equal">
      <formula>0</formula>
    </cfRule>
  </conditionalFormatting>
  <conditionalFormatting sqref="L35">
    <cfRule type="cellIs" dxfId="5654" priority="3762" operator="equal">
      <formula>0</formula>
    </cfRule>
  </conditionalFormatting>
  <conditionalFormatting sqref="M35">
    <cfRule type="cellIs" dxfId="5653" priority="3761" operator="equal">
      <formula>0</formula>
    </cfRule>
  </conditionalFormatting>
  <conditionalFormatting sqref="N35">
    <cfRule type="cellIs" dxfId="5652" priority="3760" operator="equal">
      <formula>0</formula>
    </cfRule>
  </conditionalFormatting>
  <conditionalFormatting sqref="O35">
    <cfRule type="cellIs" dxfId="5651" priority="3759" operator="equal">
      <formula>0</formula>
    </cfRule>
  </conditionalFormatting>
  <conditionalFormatting sqref="P32">
    <cfRule type="cellIs" dxfId="5650" priority="3757" operator="equal">
      <formula>0</formula>
    </cfRule>
    <cfRule type="cellIs" dxfId="5649" priority="3758" operator="notEqual">
      <formula>0</formula>
    </cfRule>
  </conditionalFormatting>
  <conditionalFormatting sqref="P35">
    <cfRule type="cellIs" dxfId="5648" priority="3756" operator="equal">
      <formula>0</formula>
    </cfRule>
  </conditionalFormatting>
  <conditionalFormatting sqref="Q32">
    <cfRule type="cellIs" dxfId="5647" priority="3754" operator="equal">
      <formula>0</formula>
    </cfRule>
    <cfRule type="cellIs" dxfId="5646" priority="3755" operator="notEqual">
      <formula>0</formula>
    </cfRule>
  </conditionalFormatting>
  <conditionalFormatting sqref="Q35">
    <cfRule type="cellIs" dxfId="5645" priority="3753" operator="equal">
      <formula>0</formula>
    </cfRule>
  </conditionalFormatting>
  <conditionalFormatting sqref="R32">
    <cfRule type="cellIs" dxfId="5644" priority="3751" operator="equal">
      <formula>0</formula>
    </cfRule>
    <cfRule type="cellIs" dxfId="5643" priority="3752" operator="notEqual">
      <formula>0</formula>
    </cfRule>
  </conditionalFormatting>
  <conditionalFormatting sqref="R35">
    <cfRule type="cellIs" dxfId="5642" priority="3750" operator="equal">
      <formula>0</formula>
    </cfRule>
  </conditionalFormatting>
  <conditionalFormatting sqref="S32">
    <cfRule type="cellIs" dxfId="5641" priority="3748" operator="equal">
      <formula>0</formula>
    </cfRule>
    <cfRule type="cellIs" dxfId="5640" priority="3749" operator="notEqual">
      <formula>0</formula>
    </cfRule>
  </conditionalFormatting>
  <conditionalFormatting sqref="S35">
    <cfRule type="cellIs" dxfId="5639" priority="3747" operator="equal">
      <formula>0</formula>
    </cfRule>
  </conditionalFormatting>
  <conditionalFormatting sqref="D38:D39">
    <cfRule type="cellIs" dxfId="5638" priority="3745" operator="equal">
      <formula>0</formula>
    </cfRule>
    <cfRule type="cellIs" dxfId="5637" priority="3746" operator="notEqual">
      <formula>0</formula>
    </cfRule>
  </conditionalFormatting>
  <conditionalFormatting sqref="D40:D41 E41:S41">
    <cfRule type="cellIs" dxfId="5636" priority="3744" operator="equal">
      <formula>0</formula>
    </cfRule>
  </conditionalFormatting>
  <conditionalFormatting sqref="E38:E39">
    <cfRule type="cellIs" dxfId="5635" priority="3742" operator="equal">
      <formula>0</formula>
    </cfRule>
    <cfRule type="cellIs" dxfId="5634" priority="3743" operator="notEqual">
      <formula>0</formula>
    </cfRule>
  </conditionalFormatting>
  <conditionalFormatting sqref="E40">
    <cfRule type="cellIs" dxfId="5633" priority="3741" operator="equal">
      <formula>0</formula>
    </cfRule>
  </conditionalFormatting>
  <conditionalFormatting sqref="F38:F39">
    <cfRule type="cellIs" dxfId="5632" priority="3739" operator="equal">
      <formula>0</formula>
    </cfRule>
    <cfRule type="cellIs" dxfId="5631" priority="3740" operator="notEqual">
      <formula>0</formula>
    </cfRule>
  </conditionalFormatting>
  <conditionalFormatting sqref="F40">
    <cfRule type="cellIs" dxfId="5630" priority="3738" operator="equal">
      <formula>0</formula>
    </cfRule>
  </conditionalFormatting>
  <conditionalFormatting sqref="G38:G39">
    <cfRule type="cellIs" dxfId="5629" priority="3736" operator="equal">
      <formula>0</formula>
    </cfRule>
    <cfRule type="cellIs" dxfId="5628" priority="3737" operator="notEqual">
      <formula>0</formula>
    </cfRule>
  </conditionalFormatting>
  <conditionalFormatting sqref="G40">
    <cfRule type="cellIs" dxfId="5627" priority="3735" operator="equal">
      <formula>0</formula>
    </cfRule>
  </conditionalFormatting>
  <conditionalFormatting sqref="H38:H39">
    <cfRule type="cellIs" dxfId="5626" priority="3733" operator="equal">
      <formula>0</formula>
    </cfRule>
    <cfRule type="cellIs" dxfId="5625" priority="3734" operator="notEqual">
      <formula>0</formula>
    </cfRule>
  </conditionalFormatting>
  <conditionalFormatting sqref="H40">
    <cfRule type="cellIs" dxfId="5624" priority="3732" operator="equal">
      <formula>0</formula>
    </cfRule>
  </conditionalFormatting>
  <conditionalFormatting sqref="I38:I39">
    <cfRule type="cellIs" dxfId="5623" priority="3730" operator="equal">
      <formula>0</formula>
    </cfRule>
    <cfRule type="cellIs" dxfId="5622" priority="3731" operator="notEqual">
      <formula>0</formula>
    </cfRule>
  </conditionalFormatting>
  <conditionalFormatting sqref="I40">
    <cfRule type="cellIs" dxfId="5621" priority="3729" operator="equal">
      <formula>0</formula>
    </cfRule>
  </conditionalFormatting>
  <conditionalFormatting sqref="J38:J39">
    <cfRule type="cellIs" dxfId="5620" priority="3727" operator="equal">
      <formula>0</formula>
    </cfRule>
    <cfRule type="cellIs" dxfId="5619" priority="3728" operator="notEqual">
      <formula>0</formula>
    </cfRule>
  </conditionalFormatting>
  <conditionalFormatting sqref="J40">
    <cfRule type="cellIs" dxfId="5618" priority="3726" operator="equal">
      <formula>0</formula>
    </cfRule>
  </conditionalFormatting>
  <conditionalFormatting sqref="K38:K39">
    <cfRule type="cellIs" dxfId="5617" priority="3724" operator="equal">
      <formula>0</formula>
    </cfRule>
    <cfRule type="cellIs" dxfId="5616" priority="3725" operator="notEqual">
      <formula>0</formula>
    </cfRule>
  </conditionalFormatting>
  <conditionalFormatting sqref="K40">
    <cfRule type="cellIs" dxfId="5615" priority="3723" operator="equal">
      <formula>0</formula>
    </cfRule>
  </conditionalFormatting>
  <conditionalFormatting sqref="L40">
    <cfRule type="cellIs" dxfId="5614" priority="3722" operator="equal">
      <formula>0</formula>
    </cfRule>
  </conditionalFormatting>
  <conditionalFormatting sqref="M40">
    <cfRule type="cellIs" dxfId="5613" priority="3721" operator="equal">
      <formula>0</formula>
    </cfRule>
  </conditionalFormatting>
  <conditionalFormatting sqref="N40">
    <cfRule type="cellIs" dxfId="5612" priority="3720" operator="equal">
      <formula>0</formula>
    </cfRule>
  </conditionalFormatting>
  <conditionalFormatting sqref="O40">
    <cfRule type="cellIs" dxfId="5611" priority="3719" operator="equal">
      <formula>0</formula>
    </cfRule>
  </conditionalFormatting>
  <conditionalFormatting sqref="P37">
    <cfRule type="cellIs" dxfId="5610" priority="3717" operator="equal">
      <formula>0</formula>
    </cfRule>
    <cfRule type="cellIs" dxfId="5609" priority="3718" operator="notEqual">
      <formula>0</formula>
    </cfRule>
  </conditionalFormatting>
  <conditionalFormatting sqref="P40">
    <cfRule type="cellIs" dxfId="5608" priority="3716" operator="equal">
      <formula>0</formula>
    </cfRule>
  </conditionalFormatting>
  <conditionalFormatting sqref="Q37">
    <cfRule type="cellIs" dxfId="5607" priority="3714" operator="equal">
      <formula>0</formula>
    </cfRule>
    <cfRule type="cellIs" dxfId="5606" priority="3715" operator="notEqual">
      <formula>0</formula>
    </cfRule>
  </conditionalFormatting>
  <conditionalFormatting sqref="Q40">
    <cfRule type="cellIs" dxfId="5605" priority="3713" operator="equal">
      <formula>0</formula>
    </cfRule>
  </conditionalFormatting>
  <conditionalFormatting sqref="R37">
    <cfRule type="cellIs" dxfId="5604" priority="3711" operator="equal">
      <formula>0</formula>
    </cfRule>
    <cfRule type="cellIs" dxfId="5603" priority="3712" operator="notEqual">
      <formula>0</formula>
    </cfRule>
  </conditionalFormatting>
  <conditionalFormatting sqref="R40">
    <cfRule type="cellIs" dxfId="5602" priority="3710" operator="equal">
      <formula>0</formula>
    </cfRule>
  </conditionalFormatting>
  <conditionalFormatting sqref="S37">
    <cfRule type="cellIs" dxfId="5601" priority="3708" operator="equal">
      <formula>0</formula>
    </cfRule>
    <cfRule type="cellIs" dxfId="5600" priority="3709" operator="notEqual">
      <formula>0</formula>
    </cfRule>
  </conditionalFormatting>
  <conditionalFormatting sqref="S40">
    <cfRule type="cellIs" dxfId="5599" priority="3707" operator="equal">
      <formula>0</formula>
    </cfRule>
  </conditionalFormatting>
  <conditionalFormatting sqref="D43:D44">
    <cfRule type="cellIs" dxfId="5598" priority="3705" operator="equal">
      <formula>0</formula>
    </cfRule>
    <cfRule type="cellIs" dxfId="5597" priority="3706" operator="notEqual">
      <formula>0</formula>
    </cfRule>
  </conditionalFormatting>
  <conditionalFormatting sqref="D45:D46 E46:S46">
    <cfRule type="cellIs" dxfId="5596" priority="3704" operator="equal">
      <formula>0</formula>
    </cfRule>
  </conditionalFormatting>
  <conditionalFormatting sqref="E43:E44">
    <cfRule type="cellIs" dxfId="5595" priority="3702" operator="equal">
      <formula>0</formula>
    </cfRule>
    <cfRule type="cellIs" dxfId="5594" priority="3703" operator="notEqual">
      <formula>0</formula>
    </cfRule>
  </conditionalFormatting>
  <conditionalFormatting sqref="E45">
    <cfRule type="cellIs" dxfId="5593" priority="3701" operator="equal">
      <formula>0</formula>
    </cfRule>
  </conditionalFormatting>
  <conditionalFormatting sqref="F43:F44">
    <cfRule type="cellIs" dxfId="5592" priority="3699" operator="equal">
      <formula>0</formula>
    </cfRule>
    <cfRule type="cellIs" dxfId="5591" priority="3700" operator="notEqual">
      <formula>0</formula>
    </cfRule>
  </conditionalFormatting>
  <conditionalFormatting sqref="F45">
    <cfRule type="cellIs" dxfId="5590" priority="3698" operator="equal">
      <formula>0</formula>
    </cfRule>
  </conditionalFormatting>
  <conditionalFormatting sqref="G43:G44">
    <cfRule type="cellIs" dxfId="5589" priority="3696" operator="equal">
      <formula>0</formula>
    </cfRule>
    <cfRule type="cellIs" dxfId="5588" priority="3697" operator="notEqual">
      <formula>0</formula>
    </cfRule>
  </conditionalFormatting>
  <conditionalFormatting sqref="G45">
    <cfRule type="cellIs" dxfId="5587" priority="3695" operator="equal">
      <formula>0</formula>
    </cfRule>
  </conditionalFormatting>
  <conditionalFormatting sqref="H43:H44">
    <cfRule type="cellIs" dxfId="5586" priority="3693" operator="equal">
      <formula>0</formula>
    </cfRule>
    <cfRule type="cellIs" dxfId="5585" priority="3694" operator="notEqual">
      <formula>0</formula>
    </cfRule>
  </conditionalFormatting>
  <conditionalFormatting sqref="H45">
    <cfRule type="cellIs" dxfId="5584" priority="3692" operator="equal">
      <formula>0</formula>
    </cfRule>
  </conditionalFormatting>
  <conditionalFormatting sqref="I43:I44">
    <cfRule type="cellIs" dxfId="5583" priority="3690" operator="equal">
      <formula>0</formula>
    </cfRule>
    <cfRule type="cellIs" dxfId="5582" priority="3691" operator="notEqual">
      <formula>0</formula>
    </cfRule>
  </conditionalFormatting>
  <conditionalFormatting sqref="I45">
    <cfRule type="cellIs" dxfId="5581" priority="3689" operator="equal">
      <formula>0</formula>
    </cfRule>
  </conditionalFormatting>
  <conditionalFormatting sqref="J43:J44">
    <cfRule type="cellIs" dxfId="5580" priority="3687" operator="equal">
      <formula>0</formula>
    </cfRule>
    <cfRule type="cellIs" dxfId="5579" priority="3688" operator="notEqual">
      <formula>0</formula>
    </cfRule>
  </conditionalFormatting>
  <conditionalFormatting sqref="J45">
    <cfRule type="cellIs" dxfId="5578" priority="3686" operator="equal">
      <formula>0</formula>
    </cfRule>
  </conditionalFormatting>
  <conditionalFormatting sqref="K43:K44">
    <cfRule type="cellIs" dxfId="5577" priority="3684" operator="equal">
      <formula>0</formula>
    </cfRule>
    <cfRule type="cellIs" dxfId="5576" priority="3685" operator="notEqual">
      <formula>0</formula>
    </cfRule>
  </conditionalFormatting>
  <conditionalFormatting sqref="K45">
    <cfRule type="cellIs" dxfId="5575" priority="3683" operator="equal">
      <formula>0</formula>
    </cfRule>
  </conditionalFormatting>
  <conditionalFormatting sqref="L45">
    <cfRule type="cellIs" dxfId="5574" priority="3682" operator="equal">
      <formula>0</formula>
    </cfRule>
  </conditionalFormatting>
  <conditionalFormatting sqref="M45">
    <cfRule type="cellIs" dxfId="5573" priority="3681" operator="equal">
      <formula>0</formula>
    </cfRule>
  </conditionalFormatting>
  <conditionalFormatting sqref="N45">
    <cfRule type="cellIs" dxfId="5572" priority="3680" operator="equal">
      <formula>0</formula>
    </cfRule>
  </conditionalFormatting>
  <conditionalFormatting sqref="O45">
    <cfRule type="cellIs" dxfId="5571" priority="3679" operator="equal">
      <formula>0</formula>
    </cfRule>
  </conditionalFormatting>
  <conditionalFormatting sqref="P42">
    <cfRule type="cellIs" dxfId="5570" priority="3677" operator="equal">
      <formula>0</formula>
    </cfRule>
    <cfRule type="cellIs" dxfId="5569" priority="3678" operator="notEqual">
      <formula>0</formula>
    </cfRule>
  </conditionalFormatting>
  <conditionalFormatting sqref="P45">
    <cfRule type="cellIs" dxfId="5568" priority="3676" operator="equal">
      <formula>0</formula>
    </cfRule>
  </conditionalFormatting>
  <conditionalFormatting sqref="Q42">
    <cfRule type="cellIs" dxfId="5567" priority="3674" operator="equal">
      <formula>0</formula>
    </cfRule>
    <cfRule type="cellIs" dxfId="5566" priority="3675" operator="notEqual">
      <formula>0</formula>
    </cfRule>
  </conditionalFormatting>
  <conditionalFormatting sqref="Q45">
    <cfRule type="cellIs" dxfId="5565" priority="3673" operator="equal">
      <formula>0</formula>
    </cfRule>
  </conditionalFormatting>
  <conditionalFormatting sqref="R42">
    <cfRule type="cellIs" dxfId="5564" priority="3671" operator="equal">
      <formula>0</formula>
    </cfRule>
    <cfRule type="cellIs" dxfId="5563" priority="3672" operator="notEqual">
      <formula>0</formula>
    </cfRule>
  </conditionalFormatting>
  <conditionalFormatting sqref="R45">
    <cfRule type="cellIs" dxfId="5562" priority="3670" operator="equal">
      <formula>0</formula>
    </cfRule>
  </conditionalFormatting>
  <conditionalFormatting sqref="S42">
    <cfRule type="cellIs" dxfId="5561" priority="3668" operator="equal">
      <formula>0</formula>
    </cfRule>
    <cfRule type="cellIs" dxfId="5560" priority="3669" operator="notEqual">
      <formula>0</formula>
    </cfRule>
  </conditionalFormatting>
  <conditionalFormatting sqref="S45">
    <cfRule type="cellIs" dxfId="5559" priority="3667" operator="equal">
      <formula>0</formula>
    </cfRule>
  </conditionalFormatting>
  <conditionalFormatting sqref="D48:D49">
    <cfRule type="cellIs" dxfId="5558" priority="3665" operator="equal">
      <formula>0</formula>
    </cfRule>
    <cfRule type="cellIs" dxfId="5557" priority="3666" operator="notEqual">
      <formula>0</formula>
    </cfRule>
  </conditionalFormatting>
  <conditionalFormatting sqref="D50:D51 E51:S51">
    <cfRule type="cellIs" dxfId="5556" priority="3664" operator="equal">
      <formula>0</formula>
    </cfRule>
  </conditionalFormatting>
  <conditionalFormatting sqref="E48:E49">
    <cfRule type="cellIs" dxfId="5555" priority="3662" operator="equal">
      <formula>0</formula>
    </cfRule>
    <cfRule type="cellIs" dxfId="5554" priority="3663" operator="notEqual">
      <formula>0</formula>
    </cfRule>
  </conditionalFormatting>
  <conditionalFormatting sqref="E50">
    <cfRule type="cellIs" dxfId="5553" priority="3661" operator="equal">
      <formula>0</formula>
    </cfRule>
  </conditionalFormatting>
  <conditionalFormatting sqref="F48:F49">
    <cfRule type="cellIs" dxfId="5552" priority="3659" operator="equal">
      <formula>0</formula>
    </cfRule>
    <cfRule type="cellIs" dxfId="5551" priority="3660" operator="notEqual">
      <formula>0</formula>
    </cfRule>
  </conditionalFormatting>
  <conditionalFormatting sqref="F50">
    <cfRule type="cellIs" dxfId="5550" priority="3658" operator="equal">
      <formula>0</formula>
    </cfRule>
  </conditionalFormatting>
  <conditionalFormatting sqref="G48:G49">
    <cfRule type="cellIs" dxfId="5549" priority="3656" operator="equal">
      <formula>0</formula>
    </cfRule>
    <cfRule type="cellIs" dxfId="5548" priority="3657" operator="notEqual">
      <formula>0</formula>
    </cfRule>
  </conditionalFormatting>
  <conditionalFormatting sqref="G50">
    <cfRule type="cellIs" dxfId="5547" priority="3655" operator="equal">
      <formula>0</formula>
    </cfRule>
  </conditionalFormatting>
  <conditionalFormatting sqref="H48:H49">
    <cfRule type="cellIs" dxfId="5546" priority="3653" operator="equal">
      <formula>0</formula>
    </cfRule>
    <cfRule type="cellIs" dxfId="5545" priority="3654" operator="notEqual">
      <formula>0</formula>
    </cfRule>
  </conditionalFormatting>
  <conditionalFormatting sqref="H50">
    <cfRule type="cellIs" dxfId="5544" priority="3652" operator="equal">
      <formula>0</formula>
    </cfRule>
  </conditionalFormatting>
  <conditionalFormatting sqref="I48:I49">
    <cfRule type="cellIs" dxfId="5543" priority="3650" operator="equal">
      <formula>0</formula>
    </cfRule>
    <cfRule type="cellIs" dxfId="5542" priority="3651" operator="notEqual">
      <formula>0</formula>
    </cfRule>
  </conditionalFormatting>
  <conditionalFormatting sqref="I50">
    <cfRule type="cellIs" dxfId="5541" priority="3649" operator="equal">
      <formula>0</formula>
    </cfRule>
  </conditionalFormatting>
  <conditionalFormatting sqref="J48:J49">
    <cfRule type="cellIs" dxfId="5540" priority="3647" operator="equal">
      <formula>0</formula>
    </cfRule>
    <cfRule type="cellIs" dxfId="5539" priority="3648" operator="notEqual">
      <formula>0</formula>
    </cfRule>
  </conditionalFormatting>
  <conditionalFormatting sqref="J50">
    <cfRule type="cellIs" dxfId="5538" priority="3646" operator="equal">
      <formula>0</formula>
    </cfRule>
  </conditionalFormatting>
  <conditionalFormatting sqref="K48:K49">
    <cfRule type="cellIs" dxfId="5537" priority="3644" operator="equal">
      <formula>0</formula>
    </cfRule>
    <cfRule type="cellIs" dxfId="5536" priority="3645" operator="notEqual">
      <formula>0</formula>
    </cfRule>
  </conditionalFormatting>
  <conditionalFormatting sqref="K50">
    <cfRule type="cellIs" dxfId="5535" priority="3643" operator="equal">
      <formula>0</formula>
    </cfRule>
  </conditionalFormatting>
  <conditionalFormatting sqref="L50">
    <cfRule type="cellIs" dxfId="5534" priority="3642" operator="equal">
      <formula>0</formula>
    </cfRule>
  </conditionalFormatting>
  <conditionalFormatting sqref="M50">
    <cfRule type="cellIs" dxfId="5533" priority="3641" operator="equal">
      <formula>0</formula>
    </cfRule>
  </conditionalFormatting>
  <conditionalFormatting sqref="N50">
    <cfRule type="cellIs" dxfId="5532" priority="3640" operator="equal">
      <formula>0</formula>
    </cfRule>
  </conditionalFormatting>
  <conditionalFormatting sqref="O50">
    <cfRule type="cellIs" dxfId="5531" priority="3639" operator="equal">
      <formula>0</formula>
    </cfRule>
  </conditionalFormatting>
  <conditionalFormatting sqref="P47">
    <cfRule type="cellIs" dxfId="5530" priority="3637" operator="equal">
      <formula>0</formula>
    </cfRule>
    <cfRule type="cellIs" dxfId="5529" priority="3638" operator="notEqual">
      <formula>0</formula>
    </cfRule>
  </conditionalFormatting>
  <conditionalFormatting sqref="P50">
    <cfRule type="cellIs" dxfId="5528" priority="3636" operator="equal">
      <formula>0</formula>
    </cfRule>
  </conditionalFormatting>
  <conditionalFormatting sqref="Q47">
    <cfRule type="cellIs" dxfId="5527" priority="3634" operator="equal">
      <formula>0</formula>
    </cfRule>
    <cfRule type="cellIs" dxfId="5526" priority="3635" operator="notEqual">
      <formula>0</formula>
    </cfRule>
  </conditionalFormatting>
  <conditionalFormatting sqref="Q50">
    <cfRule type="cellIs" dxfId="5525" priority="3633" operator="equal">
      <formula>0</formula>
    </cfRule>
  </conditionalFormatting>
  <conditionalFormatting sqref="R47">
    <cfRule type="cellIs" dxfId="5524" priority="3631" operator="equal">
      <formula>0</formula>
    </cfRule>
    <cfRule type="cellIs" dxfId="5523" priority="3632" operator="notEqual">
      <formula>0</formula>
    </cfRule>
  </conditionalFormatting>
  <conditionalFormatting sqref="R50">
    <cfRule type="cellIs" dxfId="5522" priority="3630" operator="equal">
      <formula>0</formula>
    </cfRule>
  </conditionalFormatting>
  <conditionalFormatting sqref="S47">
    <cfRule type="cellIs" dxfId="5521" priority="3628" operator="equal">
      <formula>0</formula>
    </cfRule>
    <cfRule type="cellIs" dxfId="5520" priority="3629" operator="notEqual">
      <formula>0</formula>
    </cfRule>
  </conditionalFormatting>
  <conditionalFormatting sqref="S50">
    <cfRule type="cellIs" dxfId="5519" priority="3627" operator="equal">
      <formula>0</formula>
    </cfRule>
  </conditionalFormatting>
  <conditionalFormatting sqref="D53:D54">
    <cfRule type="cellIs" dxfId="5518" priority="3625" operator="equal">
      <formula>0</formula>
    </cfRule>
    <cfRule type="cellIs" dxfId="5517" priority="3626" operator="notEqual">
      <formula>0</formula>
    </cfRule>
  </conditionalFormatting>
  <conditionalFormatting sqref="D55:D56 E56:S56">
    <cfRule type="cellIs" dxfId="5516" priority="3624" operator="equal">
      <formula>0</formula>
    </cfRule>
  </conditionalFormatting>
  <conditionalFormatting sqref="E53:E54">
    <cfRule type="cellIs" dxfId="5515" priority="3622" operator="equal">
      <formula>0</formula>
    </cfRule>
    <cfRule type="cellIs" dxfId="5514" priority="3623" operator="notEqual">
      <formula>0</formula>
    </cfRule>
  </conditionalFormatting>
  <conditionalFormatting sqref="E55">
    <cfRule type="cellIs" dxfId="5513" priority="3621" operator="equal">
      <formula>0</formula>
    </cfRule>
  </conditionalFormatting>
  <conditionalFormatting sqref="F53:F54">
    <cfRule type="cellIs" dxfId="5512" priority="3619" operator="equal">
      <formula>0</formula>
    </cfRule>
    <cfRule type="cellIs" dxfId="5511" priority="3620" operator="notEqual">
      <formula>0</formula>
    </cfRule>
  </conditionalFormatting>
  <conditionalFormatting sqref="F55">
    <cfRule type="cellIs" dxfId="5510" priority="3618" operator="equal">
      <formula>0</formula>
    </cfRule>
  </conditionalFormatting>
  <conditionalFormatting sqref="G53:G54">
    <cfRule type="cellIs" dxfId="5509" priority="3616" operator="equal">
      <formula>0</formula>
    </cfRule>
    <cfRule type="cellIs" dxfId="5508" priority="3617" operator="notEqual">
      <formula>0</formula>
    </cfRule>
  </conditionalFormatting>
  <conditionalFormatting sqref="G55">
    <cfRule type="cellIs" dxfId="5507" priority="3615" operator="equal">
      <formula>0</formula>
    </cfRule>
  </conditionalFormatting>
  <conditionalFormatting sqref="H53:H54">
    <cfRule type="cellIs" dxfId="5506" priority="3613" operator="equal">
      <formula>0</formula>
    </cfRule>
    <cfRule type="cellIs" dxfId="5505" priority="3614" operator="notEqual">
      <formula>0</formula>
    </cfRule>
  </conditionalFormatting>
  <conditionalFormatting sqref="H55">
    <cfRule type="cellIs" dxfId="5504" priority="3612" operator="equal">
      <formula>0</formula>
    </cfRule>
  </conditionalFormatting>
  <conditionalFormatting sqref="I53:I54">
    <cfRule type="cellIs" dxfId="5503" priority="3610" operator="equal">
      <formula>0</formula>
    </cfRule>
    <cfRule type="cellIs" dxfId="5502" priority="3611" operator="notEqual">
      <formula>0</formula>
    </cfRule>
  </conditionalFormatting>
  <conditionalFormatting sqref="I55">
    <cfRule type="cellIs" dxfId="5501" priority="3609" operator="equal">
      <formula>0</formula>
    </cfRule>
  </conditionalFormatting>
  <conditionalFormatting sqref="J53:J54">
    <cfRule type="cellIs" dxfId="5500" priority="3607" operator="equal">
      <formula>0</formula>
    </cfRule>
    <cfRule type="cellIs" dxfId="5499" priority="3608" operator="notEqual">
      <formula>0</formula>
    </cfRule>
  </conditionalFormatting>
  <conditionalFormatting sqref="J55">
    <cfRule type="cellIs" dxfId="5498" priority="3606" operator="equal">
      <formula>0</formula>
    </cfRule>
  </conditionalFormatting>
  <conditionalFormatting sqref="K53:K54">
    <cfRule type="cellIs" dxfId="5497" priority="3604" operator="equal">
      <formula>0</formula>
    </cfRule>
    <cfRule type="cellIs" dxfId="5496" priority="3605" operator="notEqual">
      <formula>0</formula>
    </cfRule>
  </conditionalFormatting>
  <conditionalFormatting sqref="K55">
    <cfRule type="cellIs" dxfId="5495" priority="3603" operator="equal">
      <formula>0</formula>
    </cfRule>
  </conditionalFormatting>
  <conditionalFormatting sqref="L55">
    <cfRule type="cellIs" dxfId="5494" priority="3602" operator="equal">
      <formula>0</formula>
    </cfRule>
  </conditionalFormatting>
  <conditionalFormatting sqref="M55">
    <cfRule type="cellIs" dxfId="5493" priority="3601" operator="equal">
      <formula>0</formula>
    </cfRule>
  </conditionalFormatting>
  <conditionalFormatting sqref="N55">
    <cfRule type="cellIs" dxfId="5492" priority="3600" operator="equal">
      <formula>0</formula>
    </cfRule>
  </conditionalFormatting>
  <conditionalFormatting sqref="O55">
    <cfRule type="cellIs" dxfId="5491" priority="3599" operator="equal">
      <formula>0</formula>
    </cfRule>
  </conditionalFormatting>
  <conditionalFormatting sqref="P52">
    <cfRule type="cellIs" dxfId="5490" priority="3597" operator="equal">
      <formula>0</formula>
    </cfRule>
    <cfRule type="cellIs" dxfId="5489" priority="3598" operator="notEqual">
      <formula>0</formula>
    </cfRule>
  </conditionalFormatting>
  <conditionalFormatting sqref="P55">
    <cfRule type="cellIs" dxfId="5488" priority="3596" operator="equal">
      <formula>0</formula>
    </cfRule>
  </conditionalFormatting>
  <conditionalFormatting sqref="Q52">
    <cfRule type="cellIs" dxfId="5487" priority="3594" operator="equal">
      <formula>0</formula>
    </cfRule>
    <cfRule type="cellIs" dxfId="5486" priority="3595" operator="notEqual">
      <formula>0</formula>
    </cfRule>
  </conditionalFormatting>
  <conditionalFormatting sqref="Q55">
    <cfRule type="cellIs" dxfId="5485" priority="3593" operator="equal">
      <formula>0</formula>
    </cfRule>
  </conditionalFormatting>
  <conditionalFormatting sqref="R52">
    <cfRule type="cellIs" dxfId="5484" priority="3591" operator="equal">
      <formula>0</formula>
    </cfRule>
    <cfRule type="cellIs" dxfId="5483" priority="3592" operator="notEqual">
      <formula>0</formula>
    </cfRule>
  </conditionalFormatting>
  <conditionalFormatting sqref="R55">
    <cfRule type="cellIs" dxfId="5482" priority="3590" operator="equal">
      <formula>0</formula>
    </cfRule>
  </conditionalFormatting>
  <conditionalFormatting sqref="S52">
    <cfRule type="cellIs" dxfId="5481" priority="3588" operator="equal">
      <formula>0</formula>
    </cfRule>
    <cfRule type="cellIs" dxfId="5480" priority="3589" operator="notEqual">
      <formula>0</formula>
    </cfRule>
  </conditionalFormatting>
  <conditionalFormatting sqref="S55">
    <cfRule type="cellIs" dxfId="5479" priority="3587" operator="equal">
      <formula>0</formula>
    </cfRule>
  </conditionalFormatting>
  <conditionalFormatting sqref="D58:D59">
    <cfRule type="cellIs" dxfId="5478" priority="3585" operator="equal">
      <formula>0</formula>
    </cfRule>
    <cfRule type="cellIs" dxfId="5477" priority="3586" operator="notEqual">
      <formula>0</formula>
    </cfRule>
  </conditionalFormatting>
  <conditionalFormatting sqref="D60:D61 E61:S61">
    <cfRule type="cellIs" dxfId="5476" priority="3584" operator="equal">
      <formula>0</formula>
    </cfRule>
  </conditionalFormatting>
  <conditionalFormatting sqref="E58:E59">
    <cfRule type="cellIs" dxfId="5475" priority="3582" operator="equal">
      <formula>0</formula>
    </cfRule>
    <cfRule type="cellIs" dxfId="5474" priority="3583" operator="notEqual">
      <formula>0</formula>
    </cfRule>
  </conditionalFormatting>
  <conditionalFormatting sqref="E60">
    <cfRule type="cellIs" dxfId="5473" priority="3581" operator="equal">
      <formula>0</formula>
    </cfRule>
  </conditionalFormatting>
  <conditionalFormatting sqref="F58:F59">
    <cfRule type="cellIs" dxfId="5472" priority="3579" operator="equal">
      <formula>0</formula>
    </cfRule>
    <cfRule type="cellIs" dxfId="5471" priority="3580" operator="notEqual">
      <formula>0</formula>
    </cfRule>
  </conditionalFormatting>
  <conditionalFormatting sqref="F60">
    <cfRule type="cellIs" dxfId="5470" priority="3578" operator="equal">
      <formula>0</formula>
    </cfRule>
  </conditionalFormatting>
  <conditionalFormatting sqref="G58:G59">
    <cfRule type="cellIs" dxfId="5469" priority="3576" operator="equal">
      <formula>0</formula>
    </cfRule>
    <cfRule type="cellIs" dxfId="5468" priority="3577" operator="notEqual">
      <formula>0</formula>
    </cfRule>
  </conditionalFormatting>
  <conditionalFormatting sqref="G60">
    <cfRule type="cellIs" dxfId="5467" priority="3575" operator="equal">
      <formula>0</formula>
    </cfRule>
  </conditionalFormatting>
  <conditionalFormatting sqref="H58:H59">
    <cfRule type="cellIs" dxfId="5466" priority="3573" operator="equal">
      <formula>0</formula>
    </cfRule>
    <cfRule type="cellIs" dxfId="5465" priority="3574" operator="notEqual">
      <formula>0</formula>
    </cfRule>
  </conditionalFormatting>
  <conditionalFormatting sqref="H60">
    <cfRule type="cellIs" dxfId="5464" priority="3572" operator="equal">
      <formula>0</formula>
    </cfRule>
  </conditionalFormatting>
  <conditionalFormatting sqref="I58:I59">
    <cfRule type="cellIs" dxfId="5463" priority="3570" operator="equal">
      <formula>0</formula>
    </cfRule>
    <cfRule type="cellIs" dxfId="5462" priority="3571" operator="notEqual">
      <formula>0</formula>
    </cfRule>
  </conditionalFormatting>
  <conditionalFormatting sqref="I60">
    <cfRule type="cellIs" dxfId="5461" priority="3569" operator="equal">
      <formula>0</formula>
    </cfRule>
  </conditionalFormatting>
  <conditionalFormatting sqref="J58:J59">
    <cfRule type="cellIs" dxfId="5460" priority="3567" operator="equal">
      <formula>0</formula>
    </cfRule>
    <cfRule type="cellIs" dxfId="5459" priority="3568" operator="notEqual">
      <formula>0</formula>
    </cfRule>
  </conditionalFormatting>
  <conditionalFormatting sqref="J60">
    <cfRule type="cellIs" dxfId="5458" priority="3566" operator="equal">
      <formula>0</formula>
    </cfRule>
  </conditionalFormatting>
  <conditionalFormatting sqref="K58:K59">
    <cfRule type="cellIs" dxfId="5457" priority="3564" operator="equal">
      <formula>0</formula>
    </cfRule>
    <cfRule type="cellIs" dxfId="5456" priority="3565" operator="notEqual">
      <formula>0</formula>
    </cfRule>
  </conditionalFormatting>
  <conditionalFormatting sqref="K60">
    <cfRule type="cellIs" dxfId="5455" priority="3563" operator="equal">
      <formula>0</formula>
    </cfRule>
  </conditionalFormatting>
  <conditionalFormatting sqref="L60">
    <cfRule type="cellIs" dxfId="5454" priority="3562" operator="equal">
      <formula>0</formula>
    </cfRule>
  </conditionalFormatting>
  <conditionalFormatting sqref="M60">
    <cfRule type="cellIs" dxfId="5453" priority="3561" operator="equal">
      <formula>0</formula>
    </cfRule>
  </conditionalFormatting>
  <conditionalFormatting sqref="N60">
    <cfRule type="cellIs" dxfId="5452" priority="3560" operator="equal">
      <formula>0</formula>
    </cfRule>
  </conditionalFormatting>
  <conditionalFormatting sqref="O60">
    <cfRule type="cellIs" dxfId="5451" priority="3559" operator="equal">
      <formula>0</formula>
    </cfRule>
  </conditionalFormatting>
  <conditionalFormatting sqref="P57">
    <cfRule type="cellIs" dxfId="5450" priority="3557" operator="equal">
      <formula>0</formula>
    </cfRule>
    <cfRule type="cellIs" dxfId="5449" priority="3558" operator="notEqual">
      <formula>0</formula>
    </cfRule>
  </conditionalFormatting>
  <conditionalFormatting sqref="P60">
    <cfRule type="cellIs" dxfId="5448" priority="3556" operator="equal">
      <formula>0</formula>
    </cfRule>
  </conditionalFormatting>
  <conditionalFormatting sqref="Q57">
    <cfRule type="cellIs" dxfId="5447" priority="3554" operator="equal">
      <formula>0</formula>
    </cfRule>
    <cfRule type="cellIs" dxfId="5446" priority="3555" operator="notEqual">
      <formula>0</formula>
    </cfRule>
  </conditionalFormatting>
  <conditionalFormatting sqref="Q60">
    <cfRule type="cellIs" dxfId="5445" priority="3553" operator="equal">
      <formula>0</formula>
    </cfRule>
  </conditionalFormatting>
  <conditionalFormatting sqref="R57">
    <cfRule type="cellIs" dxfId="5444" priority="3551" operator="equal">
      <formula>0</formula>
    </cfRule>
    <cfRule type="cellIs" dxfId="5443" priority="3552" operator="notEqual">
      <formula>0</formula>
    </cfRule>
  </conditionalFormatting>
  <conditionalFormatting sqref="R60">
    <cfRule type="cellIs" dxfId="5442" priority="3550" operator="equal">
      <formula>0</formula>
    </cfRule>
  </conditionalFormatting>
  <conditionalFormatting sqref="S57">
    <cfRule type="cellIs" dxfId="5441" priority="3548" operator="equal">
      <formula>0</formula>
    </cfRule>
    <cfRule type="cellIs" dxfId="5440" priority="3549" operator="notEqual">
      <formula>0</formula>
    </cfRule>
  </conditionalFormatting>
  <conditionalFormatting sqref="S60">
    <cfRule type="cellIs" dxfId="5439" priority="3547" operator="equal">
      <formula>0</formula>
    </cfRule>
  </conditionalFormatting>
  <conditionalFormatting sqref="D63:D64">
    <cfRule type="cellIs" dxfId="5438" priority="3545" operator="equal">
      <formula>0</formula>
    </cfRule>
    <cfRule type="cellIs" dxfId="5437" priority="3546" operator="notEqual">
      <formula>0</formula>
    </cfRule>
  </conditionalFormatting>
  <conditionalFormatting sqref="D65:D66 E66:S66">
    <cfRule type="cellIs" dxfId="5436" priority="3544" operator="equal">
      <formula>0</formula>
    </cfRule>
  </conditionalFormatting>
  <conditionalFormatting sqref="E63:E64">
    <cfRule type="cellIs" dxfId="5435" priority="3542" operator="equal">
      <formula>0</formula>
    </cfRule>
    <cfRule type="cellIs" dxfId="5434" priority="3543" operator="notEqual">
      <formula>0</formula>
    </cfRule>
  </conditionalFormatting>
  <conditionalFormatting sqref="E65">
    <cfRule type="cellIs" dxfId="5433" priority="3541" operator="equal">
      <formula>0</formula>
    </cfRule>
  </conditionalFormatting>
  <conditionalFormatting sqref="F63:F64">
    <cfRule type="cellIs" dxfId="5432" priority="3539" operator="equal">
      <formula>0</formula>
    </cfRule>
    <cfRule type="cellIs" dxfId="5431" priority="3540" operator="notEqual">
      <formula>0</formula>
    </cfRule>
  </conditionalFormatting>
  <conditionalFormatting sqref="F65">
    <cfRule type="cellIs" dxfId="5430" priority="3538" operator="equal">
      <formula>0</formula>
    </cfRule>
  </conditionalFormatting>
  <conditionalFormatting sqref="G63:G64">
    <cfRule type="cellIs" dxfId="5429" priority="3536" operator="equal">
      <formula>0</formula>
    </cfRule>
    <cfRule type="cellIs" dxfId="5428" priority="3537" operator="notEqual">
      <formula>0</formula>
    </cfRule>
  </conditionalFormatting>
  <conditionalFormatting sqref="G65">
    <cfRule type="cellIs" dxfId="5427" priority="3535" operator="equal">
      <formula>0</formula>
    </cfRule>
  </conditionalFormatting>
  <conditionalFormatting sqref="H63:H64">
    <cfRule type="cellIs" dxfId="5426" priority="3533" operator="equal">
      <formula>0</formula>
    </cfRule>
    <cfRule type="cellIs" dxfId="5425" priority="3534" operator="notEqual">
      <formula>0</formula>
    </cfRule>
  </conditionalFormatting>
  <conditionalFormatting sqref="H65">
    <cfRule type="cellIs" dxfId="5424" priority="3532" operator="equal">
      <formula>0</formula>
    </cfRule>
  </conditionalFormatting>
  <conditionalFormatting sqref="I63:I64">
    <cfRule type="cellIs" dxfId="5423" priority="3530" operator="equal">
      <formula>0</formula>
    </cfRule>
    <cfRule type="cellIs" dxfId="5422" priority="3531" operator="notEqual">
      <formula>0</formula>
    </cfRule>
  </conditionalFormatting>
  <conditionalFormatting sqref="I65">
    <cfRule type="cellIs" dxfId="5421" priority="3529" operator="equal">
      <formula>0</formula>
    </cfRule>
  </conditionalFormatting>
  <conditionalFormatting sqref="J63:J64">
    <cfRule type="cellIs" dxfId="5420" priority="3527" operator="equal">
      <formula>0</formula>
    </cfRule>
    <cfRule type="cellIs" dxfId="5419" priority="3528" operator="notEqual">
      <formula>0</formula>
    </cfRule>
  </conditionalFormatting>
  <conditionalFormatting sqref="J65">
    <cfRule type="cellIs" dxfId="5418" priority="3526" operator="equal">
      <formula>0</formula>
    </cfRule>
  </conditionalFormatting>
  <conditionalFormatting sqref="K63:K64">
    <cfRule type="cellIs" dxfId="5417" priority="3524" operator="equal">
      <formula>0</formula>
    </cfRule>
    <cfRule type="cellIs" dxfId="5416" priority="3525" operator="notEqual">
      <formula>0</formula>
    </cfRule>
  </conditionalFormatting>
  <conditionalFormatting sqref="K65">
    <cfRule type="cellIs" dxfId="5415" priority="3523" operator="equal">
      <formula>0</formula>
    </cfRule>
  </conditionalFormatting>
  <conditionalFormatting sqref="L65">
    <cfRule type="cellIs" dxfId="5414" priority="3522" operator="equal">
      <formula>0</formula>
    </cfRule>
  </conditionalFormatting>
  <conditionalFormatting sqref="M65">
    <cfRule type="cellIs" dxfId="5413" priority="3521" operator="equal">
      <formula>0</formula>
    </cfRule>
  </conditionalFormatting>
  <conditionalFormatting sqref="N65">
    <cfRule type="cellIs" dxfId="5412" priority="3520" operator="equal">
      <formula>0</formula>
    </cfRule>
  </conditionalFormatting>
  <conditionalFormatting sqref="O65">
    <cfRule type="cellIs" dxfId="5411" priority="3519" operator="equal">
      <formula>0</formula>
    </cfRule>
  </conditionalFormatting>
  <conditionalFormatting sqref="P62">
    <cfRule type="cellIs" dxfId="5410" priority="3517" operator="equal">
      <formula>0</formula>
    </cfRule>
    <cfRule type="cellIs" dxfId="5409" priority="3518" operator="notEqual">
      <formula>0</formula>
    </cfRule>
  </conditionalFormatting>
  <conditionalFormatting sqref="P65">
    <cfRule type="cellIs" dxfId="5408" priority="3516" operator="equal">
      <formula>0</formula>
    </cfRule>
  </conditionalFormatting>
  <conditionalFormatting sqref="Q62">
    <cfRule type="cellIs" dxfId="5407" priority="3514" operator="equal">
      <formula>0</formula>
    </cfRule>
    <cfRule type="cellIs" dxfId="5406" priority="3515" operator="notEqual">
      <formula>0</formula>
    </cfRule>
  </conditionalFormatting>
  <conditionalFormatting sqref="Q65">
    <cfRule type="cellIs" dxfId="5405" priority="3513" operator="equal">
      <formula>0</formula>
    </cfRule>
  </conditionalFormatting>
  <conditionalFormatting sqref="R62">
    <cfRule type="cellIs" dxfId="5404" priority="3511" operator="equal">
      <formula>0</formula>
    </cfRule>
    <cfRule type="cellIs" dxfId="5403" priority="3512" operator="notEqual">
      <formula>0</formula>
    </cfRule>
  </conditionalFormatting>
  <conditionalFormatting sqref="R65">
    <cfRule type="cellIs" dxfId="5402" priority="3510" operator="equal">
      <formula>0</formula>
    </cfRule>
  </conditionalFormatting>
  <conditionalFormatting sqref="S62">
    <cfRule type="cellIs" dxfId="5401" priority="3508" operator="equal">
      <formula>0</formula>
    </cfRule>
    <cfRule type="cellIs" dxfId="5400" priority="3509" operator="notEqual">
      <formula>0</formula>
    </cfRule>
  </conditionalFormatting>
  <conditionalFormatting sqref="S65">
    <cfRule type="cellIs" dxfId="5399" priority="3507" operator="equal">
      <formula>0</formula>
    </cfRule>
  </conditionalFormatting>
  <conditionalFormatting sqref="D70:D71 E71:S71">
    <cfRule type="cellIs" dxfId="5398" priority="3506" operator="equal">
      <formula>0</formula>
    </cfRule>
  </conditionalFormatting>
  <conditionalFormatting sqref="E70">
    <cfRule type="cellIs" dxfId="5397" priority="3505" operator="equal">
      <formula>0</formula>
    </cfRule>
  </conditionalFormatting>
  <conditionalFormatting sqref="F70">
    <cfRule type="cellIs" dxfId="5396" priority="3504" operator="equal">
      <formula>0</formula>
    </cfRule>
  </conditionalFormatting>
  <conditionalFormatting sqref="G70">
    <cfRule type="cellIs" dxfId="5395" priority="3503" operator="equal">
      <formula>0</formula>
    </cfRule>
  </conditionalFormatting>
  <conditionalFormatting sqref="H70">
    <cfRule type="cellIs" dxfId="5394" priority="3502" operator="equal">
      <formula>0</formula>
    </cfRule>
  </conditionalFormatting>
  <conditionalFormatting sqref="I70">
    <cfRule type="cellIs" dxfId="5393" priority="3501" operator="equal">
      <formula>0</formula>
    </cfRule>
  </conditionalFormatting>
  <conditionalFormatting sqref="J70">
    <cfRule type="cellIs" dxfId="5392" priority="3500" operator="equal">
      <formula>0</formula>
    </cfRule>
  </conditionalFormatting>
  <conditionalFormatting sqref="K70">
    <cfRule type="cellIs" dxfId="5391" priority="3499" operator="equal">
      <formula>0</formula>
    </cfRule>
  </conditionalFormatting>
  <conditionalFormatting sqref="L70">
    <cfRule type="cellIs" dxfId="5390" priority="3498" operator="equal">
      <formula>0</formula>
    </cfRule>
  </conditionalFormatting>
  <conditionalFormatting sqref="M70">
    <cfRule type="cellIs" dxfId="5389" priority="3497" operator="equal">
      <formula>0</formula>
    </cfRule>
  </conditionalFormatting>
  <conditionalFormatting sqref="N70">
    <cfRule type="cellIs" dxfId="5388" priority="3496" operator="equal">
      <formula>0</formula>
    </cfRule>
  </conditionalFormatting>
  <conditionalFormatting sqref="O70">
    <cfRule type="cellIs" dxfId="5387" priority="3495" operator="equal">
      <formula>0</formula>
    </cfRule>
  </conditionalFormatting>
  <conditionalFormatting sqref="P70">
    <cfRule type="cellIs" dxfId="5386" priority="3494" operator="equal">
      <formula>0</formula>
    </cfRule>
  </conditionalFormatting>
  <conditionalFormatting sqref="Q70">
    <cfRule type="cellIs" dxfId="5385" priority="3493" operator="equal">
      <formula>0</formula>
    </cfRule>
  </conditionalFormatting>
  <conditionalFormatting sqref="R70">
    <cfRule type="cellIs" dxfId="5384" priority="3492" operator="equal">
      <formula>0</formula>
    </cfRule>
  </conditionalFormatting>
  <conditionalFormatting sqref="S70">
    <cfRule type="cellIs" dxfId="5383" priority="3491" operator="equal">
      <formula>0</formula>
    </cfRule>
  </conditionalFormatting>
  <conditionalFormatting sqref="P147">
    <cfRule type="cellIs" dxfId="5382" priority="3225" operator="equal">
      <formula>0</formula>
    </cfRule>
    <cfRule type="cellIs" dxfId="5381" priority="3226" operator="notEqual">
      <formula>0</formula>
    </cfRule>
  </conditionalFormatting>
  <conditionalFormatting sqref="P172 P177 P187 P192">
    <cfRule type="cellIs" dxfId="5380" priority="3223" operator="equal">
      <formula>0</formula>
    </cfRule>
    <cfRule type="cellIs" dxfId="5379" priority="3224" operator="notEqual">
      <formula>0</formula>
    </cfRule>
  </conditionalFormatting>
  <conditionalFormatting sqref="P150 P175 P180 P190 P195 P210">
    <cfRule type="cellIs" dxfId="5378" priority="3222" operator="equal">
      <formula>0</formula>
    </cfRule>
  </conditionalFormatting>
  <conditionalFormatting sqref="P152">
    <cfRule type="cellIs" dxfId="5377" priority="3220" operator="equal">
      <formula>0</formula>
    </cfRule>
    <cfRule type="cellIs" dxfId="5376" priority="3221" operator="notEqual">
      <formula>0</formula>
    </cfRule>
  </conditionalFormatting>
  <conditionalFormatting sqref="P155">
    <cfRule type="cellIs" dxfId="5375" priority="3219" operator="equal">
      <formula>0</formula>
    </cfRule>
  </conditionalFormatting>
  <conditionalFormatting sqref="P157">
    <cfRule type="cellIs" dxfId="5374" priority="3217" operator="equal">
      <formula>0</formula>
    </cfRule>
    <cfRule type="cellIs" dxfId="5373" priority="3218" operator="notEqual">
      <formula>0</formula>
    </cfRule>
  </conditionalFormatting>
  <conditionalFormatting sqref="P160">
    <cfRule type="cellIs" dxfId="5372" priority="3216" operator="equal">
      <formula>0</formula>
    </cfRule>
  </conditionalFormatting>
  <conditionalFormatting sqref="P162">
    <cfRule type="cellIs" dxfId="5371" priority="3214" operator="equal">
      <formula>0</formula>
    </cfRule>
    <cfRule type="cellIs" dxfId="5370" priority="3215" operator="notEqual">
      <formula>0</formula>
    </cfRule>
  </conditionalFormatting>
  <conditionalFormatting sqref="P165">
    <cfRule type="cellIs" dxfId="5369" priority="3213" operator="equal">
      <formula>0</formula>
    </cfRule>
  </conditionalFormatting>
  <conditionalFormatting sqref="P167">
    <cfRule type="cellIs" dxfId="5368" priority="3211" operator="equal">
      <formula>0</formula>
    </cfRule>
    <cfRule type="cellIs" dxfId="5367" priority="3212" operator="notEqual">
      <formula>0</formula>
    </cfRule>
  </conditionalFormatting>
  <conditionalFormatting sqref="P170">
    <cfRule type="cellIs" dxfId="5366" priority="3210" operator="equal">
      <formula>0</formula>
    </cfRule>
  </conditionalFormatting>
  <conditionalFormatting sqref="P200">
    <cfRule type="cellIs" dxfId="5365" priority="3207" operator="equal">
      <formula>0</formula>
    </cfRule>
  </conditionalFormatting>
  <conditionalFormatting sqref="P205">
    <cfRule type="cellIs" dxfId="5364" priority="3204" operator="equal">
      <formula>0</formula>
    </cfRule>
  </conditionalFormatting>
  <conditionalFormatting sqref="P197">
    <cfRule type="cellIs" dxfId="5363" priority="3208" operator="equal">
      <formula>0</formula>
    </cfRule>
    <cfRule type="cellIs" dxfId="5362" priority="3209" operator="notEqual">
      <formula>0</formula>
    </cfRule>
  </conditionalFormatting>
  <conditionalFormatting sqref="P202">
    <cfRule type="cellIs" dxfId="5361" priority="3205" operator="equal">
      <formula>0</formula>
    </cfRule>
    <cfRule type="cellIs" dxfId="5360" priority="3206" operator="notEqual">
      <formula>0</formula>
    </cfRule>
  </conditionalFormatting>
  <conditionalFormatting sqref="P182">
    <cfRule type="cellIs" dxfId="5359" priority="3202" operator="equal">
      <formula>0</formula>
    </cfRule>
    <cfRule type="cellIs" dxfId="5358" priority="3203" operator="notEqual">
      <formula>0</formula>
    </cfRule>
  </conditionalFormatting>
  <conditionalFormatting sqref="P185">
    <cfRule type="cellIs" dxfId="5357" priority="3201" operator="equal">
      <formula>0</formula>
    </cfRule>
  </conditionalFormatting>
  <conditionalFormatting sqref="Q147">
    <cfRule type="cellIs" dxfId="5356" priority="3199" operator="equal">
      <formula>0</formula>
    </cfRule>
    <cfRule type="cellIs" dxfId="5355" priority="3200" operator="notEqual">
      <formula>0</formula>
    </cfRule>
  </conditionalFormatting>
  <conditionalFormatting sqref="Q172 Q177 Q187 Q192">
    <cfRule type="cellIs" dxfId="5354" priority="3197" operator="equal">
      <formula>0</formula>
    </cfRule>
    <cfRule type="cellIs" dxfId="5353" priority="3198" operator="notEqual">
      <formula>0</formula>
    </cfRule>
  </conditionalFormatting>
  <conditionalFormatting sqref="Q150 Q175 Q180 Q190 Q195 Q210">
    <cfRule type="cellIs" dxfId="5352" priority="3196" operator="equal">
      <formula>0</formula>
    </cfRule>
  </conditionalFormatting>
  <conditionalFormatting sqref="Q152">
    <cfRule type="cellIs" dxfId="5351" priority="3194" operator="equal">
      <formula>0</formula>
    </cfRule>
    <cfRule type="cellIs" dxfId="5350" priority="3195" operator="notEqual">
      <formula>0</formula>
    </cfRule>
  </conditionalFormatting>
  <conditionalFormatting sqref="Q155">
    <cfRule type="cellIs" dxfId="5349" priority="3193" operator="equal">
      <formula>0</formula>
    </cfRule>
  </conditionalFormatting>
  <conditionalFormatting sqref="Q157">
    <cfRule type="cellIs" dxfId="5348" priority="3191" operator="equal">
      <formula>0</formula>
    </cfRule>
    <cfRule type="cellIs" dxfId="5347" priority="3192" operator="notEqual">
      <formula>0</formula>
    </cfRule>
  </conditionalFormatting>
  <conditionalFormatting sqref="Q160">
    <cfRule type="cellIs" dxfId="5346" priority="3190" operator="equal">
      <formula>0</formula>
    </cfRule>
  </conditionalFormatting>
  <conditionalFormatting sqref="Q162">
    <cfRule type="cellIs" dxfId="5345" priority="3188" operator="equal">
      <formula>0</formula>
    </cfRule>
    <cfRule type="cellIs" dxfId="5344" priority="3189" operator="notEqual">
      <formula>0</formula>
    </cfRule>
  </conditionalFormatting>
  <conditionalFormatting sqref="Q165">
    <cfRule type="cellIs" dxfId="5343" priority="3187" operator="equal">
      <formula>0</formula>
    </cfRule>
  </conditionalFormatting>
  <conditionalFormatting sqref="Q167">
    <cfRule type="cellIs" dxfId="5342" priority="3185" operator="equal">
      <formula>0</formula>
    </cfRule>
    <cfRule type="cellIs" dxfId="5341" priority="3186" operator="notEqual">
      <formula>0</formula>
    </cfRule>
  </conditionalFormatting>
  <conditionalFormatting sqref="Q170">
    <cfRule type="cellIs" dxfId="5340" priority="3184" operator="equal">
      <formula>0</formula>
    </cfRule>
  </conditionalFormatting>
  <conditionalFormatting sqref="Q200">
    <cfRule type="cellIs" dxfId="5339" priority="3181" operator="equal">
      <formula>0</formula>
    </cfRule>
  </conditionalFormatting>
  <conditionalFormatting sqref="Q205">
    <cfRule type="cellIs" dxfId="5338" priority="3178" operator="equal">
      <formula>0</formula>
    </cfRule>
  </conditionalFormatting>
  <conditionalFormatting sqref="Q197">
    <cfRule type="cellIs" dxfId="5337" priority="3182" operator="equal">
      <formula>0</formula>
    </cfRule>
    <cfRule type="cellIs" dxfId="5336" priority="3183" operator="notEqual">
      <formula>0</formula>
    </cfRule>
  </conditionalFormatting>
  <conditionalFormatting sqref="Q202">
    <cfRule type="cellIs" dxfId="5335" priority="3179" operator="equal">
      <formula>0</formula>
    </cfRule>
    <cfRule type="cellIs" dxfId="5334" priority="3180" operator="notEqual">
      <formula>0</formula>
    </cfRule>
  </conditionalFormatting>
  <conditionalFormatting sqref="Q182">
    <cfRule type="cellIs" dxfId="5333" priority="3176" operator="equal">
      <formula>0</formula>
    </cfRule>
    <cfRule type="cellIs" dxfId="5332" priority="3177" operator="notEqual">
      <formula>0</formula>
    </cfRule>
  </conditionalFormatting>
  <conditionalFormatting sqref="Q185">
    <cfRule type="cellIs" dxfId="5331" priority="3175" operator="equal">
      <formula>0</formula>
    </cfRule>
  </conditionalFormatting>
  <conditionalFormatting sqref="R147">
    <cfRule type="cellIs" dxfId="5330" priority="3173" operator="equal">
      <formula>0</formula>
    </cfRule>
    <cfRule type="cellIs" dxfId="5329" priority="3174" operator="notEqual">
      <formula>0</formula>
    </cfRule>
  </conditionalFormatting>
  <conditionalFormatting sqref="R172 R177 R187 R192">
    <cfRule type="cellIs" dxfId="5328" priority="3171" operator="equal">
      <formula>0</formula>
    </cfRule>
    <cfRule type="cellIs" dxfId="5327" priority="3172" operator="notEqual">
      <formula>0</formula>
    </cfRule>
  </conditionalFormatting>
  <conditionalFormatting sqref="R150 R175 R180 R190 R195 R210">
    <cfRule type="cellIs" dxfId="5326" priority="3170" operator="equal">
      <formula>0</formula>
    </cfRule>
  </conditionalFormatting>
  <conditionalFormatting sqref="R152">
    <cfRule type="cellIs" dxfId="5325" priority="3168" operator="equal">
      <formula>0</formula>
    </cfRule>
    <cfRule type="cellIs" dxfId="5324" priority="3169" operator="notEqual">
      <formula>0</formula>
    </cfRule>
  </conditionalFormatting>
  <conditionalFormatting sqref="R155">
    <cfRule type="cellIs" dxfId="5323" priority="3167" operator="equal">
      <formula>0</formula>
    </cfRule>
  </conditionalFormatting>
  <conditionalFormatting sqref="R157">
    <cfRule type="cellIs" dxfId="5322" priority="3165" operator="equal">
      <formula>0</formula>
    </cfRule>
    <cfRule type="cellIs" dxfId="5321" priority="3166" operator="notEqual">
      <formula>0</formula>
    </cfRule>
  </conditionalFormatting>
  <conditionalFormatting sqref="R160">
    <cfRule type="cellIs" dxfId="5320" priority="3164" operator="equal">
      <formula>0</formula>
    </cfRule>
  </conditionalFormatting>
  <conditionalFormatting sqref="R162">
    <cfRule type="cellIs" dxfId="5319" priority="3162" operator="equal">
      <formula>0</formula>
    </cfRule>
    <cfRule type="cellIs" dxfId="5318" priority="3163" operator="notEqual">
      <formula>0</formula>
    </cfRule>
  </conditionalFormatting>
  <conditionalFormatting sqref="R165">
    <cfRule type="cellIs" dxfId="5317" priority="3161" operator="equal">
      <formula>0</formula>
    </cfRule>
  </conditionalFormatting>
  <conditionalFormatting sqref="R167">
    <cfRule type="cellIs" dxfId="5316" priority="3159" operator="equal">
      <formula>0</formula>
    </cfRule>
    <cfRule type="cellIs" dxfId="5315" priority="3160" operator="notEqual">
      <formula>0</formula>
    </cfRule>
  </conditionalFormatting>
  <conditionalFormatting sqref="R170">
    <cfRule type="cellIs" dxfId="5314" priority="3158" operator="equal">
      <formula>0</formula>
    </cfRule>
  </conditionalFormatting>
  <conditionalFormatting sqref="R200">
    <cfRule type="cellIs" dxfId="5313" priority="3155" operator="equal">
      <formula>0</formula>
    </cfRule>
  </conditionalFormatting>
  <conditionalFormatting sqref="R205">
    <cfRule type="cellIs" dxfId="5312" priority="3152" operator="equal">
      <formula>0</formula>
    </cfRule>
  </conditionalFormatting>
  <conditionalFormatting sqref="R197">
    <cfRule type="cellIs" dxfId="5311" priority="3156" operator="equal">
      <formula>0</formula>
    </cfRule>
    <cfRule type="cellIs" dxfId="5310" priority="3157" operator="notEqual">
      <formula>0</formula>
    </cfRule>
  </conditionalFormatting>
  <conditionalFormatting sqref="R202">
    <cfRule type="cellIs" dxfId="5309" priority="3153" operator="equal">
      <formula>0</formula>
    </cfRule>
    <cfRule type="cellIs" dxfId="5308" priority="3154" operator="notEqual">
      <formula>0</formula>
    </cfRule>
  </conditionalFormatting>
  <conditionalFormatting sqref="R182">
    <cfRule type="cellIs" dxfId="5307" priority="3150" operator="equal">
      <formula>0</formula>
    </cfRule>
    <cfRule type="cellIs" dxfId="5306" priority="3151" operator="notEqual">
      <formula>0</formula>
    </cfRule>
  </conditionalFormatting>
  <conditionalFormatting sqref="R185">
    <cfRule type="cellIs" dxfId="5305" priority="3149" operator="equal">
      <formula>0</formula>
    </cfRule>
  </conditionalFormatting>
  <conditionalFormatting sqref="S147">
    <cfRule type="cellIs" dxfId="5304" priority="3147" operator="equal">
      <formula>0</formula>
    </cfRule>
    <cfRule type="cellIs" dxfId="5303" priority="3148" operator="notEqual">
      <formula>0</formula>
    </cfRule>
  </conditionalFormatting>
  <conditionalFormatting sqref="S172 S177 S187 S192">
    <cfRule type="cellIs" dxfId="5302" priority="3145" operator="equal">
      <formula>0</formula>
    </cfRule>
    <cfRule type="cellIs" dxfId="5301" priority="3146" operator="notEqual">
      <formula>0</formula>
    </cfRule>
  </conditionalFormatting>
  <conditionalFormatting sqref="S150 S175 S180 S190 S195 S210">
    <cfRule type="cellIs" dxfId="5300" priority="3144" operator="equal">
      <formula>0</formula>
    </cfRule>
  </conditionalFormatting>
  <conditionalFormatting sqref="S152">
    <cfRule type="cellIs" dxfId="5299" priority="3142" operator="equal">
      <formula>0</formula>
    </cfRule>
    <cfRule type="cellIs" dxfId="5298" priority="3143" operator="notEqual">
      <formula>0</formula>
    </cfRule>
  </conditionalFormatting>
  <conditionalFormatting sqref="S155">
    <cfRule type="cellIs" dxfId="5297" priority="3141" operator="equal">
      <formula>0</formula>
    </cfRule>
  </conditionalFormatting>
  <conditionalFormatting sqref="S157">
    <cfRule type="cellIs" dxfId="5296" priority="3139" operator="equal">
      <formula>0</formula>
    </cfRule>
    <cfRule type="cellIs" dxfId="5295" priority="3140" operator="notEqual">
      <formula>0</formula>
    </cfRule>
  </conditionalFormatting>
  <conditionalFormatting sqref="S160">
    <cfRule type="cellIs" dxfId="5294" priority="3138" operator="equal">
      <formula>0</formula>
    </cfRule>
  </conditionalFormatting>
  <conditionalFormatting sqref="S162">
    <cfRule type="cellIs" dxfId="5293" priority="3136" operator="equal">
      <formula>0</formula>
    </cfRule>
    <cfRule type="cellIs" dxfId="5292" priority="3137" operator="notEqual">
      <formula>0</formula>
    </cfRule>
  </conditionalFormatting>
  <conditionalFormatting sqref="S165">
    <cfRule type="cellIs" dxfId="5291" priority="3135" operator="equal">
      <formula>0</formula>
    </cfRule>
  </conditionalFormatting>
  <conditionalFormatting sqref="S167">
    <cfRule type="cellIs" dxfId="5290" priority="3133" operator="equal">
      <formula>0</formula>
    </cfRule>
    <cfRule type="cellIs" dxfId="5289" priority="3134" operator="notEqual">
      <formula>0</formula>
    </cfRule>
  </conditionalFormatting>
  <conditionalFormatting sqref="S170">
    <cfRule type="cellIs" dxfId="5288" priority="3132" operator="equal">
      <formula>0</formula>
    </cfRule>
  </conditionalFormatting>
  <conditionalFormatting sqref="S200">
    <cfRule type="cellIs" dxfId="5287" priority="3129" operator="equal">
      <formula>0</formula>
    </cfRule>
  </conditionalFormatting>
  <conditionalFormatting sqref="S205">
    <cfRule type="cellIs" dxfId="5286" priority="3126" operator="equal">
      <formula>0</formula>
    </cfRule>
  </conditionalFormatting>
  <conditionalFormatting sqref="S197">
    <cfRule type="cellIs" dxfId="5285" priority="3130" operator="equal">
      <formula>0</formula>
    </cfRule>
    <cfRule type="cellIs" dxfId="5284" priority="3131" operator="notEqual">
      <formula>0</formula>
    </cfRule>
  </conditionalFormatting>
  <conditionalFormatting sqref="S202">
    <cfRule type="cellIs" dxfId="5283" priority="3127" operator="equal">
      <formula>0</formula>
    </cfRule>
    <cfRule type="cellIs" dxfId="5282" priority="3128" operator="notEqual">
      <formula>0</formula>
    </cfRule>
  </conditionalFormatting>
  <conditionalFormatting sqref="S182">
    <cfRule type="cellIs" dxfId="5281" priority="3124" operator="equal">
      <formula>0</formula>
    </cfRule>
    <cfRule type="cellIs" dxfId="5280" priority="3125" operator="notEqual">
      <formula>0</formula>
    </cfRule>
  </conditionalFormatting>
  <conditionalFormatting sqref="S185">
    <cfRule type="cellIs" dxfId="5279" priority="3123" operator="equal">
      <formula>0</formula>
    </cfRule>
  </conditionalFormatting>
  <conditionalFormatting sqref="D148:D149">
    <cfRule type="cellIs" dxfId="5278" priority="3121" operator="equal">
      <formula>0</formula>
    </cfRule>
    <cfRule type="cellIs" dxfId="5277" priority="3122" operator="notEqual">
      <formula>0</formula>
    </cfRule>
  </conditionalFormatting>
  <conditionalFormatting sqref="D153:D154 D158:D159 D168:D169 D193:D194 D198:D199 D203:D204">
    <cfRule type="cellIs" dxfId="5276" priority="3119" operator="equal">
      <formula>0</formula>
    </cfRule>
    <cfRule type="cellIs" dxfId="5275" priority="3120" operator="notEqual">
      <formula>0</formula>
    </cfRule>
  </conditionalFormatting>
  <conditionalFormatting sqref="D150:D151 E151:S151 D155:D156 E156:S156 D160:D161 E161:S161 D170:D171 E171:S171 D195:D196 E196:S196 D200:D201 E201:S201 D205:D206 E206:S206 D210:D211 E211:S211">
    <cfRule type="cellIs" dxfId="5274" priority="3118" operator="equal">
      <formula>0</formula>
    </cfRule>
  </conditionalFormatting>
  <conditionalFormatting sqref="D175:D176 E176:S176">
    <cfRule type="cellIs" dxfId="5273" priority="3115" operator="equal">
      <formula>0</formula>
    </cfRule>
  </conditionalFormatting>
  <conditionalFormatting sqref="D165:D166 E166:S166">
    <cfRule type="cellIs" dxfId="5272" priority="3112" operator="equal">
      <formula>0</formula>
    </cfRule>
  </conditionalFormatting>
  <conditionalFormatting sqref="D173:D174">
    <cfRule type="cellIs" dxfId="5271" priority="3116" operator="equal">
      <formula>0</formula>
    </cfRule>
    <cfRule type="cellIs" dxfId="5270" priority="3117" operator="notEqual">
      <formula>0</formula>
    </cfRule>
  </conditionalFormatting>
  <conditionalFormatting sqref="D190:D191 E191:S191">
    <cfRule type="cellIs" dxfId="5269" priority="3109" operator="equal">
      <formula>0</formula>
    </cfRule>
  </conditionalFormatting>
  <conditionalFormatting sqref="D163:D164">
    <cfRule type="cellIs" dxfId="5268" priority="3113" operator="equal">
      <formula>0</formula>
    </cfRule>
    <cfRule type="cellIs" dxfId="5267" priority="3114" operator="notEqual">
      <formula>0</formula>
    </cfRule>
  </conditionalFormatting>
  <conditionalFormatting sqref="D180:D181 E181:S181">
    <cfRule type="cellIs" dxfId="5266" priority="3106" operator="equal">
      <formula>0</formula>
    </cfRule>
  </conditionalFormatting>
  <conditionalFormatting sqref="D188:D189">
    <cfRule type="cellIs" dxfId="5265" priority="3110" operator="equal">
      <formula>0</formula>
    </cfRule>
    <cfRule type="cellIs" dxfId="5264" priority="3111" operator="notEqual">
      <formula>0</formula>
    </cfRule>
  </conditionalFormatting>
  <conditionalFormatting sqref="D178:D179">
    <cfRule type="cellIs" dxfId="5263" priority="3107" operator="equal">
      <formula>0</formula>
    </cfRule>
    <cfRule type="cellIs" dxfId="5262" priority="3108" operator="notEqual">
      <formula>0</formula>
    </cfRule>
  </conditionalFormatting>
  <conditionalFormatting sqref="D185:D186 E186:S186">
    <cfRule type="cellIs" dxfId="5261" priority="3103" operator="equal">
      <formula>0</formula>
    </cfRule>
  </conditionalFormatting>
  <conditionalFormatting sqref="D183:D184">
    <cfRule type="cellIs" dxfId="5260" priority="3104" operator="equal">
      <formula>0</formula>
    </cfRule>
    <cfRule type="cellIs" dxfId="5259" priority="3105" operator="notEqual">
      <formula>0</formula>
    </cfRule>
  </conditionalFormatting>
  <conditionalFormatting sqref="E148:E149">
    <cfRule type="cellIs" dxfId="5258" priority="3101" operator="equal">
      <formula>0</formula>
    </cfRule>
    <cfRule type="cellIs" dxfId="5257" priority="3102" operator="notEqual">
      <formula>0</formula>
    </cfRule>
  </conditionalFormatting>
  <conditionalFormatting sqref="E153:E154 E158:E159 E168:E169 E193:E194 E198:E199 E203:E204">
    <cfRule type="cellIs" dxfId="5256" priority="3099" operator="equal">
      <formula>0</formula>
    </cfRule>
    <cfRule type="cellIs" dxfId="5255" priority="3100" operator="notEqual">
      <formula>0</formula>
    </cfRule>
  </conditionalFormatting>
  <conditionalFormatting sqref="E150 E155 E160 E170 E195 E200 E205 E210">
    <cfRule type="cellIs" dxfId="5254" priority="3098" operator="equal">
      <formula>0</formula>
    </cfRule>
  </conditionalFormatting>
  <conditionalFormatting sqref="E175">
    <cfRule type="cellIs" dxfId="5253" priority="3095" operator="equal">
      <formula>0</formula>
    </cfRule>
  </conditionalFormatting>
  <conditionalFormatting sqref="E165">
    <cfRule type="cellIs" dxfId="5252" priority="3092" operator="equal">
      <formula>0</formula>
    </cfRule>
  </conditionalFormatting>
  <conditionalFormatting sqref="E173:E174">
    <cfRule type="cellIs" dxfId="5251" priority="3096" operator="equal">
      <formula>0</formula>
    </cfRule>
    <cfRule type="cellIs" dxfId="5250" priority="3097" operator="notEqual">
      <formula>0</formula>
    </cfRule>
  </conditionalFormatting>
  <conditionalFormatting sqref="E190">
    <cfRule type="cellIs" dxfId="5249" priority="3089" operator="equal">
      <formula>0</formula>
    </cfRule>
  </conditionalFormatting>
  <conditionalFormatting sqref="E163:E164">
    <cfRule type="cellIs" dxfId="5248" priority="3093" operator="equal">
      <formula>0</formula>
    </cfRule>
    <cfRule type="cellIs" dxfId="5247" priority="3094" operator="notEqual">
      <formula>0</formula>
    </cfRule>
  </conditionalFormatting>
  <conditionalFormatting sqref="E180">
    <cfRule type="cellIs" dxfId="5246" priority="3086" operator="equal">
      <formula>0</formula>
    </cfRule>
  </conditionalFormatting>
  <conditionalFormatting sqref="E188:E189">
    <cfRule type="cellIs" dxfId="5245" priority="3090" operator="equal">
      <formula>0</formula>
    </cfRule>
    <cfRule type="cellIs" dxfId="5244" priority="3091" operator="notEqual">
      <formula>0</formula>
    </cfRule>
  </conditionalFormatting>
  <conditionalFormatting sqref="E178:E179">
    <cfRule type="cellIs" dxfId="5243" priority="3087" operator="equal">
      <formula>0</formula>
    </cfRule>
    <cfRule type="cellIs" dxfId="5242" priority="3088" operator="notEqual">
      <formula>0</formula>
    </cfRule>
  </conditionalFormatting>
  <conditionalFormatting sqref="E185">
    <cfRule type="cellIs" dxfId="5241" priority="3083" operator="equal">
      <formula>0</formula>
    </cfRule>
  </conditionalFormatting>
  <conditionalFormatting sqref="E183:E184">
    <cfRule type="cellIs" dxfId="5240" priority="3084" operator="equal">
      <formula>0</formula>
    </cfRule>
    <cfRule type="cellIs" dxfId="5239" priority="3085" operator="notEqual">
      <formula>0</formula>
    </cfRule>
  </conditionalFormatting>
  <conditionalFormatting sqref="F148:F149">
    <cfRule type="cellIs" dxfId="5238" priority="3081" operator="equal">
      <formula>0</formula>
    </cfRule>
    <cfRule type="cellIs" dxfId="5237" priority="3082" operator="notEqual">
      <formula>0</formula>
    </cfRule>
  </conditionalFormatting>
  <conditionalFormatting sqref="F153:F154 F158:F159 F168:F169 F193:F194 F198:F199 F203:F204">
    <cfRule type="cellIs" dxfId="5236" priority="3079" operator="equal">
      <formula>0</formula>
    </cfRule>
    <cfRule type="cellIs" dxfId="5235" priority="3080" operator="notEqual">
      <formula>0</formula>
    </cfRule>
  </conditionalFormatting>
  <conditionalFormatting sqref="F150 F155 F160 F170 F195 F200 F205 F210">
    <cfRule type="cellIs" dxfId="5234" priority="3078" operator="equal">
      <formula>0</formula>
    </cfRule>
  </conditionalFormatting>
  <conditionalFormatting sqref="F175">
    <cfRule type="cellIs" dxfId="5233" priority="3075" operator="equal">
      <formula>0</formula>
    </cfRule>
  </conditionalFormatting>
  <conditionalFormatting sqref="F165">
    <cfRule type="cellIs" dxfId="5232" priority="3072" operator="equal">
      <formula>0</formula>
    </cfRule>
  </conditionalFormatting>
  <conditionalFormatting sqref="F173:F174">
    <cfRule type="cellIs" dxfId="5231" priority="3076" operator="equal">
      <formula>0</formula>
    </cfRule>
    <cfRule type="cellIs" dxfId="5230" priority="3077" operator="notEqual">
      <formula>0</formula>
    </cfRule>
  </conditionalFormatting>
  <conditionalFormatting sqref="F190">
    <cfRule type="cellIs" dxfId="5229" priority="3069" operator="equal">
      <formula>0</formula>
    </cfRule>
  </conditionalFormatting>
  <conditionalFormatting sqref="F163:F164">
    <cfRule type="cellIs" dxfId="5228" priority="3073" operator="equal">
      <formula>0</formula>
    </cfRule>
    <cfRule type="cellIs" dxfId="5227" priority="3074" operator="notEqual">
      <formula>0</formula>
    </cfRule>
  </conditionalFormatting>
  <conditionalFormatting sqref="F180">
    <cfRule type="cellIs" dxfId="5226" priority="3066" operator="equal">
      <formula>0</formula>
    </cfRule>
  </conditionalFormatting>
  <conditionalFormatting sqref="F188:F189">
    <cfRule type="cellIs" dxfId="5225" priority="3070" operator="equal">
      <formula>0</formula>
    </cfRule>
    <cfRule type="cellIs" dxfId="5224" priority="3071" operator="notEqual">
      <formula>0</formula>
    </cfRule>
  </conditionalFormatting>
  <conditionalFormatting sqref="F178:F179">
    <cfRule type="cellIs" dxfId="5223" priority="3067" operator="equal">
      <formula>0</formula>
    </cfRule>
    <cfRule type="cellIs" dxfId="5222" priority="3068" operator="notEqual">
      <formula>0</formula>
    </cfRule>
  </conditionalFormatting>
  <conditionalFormatting sqref="F185">
    <cfRule type="cellIs" dxfId="5221" priority="3063" operator="equal">
      <formula>0</formula>
    </cfRule>
  </conditionalFormatting>
  <conditionalFormatting sqref="F183:F184">
    <cfRule type="cellIs" dxfId="5220" priority="3064" operator="equal">
      <formula>0</formula>
    </cfRule>
    <cfRule type="cellIs" dxfId="5219" priority="3065" operator="notEqual">
      <formula>0</formula>
    </cfRule>
  </conditionalFormatting>
  <conditionalFormatting sqref="G148:G149">
    <cfRule type="cellIs" dxfId="5218" priority="3061" operator="equal">
      <formula>0</formula>
    </cfRule>
    <cfRule type="cellIs" dxfId="5217" priority="3062" operator="notEqual">
      <formula>0</formula>
    </cfRule>
  </conditionalFormatting>
  <conditionalFormatting sqref="G153:G154 G158:G159 G168:G169 G193:G194 G198:G199 G203:G204">
    <cfRule type="cellIs" dxfId="5216" priority="3059" operator="equal">
      <formula>0</formula>
    </cfRule>
    <cfRule type="cellIs" dxfId="5215" priority="3060" operator="notEqual">
      <formula>0</formula>
    </cfRule>
  </conditionalFormatting>
  <conditionalFormatting sqref="G150 G155 G160 G170 G195 G200 G205 G210">
    <cfRule type="cellIs" dxfId="5214" priority="3058" operator="equal">
      <formula>0</formula>
    </cfRule>
  </conditionalFormatting>
  <conditionalFormatting sqref="G175">
    <cfRule type="cellIs" dxfId="5213" priority="3055" operator="equal">
      <formula>0</formula>
    </cfRule>
  </conditionalFormatting>
  <conditionalFormatting sqref="G165">
    <cfRule type="cellIs" dxfId="5212" priority="3052" operator="equal">
      <formula>0</formula>
    </cfRule>
  </conditionalFormatting>
  <conditionalFormatting sqref="G173:G174">
    <cfRule type="cellIs" dxfId="5211" priority="3056" operator="equal">
      <formula>0</formula>
    </cfRule>
    <cfRule type="cellIs" dxfId="5210" priority="3057" operator="notEqual">
      <formula>0</formula>
    </cfRule>
  </conditionalFormatting>
  <conditionalFormatting sqref="G190">
    <cfRule type="cellIs" dxfId="5209" priority="3049" operator="equal">
      <formula>0</formula>
    </cfRule>
  </conditionalFormatting>
  <conditionalFormatting sqref="G163:G164">
    <cfRule type="cellIs" dxfId="5208" priority="3053" operator="equal">
      <formula>0</formula>
    </cfRule>
    <cfRule type="cellIs" dxfId="5207" priority="3054" operator="notEqual">
      <formula>0</formula>
    </cfRule>
  </conditionalFormatting>
  <conditionalFormatting sqref="G180">
    <cfRule type="cellIs" dxfId="5206" priority="3046" operator="equal">
      <formula>0</formula>
    </cfRule>
  </conditionalFormatting>
  <conditionalFormatting sqref="G188:G189">
    <cfRule type="cellIs" dxfId="5205" priority="3050" operator="equal">
      <formula>0</formula>
    </cfRule>
    <cfRule type="cellIs" dxfId="5204" priority="3051" operator="notEqual">
      <formula>0</formula>
    </cfRule>
  </conditionalFormatting>
  <conditionalFormatting sqref="G178:G179">
    <cfRule type="cellIs" dxfId="5203" priority="3047" operator="equal">
      <formula>0</formula>
    </cfRule>
    <cfRule type="cellIs" dxfId="5202" priority="3048" operator="notEqual">
      <formula>0</formula>
    </cfRule>
  </conditionalFormatting>
  <conditionalFormatting sqref="G185">
    <cfRule type="cellIs" dxfId="5201" priority="3043" operator="equal">
      <formula>0</formula>
    </cfRule>
  </conditionalFormatting>
  <conditionalFormatting sqref="G183:G184">
    <cfRule type="cellIs" dxfId="5200" priority="3044" operator="equal">
      <formula>0</formula>
    </cfRule>
    <cfRule type="cellIs" dxfId="5199" priority="3045" operator="notEqual">
      <formula>0</formula>
    </cfRule>
  </conditionalFormatting>
  <conditionalFormatting sqref="H148:H149">
    <cfRule type="cellIs" dxfId="5198" priority="3041" operator="equal">
      <formula>0</formula>
    </cfRule>
    <cfRule type="cellIs" dxfId="5197" priority="3042" operator="notEqual">
      <formula>0</formula>
    </cfRule>
  </conditionalFormatting>
  <conditionalFormatting sqref="H153:H154 H158:H159 H168:H169 H193:H194 H198:H199 H203:H204">
    <cfRule type="cellIs" dxfId="5196" priority="3039" operator="equal">
      <formula>0</formula>
    </cfRule>
    <cfRule type="cellIs" dxfId="5195" priority="3040" operator="notEqual">
      <formula>0</formula>
    </cfRule>
  </conditionalFormatting>
  <conditionalFormatting sqref="H150 H155 H160 H170 H195 H200 H205 H210">
    <cfRule type="cellIs" dxfId="5194" priority="3038" operator="equal">
      <formula>0</formula>
    </cfRule>
  </conditionalFormatting>
  <conditionalFormatting sqref="H175">
    <cfRule type="cellIs" dxfId="5193" priority="3035" operator="equal">
      <formula>0</formula>
    </cfRule>
  </conditionalFormatting>
  <conditionalFormatting sqref="H165">
    <cfRule type="cellIs" dxfId="5192" priority="3032" operator="equal">
      <formula>0</formula>
    </cfRule>
  </conditionalFormatting>
  <conditionalFormatting sqref="H173:H174">
    <cfRule type="cellIs" dxfId="5191" priority="3036" operator="equal">
      <formula>0</formula>
    </cfRule>
    <cfRule type="cellIs" dxfId="5190" priority="3037" operator="notEqual">
      <formula>0</formula>
    </cfRule>
  </conditionalFormatting>
  <conditionalFormatting sqref="H190">
    <cfRule type="cellIs" dxfId="5189" priority="3029" operator="equal">
      <formula>0</formula>
    </cfRule>
  </conditionalFormatting>
  <conditionalFormatting sqref="H163:H164">
    <cfRule type="cellIs" dxfId="5188" priority="3033" operator="equal">
      <formula>0</formula>
    </cfRule>
    <cfRule type="cellIs" dxfId="5187" priority="3034" operator="notEqual">
      <formula>0</formula>
    </cfRule>
  </conditionalFormatting>
  <conditionalFormatting sqref="H180">
    <cfRule type="cellIs" dxfId="5186" priority="3026" operator="equal">
      <formula>0</formula>
    </cfRule>
  </conditionalFormatting>
  <conditionalFormatting sqref="H188:H189">
    <cfRule type="cellIs" dxfId="5185" priority="3030" operator="equal">
      <formula>0</formula>
    </cfRule>
    <cfRule type="cellIs" dxfId="5184" priority="3031" operator="notEqual">
      <formula>0</formula>
    </cfRule>
  </conditionalFormatting>
  <conditionalFormatting sqref="H178:H179">
    <cfRule type="cellIs" dxfId="5183" priority="3027" operator="equal">
      <formula>0</formula>
    </cfRule>
    <cfRule type="cellIs" dxfId="5182" priority="3028" operator="notEqual">
      <formula>0</formula>
    </cfRule>
  </conditionalFormatting>
  <conditionalFormatting sqref="H185">
    <cfRule type="cellIs" dxfId="5181" priority="3023" operator="equal">
      <formula>0</formula>
    </cfRule>
  </conditionalFormatting>
  <conditionalFormatting sqref="H183:H184">
    <cfRule type="cellIs" dxfId="5180" priority="3024" operator="equal">
      <formula>0</formula>
    </cfRule>
    <cfRule type="cellIs" dxfId="5179" priority="3025" operator="notEqual">
      <formula>0</formula>
    </cfRule>
  </conditionalFormatting>
  <conditionalFormatting sqref="I148:I149">
    <cfRule type="cellIs" dxfId="5178" priority="3021" operator="equal">
      <formula>0</formula>
    </cfRule>
    <cfRule type="cellIs" dxfId="5177" priority="3022" operator="notEqual">
      <formula>0</formula>
    </cfRule>
  </conditionalFormatting>
  <conditionalFormatting sqref="I153:I154 I158:I159 I168:I169 I193:I194 I198:I199 I203:I204">
    <cfRule type="cellIs" dxfId="5176" priority="3019" operator="equal">
      <formula>0</formula>
    </cfRule>
    <cfRule type="cellIs" dxfId="5175" priority="3020" operator="notEqual">
      <formula>0</formula>
    </cfRule>
  </conditionalFormatting>
  <conditionalFormatting sqref="I150 I155 I160 I170 I195 I200 I205 I210">
    <cfRule type="cellIs" dxfId="5174" priority="3018" operator="equal">
      <formula>0</formula>
    </cfRule>
  </conditionalFormatting>
  <conditionalFormatting sqref="I175">
    <cfRule type="cellIs" dxfId="5173" priority="3015" operator="equal">
      <formula>0</formula>
    </cfRule>
  </conditionalFormatting>
  <conditionalFormatting sqref="I165">
    <cfRule type="cellIs" dxfId="5172" priority="3012" operator="equal">
      <formula>0</formula>
    </cfRule>
  </conditionalFormatting>
  <conditionalFormatting sqref="I173:I174">
    <cfRule type="cellIs" dxfId="5171" priority="3016" operator="equal">
      <formula>0</formula>
    </cfRule>
    <cfRule type="cellIs" dxfId="5170" priority="3017" operator="notEqual">
      <formula>0</formula>
    </cfRule>
  </conditionalFormatting>
  <conditionalFormatting sqref="I190">
    <cfRule type="cellIs" dxfId="5169" priority="3009" operator="equal">
      <formula>0</formula>
    </cfRule>
  </conditionalFormatting>
  <conditionalFormatting sqref="I163:I164">
    <cfRule type="cellIs" dxfId="5168" priority="3013" operator="equal">
      <formula>0</formula>
    </cfRule>
    <cfRule type="cellIs" dxfId="5167" priority="3014" operator="notEqual">
      <formula>0</formula>
    </cfRule>
  </conditionalFormatting>
  <conditionalFormatting sqref="I180">
    <cfRule type="cellIs" dxfId="5166" priority="3006" operator="equal">
      <formula>0</formula>
    </cfRule>
  </conditionalFormatting>
  <conditionalFormatting sqref="I188:I189">
    <cfRule type="cellIs" dxfId="5165" priority="3010" operator="equal">
      <formula>0</formula>
    </cfRule>
    <cfRule type="cellIs" dxfId="5164" priority="3011" operator="notEqual">
      <formula>0</formula>
    </cfRule>
  </conditionalFormatting>
  <conditionalFormatting sqref="I178:I179">
    <cfRule type="cellIs" dxfId="5163" priority="3007" operator="equal">
      <formula>0</formula>
    </cfRule>
    <cfRule type="cellIs" dxfId="5162" priority="3008" operator="notEqual">
      <formula>0</formula>
    </cfRule>
  </conditionalFormatting>
  <conditionalFormatting sqref="I185">
    <cfRule type="cellIs" dxfId="5161" priority="3003" operator="equal">
      <formula>0</formula>
    </cfRule>
  </conditionalFormatting>
  <conditionalFormatting sqref="I183:I184">
    <cfRule type="cellIs" dxfId="5160" priority="3004" operator="equal">
      <formula>0</formula>
    </cfRule>
    <cfRule type="cellIs" dxfId="5159" priority="3005" operator="notEqual">
      <formula>0</formula>
    </cfRule>
  </conditionalFormatting>
  <conditionalFormatting sqref="J148:J149">
    <cfRule type="cellIs" dxfId="5158" priority="3001" operator="equal">
      <formula>0</formula>
    </cfRule>
    <cfRule type="cellIs" dxfId="5157" priority="3002" operator="notEqual">
      <formula>0</formula>
    </cfRule>
  </conditionalFormatting>
  <conditionalFormatting sqref="J153:J154 J158:J159 J168:J169 J193:J194 J198:J199 J203:J204">
    <cfRule type="cellIs" dxfId="5156" priority="2999" operator="equal">
      <formula>0</formula>
    </cfRule>
    <cfRule type="cellIs" dxfId="5155" priority="3000" operator="notEqual">
      <formula>0</formula>
    </cfRule>
  </conditionalFormatting>
  <conditionalFormatting sqref="J150 J155 J160 J170 J195 J200 J205 J210">
    <cfRule type="cellIs" dxfId="5154" priority="2998" operator="equal">
      <formula>0</formula>
    </cfRule>
  </conditionalFormatting>
  <conditionalFormatting sqref="J175">
    <cfRule type="cellIs" dxfId="5153" priority="2995" operator="equal">
      <formula>0</formula>
    </cfRule>
  </conditionalFormatting>
  <conditionalFormatting sqref="J165">
    <cfRule type="cellIs" dxfId="5152" priority="2992" operator="equal">
      <formula>0</formula>
    </cfRule>
  </conditionalFormatting>
  <conditionalFormatting sqref="J173:J174">
    <cfRule type="cellIs" dxfId="5151" priority="2996" operator="equal">
      <formula>0</formula>
    </cfRule>
    <cfRule type="cellIs" dxfId="5150" priority="2997" operator="notEqual">
      <formula>0</formula>
    </cfRule>
  </conditionalFormatting>
  <conditionalFormatting sqref="J190">
    <cfRule type="cellIs" dxfId="5149" priority="2989" operator="equal">
      <formula>0</formula>
    </cfRule>
  </conditionalFormatting>
  <conditionalFormatting sqref="J163:J164">
    <cfRule type="cellIs" dxfId="5148" priority="2993" operator="equal">
      <formula>0</formula>
    </cfRule>
    <cfRule type="cellIs" dxfId="5147" priority="2994" operator="notEqual">
      <formula>0</formula>
    </cfRule>
  </conditionalFormatting>
  <conditionalFormatting sqref="J180">
    <cfRule type="cellIs" dxfId="5146" priority="2986" operator="equal">
      <formula>0</formula>
    </cfRule>
  </conditionalFormatting>
  <conditionalFormatting sqref="J188:J189">
    <cfRule type="cellIs" dxfId="5145" priority="2990" operator="equal">
      <formula>0</formula>
    </cfRule>
    <cfRule type="cellIs" dxfId="5144" priority="2991" operator="notEqual">
      <formula>0</formula>
    </cfRule>
  </conditionalFormatting>
  <conditionalFormatting sqref="J178:J179">
    <cfRule type="cellIs" dxfId="5143" priority="2987" operator="equal">
      <formula>0</formula>
    </cfRule>
    <cfRule type="cellIs" dxfId="5142" priority="2988" operator="notEqual">
      <formula>0</formula>
    </cfRule>
  </conditionalFormatting>
  <conditionalFormatting sqref="J185">
    <cfRule type="cellIs" dxfId="5141" priority="2983" operator="equal">
      <formula>0</formula>
    </cfRule>
  </conditionalFormatting>
  <conditionalFormatting sqref="J183:J184">
    <cfRule type="cellIs" dxfId="5140" priority="2984" operator="equal">
      <formula>0</formula>
    </cfRule>
    <cfRule type="cellIs" dxfId="5139" priority="2985" operator="notEqual">
      <formula>0</formula>
    </cfRule>
  </conditionalFormatting>
  <conditionalFormatting sqref="K148:K149">
    <cfRule type="cellIs" dxfId="5138" priority="2981" operator="equal">
      <formula>0</formula>
    </cfRule>
    <cfRule type="cellIs" dxfId="5137" priority="2982" operator="notEqual">
      <formula>0</formula>
    </cfRule>
  </conditionalFormatting>
  <conditionalFormatting sqref="K153:K154 K158:K159 K168:K169 K193:K194 K198:K199 K203:K204">
    <cfRule type="cellIs" dxfId="5136" priority="2979" operator="equal">
      <formula>0</formula>
    </cfRule>
    <cfRule type="cellIs" dxfId="5135" priority="2980" operator="notEqual">
      <formula>0</formula>
    </cfRule>
  </conditionalFormatting>
  <conditionalFormatting sqref="K150 K155 K160 K170 K195 K200 K205 K210">
    <cfRule type="cellIs" dxfId="5134" priority="2978" operator="equal">
      <formula>0</formula>
    </cfRule>
  </conditionalFormatting>
  <conditionalFormatting sqref="K175">
    <cfRule type="cellIs" dxfId="5133" priority="2975" operator="equal">
      <formula>0</formula>
    </cfRule>
  </conditionalFormatting>
  <conditionalFormatting sqref="K165">
    <cfRule type="cellIs" dxfId="5132" priority="2972" operator="equal">
      <formula>0</formula>
    </cfRule>
  </conditionalFormatting>
  <conditionalFormatting sqref="K173:K174">
    <cfRule type="cellIs" dxfId="5131" priority="2976" operator="equal">
      <formula>0</formula>
    </cfRule>
    <cfRule type="cellIs" dxfId="5130" priority="2977" operator="notEqual">
      <formula>0</formula>
    </cfRule>
  </conditionalFormatting>
  <conditionalFormatting sqref="K190">
    <cfRule type="cellIs" dxfId="5129" priority="2969" operator="equal">
      <formula>0</formula>
    </cfRule>
  </conditionalFormatting>
  <conditionalFormatting sqref="K163:K164">
    <cfRule type="cellIs" dxfId="5128" priority="2973" operator="equal">
      <formula>0</formula>
    </cfRule>
    <cfRule type="cellIs" dxfId="5127" priority="2974" operator="notEqual">
      <formula>0</formula>
    </cfRule>
  </conditionalFormatting>
  <conditionalFormatting sqref="K180">
    <cfRule type="cellIs" dxfId="5126" priority="2966" operator="equal">
      <formula>0</formula>
    </cfRule>
  </conditionalFormatting>
  <conditionalFormatting sqref="K188:K189">
    <cfRule type="cellIs" dxfId="5125" priority="2970" operator="equal">
      <formula>0</formula>
    </cfRule>
    <cfRule type="cellIs" dxfId="5124" priority="2971" operator="notEqual">
      <formula>0</formula>
    </cfRule>
  </conditionalFormatting>
  <conditionalFormatting sqref="K178:K179">
    <cfRule type="cellIs" dxfId="5123" priority="2967" operator="equal">
      <formula>0</formula>
    </cfRule>
    <cfRule type="cellIs" dxfId="5122" priority="2968" operator="notEqual">
      <formula>0</formula>
    </cfRule>
  </conditionalFormatting>
  <conditionalFormatting sqref="K185">
    <cfRule type="cellIs" dxfId="5121" priority="2963" operator="equal">
      <formula>0</formula>
    </cfRule>
  </conditionalFormatting>
  <conditionalFormatting sqref="K183:K184">
    <cfRule type="cellIs" dxfId="5120" priority="2964" operator="equal">
      <formula>0</formula>
    </cfRule>
    <cfRule type="cellIs" dxfId="5119" priority="2965" operator="notEqual">
      <formula>0</formula>
    </cfRule>
  </conditionalFormatting>
  <conditionalFormatting sqref="L150 L155 L160 L170 L195 L200 L205 L210">
    <cfRule type="cellIs" dxfId="5118" priority="2962" operator="equal">
      <formula>0</formula>
    </cfRule>
  </conditionalFormatting>
  <conditionalFormatting sqref="L175">
    <cfRule type="cellIs" dxfId="5117" priority="2961" operator="equal">
      <formula>0</formula>
    </cfRule>
  </conditionalFormatting>
  <conditionalFormatting sqref="L165">
    <cfRule type="cellIs" dxfId="5116" priority="2960" operator="equal">
      <formula>0</formula>
    </cfRule>
  </conditionalFormatting>
  <conditionalFormatting sqref="L190">
    <cfRule type="cellIs" dxfId="5115" priority="2959" operator="equal">
      <formula>0</formula>
    </cfRule>
  </conditionalFormatting>
  <conditionalFormatting sqref="L180">
    <cfRule type="cellIs" dxfId="5114" priority="2958" operator="equal">
      <formula>0</formula>
    </cfRule>
  </conditionalFormatting>
  <conditionalFormatting sqref="L185">
    <cfRule type="cellIs" dxfId="5113" priority="2957" operator="equal">
      <formula>0</formula>
    </cfRule>
  </conditionalFormatting>
  <conditionalFormatting sqref="M150 M155 M160 M170 M195 M200 M205 M210">
    <cfRule type="cellIs" dxfId="5112" priority="2956" operator="equal">
      <formula>0</formula>
    </cfRule>
  </conditionalFormatting>
  <conditionalFormatting sqref="M175">
    <cfRule type="cellIs" dxfId="5111" priority="2955" operator="equal">
      <formula>0</formula>
    </cfRule>
  </conditionalFormatting>
  <conditionalFormatting sqref="M165">
    <cfRule type="cellIs" dxfId="5110" priority="2954" operator="equal">
      <formula>0</formula>
    </cfRule>
  </conditionalFormatting>
  <conditionalFormatting sqref="M190">
    <cfRule type="cellIs" dxfId="5109" priority="2953" operator="equal">
      <formula>0</formula>
    </cfRule>
  </conditionalFormatting>
  <conditionalFormatting sqref="M180">
    <cfRule type="cellIs" dxfId="5108" priority="2952" operator="equal">
      <formula>0</formula>
    </cfRule>
  </conditionalFormatting>
  <conditionalFormatting sqref="M185">
    <cfRule type="cellIs" dxfId="5107" priority="2951" operator="equal">
      <formula>0</formula>
    </cfRule>
  </conditionalFormatting>
  <conditionalFormatting sqref="N150 N155 N160 N170 N195 N200 N205 N210">
    <cfRule type="cellIs" dxfId="5106" priority="2950" operator="equal">
      <formula>0</formula>
    </cfRule>
  </conditionalFormatting>
  <conditionalFormatting sqref="N175">
    <cfRule type="cellIs" dxfId="5105" priority="2949" operator="equal">
      <formula>0</formula>
    </cfRule>
  </conditionalFormatting>
  <conditionalFormatting sqref="N165">
    <cfRule type="cellIs" dxfId="5104" priority="2948" operator="equal">
      <formula>0</formula>
    </cfRule>
  </conditionalFormatting>
  <conditionalFormatting sqref="N190">
    <cfRule type="cellIs" dxfId="5103" priority="2947" operator="equal">
      <formula>0</formula>
    </cfRule>
  </conditionalFormatting>
  <conditionalFormatting sqref="N180">
    <cfRule type="cellIs" dxfId="5102" priority="2946" operator="equal">
      <formula>0</formula>
    </cfRule>
  </conditionalFormatting>
  <conditionalFormatting sqref="N185">
    <cfRule type="cellIs" dxfId="5101" priority="2945" operator="equal">
      <formula>0</formula>
    </cfRule>
  </conditionalFormatting>
  <conditionalFormatting sqref="O150 O155 O160 O170 O195 O200 O205 O210">
    <cfRule type="cellIs" dxfId="5100" priority="2944" operator="equal">
      <formula>0</formula>
    </cfRule>
  </conditionalFormatting>
  <conditionalFormatting sqref="O175">
    <cfRule type="cellIs" dxfId="5099" priority="2943" operator="equal">
      <formula>0</formula>
    </cfRule>
  </conditionalFormatting>
  <conditionalFormatting sqref="O165">
    <cfRule type="cellIs" dxfId="5098" priority="2942" operator="equal">
      <formula>0</formula>
    </cfRule>
  </conditionalFormatting>
  <conditionalFormatting sqref="O190">
    <cfRule type="cellIs" dxfId="5097" priority="2941" operator="equal">
      <formula>0</formula>
    </cfRule>
  </conditionalFormatting>
  <conditionalFormatting sqref="O180">
    <cfRule type="cellIs" dxfId="5096" priority="2940" operator="equal">
      <formula>0</formula>
    </cfRule>
  </conditionalFormatting>
  <conditionalFormatting sqref="O185">
    <cfRule type="cellIs" dxfId="5095" priority="2939" operator="equal">
      <formula>0</formula>
    </cfRule>
  </conditionalFormatting>
  <conditionalFormatting sqref="P77">
    <cfRule type="cellIs" dxfId="5094" priority="2937" operator="equal">
      <formula>0</formula>
    </cfRule>
    <cfRule type="cellIs" dxfId="5093" priority="2938" operator="notEqual">
      <formula>0</formula>
    </cfRule>
  </conditionalFormatting>
  <conditionalFormatting sqref="P102">
    <cfRule type="cellIs" dxfId="5092" priority="2935" operator="equal">
      <formula>0</formula>
    </cfRule>
    <cfRule type="cellIs" dxfId="5091" priority="2936" operator="notEqual">
      <formula>0</formula>
    </cfRule>
  </conditionalFormatting>
  <conditionalFormatting sqref="P80 P105 P110">
    <cfRule type="cellIs" dxfId="5090" priority="2934" operator="equal">
      <formula>0</formula>
    </cfRule>
  </conditionalFormatting>
  <conditionalFormatting sqref="P82">
    <cfRule type="cellIs" dxfId="5089" priority="2932" operator="equal">
      <formula>0</formula>
    </cfRule>
    <cfRule type="cellIs" dxfId="5088" priority="2933" operator="notEqual">
      <formula>0</formula>
    </cfRule>
  </conditionalFormatting>
  <conditionalFormatting sqref="P85">
    <cfRule type="cellIs" dxfId="5087" priority="2931" operator="equal">
      <formula>0</formula>
    </cfRule>
  </conditionalFormatting>
  <conditionalFormatting sqref="P87">
    <cfRule type="cellIs" dxfId="5086" priority="2929" operator="equal">
      <formula>0</formula>
    </cfRule>
    <cfRule type="cellIs" dxfId="5085" priority="2930" operator="notEqual">
      <formula>0</formula>
    </cfRule>
  </conditionalFormatting>
  <conditionalFormatting sqref="P90">
    <cfRule type="cellIs" dxfId="5084" priority="2928" operator="equal">
      <formula>0</formula>
    </cfRule>
  </conditionalFormatting>
  <conditionalFormatting sqref="P92">
    <cfRule type="cellIs" dxfId="5083" priority="2926" operator="equal">
      <formula>0</formula>
    </cfRule>
    <cfRule type="cellIs" dxfId="5082" priority="2927" operator="notEqual">
      <formula>0</formula>
    </cfRule>
  </conditionalFormatting>
  <conditionalFormatting sqref="P95">
    <cfRule type="cellIs" dxfId="5081" priority="2925" operator="equal">
      <formula>0</formula>
    </cfRule>
  </conditionalFormatting>
  <conditionalFormatting sqref="P97">
    <cfRule type="cellIs" dxfId="5080" priority="2923" operator="equal">
      <formula>0</formula>
    </cfRule>
    <cfRule type="cellIs" dxfId="5079" priority="2924" operator="notEqual">
      <formula>0</formula>
    </cfRule>
  </conditionalFormatting>
  <conditionalFormatting sqref="P100">
    <cfRule type="cellIs" dxfId="5078" priority="2922" operator="equal">
      <formula>0</formula>
    </cfRule>
  </conditionalFormatting>
  <conditionalFormatting sqref="P135">
    <cfRule type="cellIs" dxfId="5077" priority="2916" operator="equal">
      <formula>0</formula>
    </cfRule>
  </conditionalFormatting>
  <conditionalFormatting sqref="P132">
    <cfRule type="cellIs" dxfId="5076" priority="2917" operator="equal">
      <formula>0</formula>
    </cfRule>
    <cfRule type="cellIs" dxfId="5075" priority="2918" operator="notEqual">
      <formula>0</formula>
    </cfRule>
  </conditionalFormatting>
  <conditionalFormatting sqref="Q77">
    <cfRule type="cellIs" dxfId="5074" priority="2911" operator="equal">
      <formula>0</formula>
    </cfRule>
    <cfRule type="cellIs" dxfId="5073" priority="2912" operator="notEqual">
      <formula>0</formula>
    </cfRule>
  </conditionalFormatting>
  <conditionalFormatting sqref="Q102">
    <cfRule type="cellIs" dxfId="5072" priority="2909" operator="equal">
      <formula>0</formula>
    </cfRule>
    <cfRule type="cellIs" dxfId="5071" priority="2910" operator="notEqual">
      <formula>0</formula>
    </cfRule>
  </conditionalFormatting>
  <conditionalFormatting sqref="Q80 Q105 Q110">
    <cfRule type="cellIs" dxfId="5070" priority="2908" operator="equal">
      <formula>0</formula>
    </cfRule>
  </conditionalFormatting>
  <conditionalFormatting sqref="Q82">
    <cfRule type="cellIs" dxfId="5069" priority="2906" operator="equal">
      <formula>0</formula>
    </cfRule>
    <cfRule type="cellIs" dxfId="5068" priority="2907" operator="notEqual">
      <formula>0</formula>
    </cfRule>
  </conditionalFormatting>
  <conditionalFormatting sqref="Q85">
    <cfRule type="cellIs" dxfId="5067" priority="2905" operator="equal">
      <formula>0</formula>
    </cfRule>
  </conditionalFormatting>
  <conditionalFormatting sqref="Q87">
    <cfRule type="cellIs" dxfId="5066" priority="2903" operator="equal">
      <formula>0</formula>
    </cfRule>
    <cfRule type="cellIs" dxfId="5065" priority="2904" operator="notEqual">
      <formula>0</formula>
    </cfRule>
  </conditionalFormatting>
  <conditionalFormatting sqref="Q90">
    <cfRule type="cellIs" dxfId="5064" priority="2902" operator="equal">
      <formula>0</formula>
    </cfRule>
  </conditionalFormatting>
  <conditionalFormatting sqref="Q92">
    <cfRule type="cellIs" dxfId="5063" priority="2900" operator="equal">
      <formula>0</formula>
    </cfRule>
    <cfRule type="cellIs" dxfId="5062" priority="2901" operator="notEqual">
      <formula>0</formula>
    </cfRule>
  </conditionalFormatting>
  <conditionalFormatting sqref="Q95">
    <cfRule type="cellIs" dxfId="5061" priority="2899" operator="equal">
      <formula>0</formula>
    </cfRule>
  </conditionalFormatting>
  <conditionalFormatting sqref="Q97">
    <cfRule type="cellIs" dxfId="5060" priority="2897" operator="equal">
      <formula>0</formula>
    </cfRule>
    <cfRule type="cellIs" dxfId="5059" priority="2898" operator="notEqual">
      <formula>0</formula>
    </cfRule>
  </conditionalFormatting>
  <conditionalFormatting sqref="Q100">
    <cfRule type="cellIs" dxfId="5058" priority="2896" operator="equal">
      <formula>0</formula>
    </cfRule>
  </conditionalFormatting>
  <conditionalFormatting sqref="Q135">
    <cfRule type="cellIs" dxfId="5057" priority="2890" operator="equal">
      <formula>0</formula>
    </cfRule>
  </conditionalFormatting>
  <conditionalFormatting sqref="Q132">
    <cfRule type="cellIs" dxfId="5056" priority="2891" operator="equal">
      <formula>0</formula>
    </cfRule>
    <cfRule type="cellIs" dxfId="5055" priority="2892" operator="notEqual">
      <formula>0</formula>
    </cfRule>
  </conditionalFormatting>
  <conditionalFormatting sqref="R77">
    <cfRule type="cellIs" dxfId="5054" priority="2885" operator="equal">
      <formula>0</formula>
    </cfRule>
    <cfRule type="cellIs" dxfId="5053" priority="2886" operator="notEqual">
      <formula>0</formula>
    </cfRule>
  </conditionalFormatting>
  <conditionalFormatting sqref="R102">
    <cfRule type="cellIs" dxfId="5052" priority="2883" operator="equal">
      <formula>0</formula>
    </cfRule>
    <cfRule type="cellIs" dxfId="5051" priority="2884" operator="notEqual">
      <formula>0</formula>
    </cfRule>
  </conditionalFormatting>
  <conditionalFormatting sqref="R80 R105 R110">
    <cfRule type="cellIs" dxfId="5050" priority="2882" operator="equal">
      <formula>0</formula>
    </cfRule>
  </conditionalFormatting>
  <conditionalFormatting sqref="R82">
    <cfRule type="cellIs" dxfId="5049" priority="2880" operator="equal">
      <formula>0</formula>
    </cfRule>
    <cfRule type="cellIs" dxfId="5048" priority="2881" operator="notEqual">
      <formula>0</formula>
    </cfRule>
  </conditionalFormatting>
  <conditionalFormatting sqref="R85">
    <cfRule type="cellIs" dxfId="5047" priority="2879" operator="equal">
      <formula>0</formula>
    </cfRule>
  </conditionalFormatting>
  <conditionalFormatting sqref="R87">
    <cfRule type="cellIs" dxfId="5046" priority="2877" operator="equal">
      <formula>0</formula>
    </cfRule>
    <cfRule type="cellIs" dxfId="5045" priority="2878" operator="notEqual">
      <formula>0</formula>
    </cfRule>
  </conditionalFormatting>
  <conditionalFormatting sqref="R90">
    <cfRule type="cellIs" dxfId="5044" priority="2876" operator="equal">
      <formula>0</formula>
    </cfRule>
  </conditionalFormatting>
  <conditionalFormatting sqref="R92">
    <cfRule type="cellIs" dxfId="5043" priority="2874" operator="equal">
      <formula>0</formula>
    </cfRule>
    <cfRule type="cellIs" dxfId="5042" priority="2875" operator="notEqual">
      <formula>0</formula>
    </cfRule>
  </conditionalFormatting>
  <conditionalFormatting sqref="R95">
    <cfRule type="cellIs" dxfId="5041" priority="2873" operator="equal">
      <formula>0</formula>
    </cfRule>
  </conditionalFormatting>
  <conditionalFormatting sqref="R97">
    <cfRule type="cellIs" dxfId="5040" priority="2871" operator="equal">
      <formula>0</formula>
    </cfRule>
    <cfRule type="cellIs" dxfId="5039" priority="2872" operator="notEqual">
      <formula>0</formula>
    </cfRule>
  </conditionalFormatting>
  <conditionalFormatting sqref="R100">
    <cfRule type="cellIs" dxfId="5038" priority="2870" operator="equal">
      <formula>0</formula>
    </cfRule>
  </conditionalFormatting>
  <conditionalFormatting sqref="R135">
    <cfRule type="cellIs" dxfId="5037" priority="2864" operator="equal">
      <formula>0</formula>
    </cfRule>
  </conditionalFormatting>
  <conditionalFormatting sqref="R132">
    <cfRule type="cellIs" dxfId="5036" priority="2865" operator="equal">
      <formula>0</formula>
    </cfRule>
    <cfRule type="cellIs" dxfId="5035" priority="2866" operator="notEqual">
      <formula>0</formula>
    </cfRule>
  </conditionalFormatting>
  <conditionalFormatting sqref="S77">
    <cfRule type="cellIs" dxfId="5034" priority="2859" operator="equal">
      <formula>0</formula>
    </cfRule>
    <cfRule type="cellIs" dxfId="5033" priority="2860" operator="notEqual">
      <formula>0</formula>
    </cfRule>
  </conditionalFormatting>
  <conditionalFormatting sqref="S102">
    <cfRule type="cellIs" dxfId="5032" priority="2857" operator="equal">
      <formula>0</formula>
    </cfRule>
    <cfRule type="cellIs" dxfId="5031" priority="2858" operator="notEqual">
      <formula>0</formula>
    </cfRule>
  </conditionalFormatting>
  <conditionalFormatting sqref="S80 S105 S110">
    <cfRule type="cellIs" dxfId="5030" priority="2856" operator="equal">
      <formula>0</formula>
    </cfRule>
  </conditionalFormatting>
  <conditionalFormatting sqref="S82">
    <cfRule type="cellIs" dxfId="5029" priority="2854" operator="equal">
      <formula>0</formula>
    </cfRule>
    <cfRule type="cellIs" dxfId="5028" priority="2855" operator="notEqual">
      <formula>0</formula>
    </cfRule>
  </conditionalFormatting>
  <conditionalFormatting sqref="S85">
    <cfRule type="cellIs" dxfId="5027" priority="2853" operator="equal">
      <formula>0</formula>
    </cfRule>
  </conditionalFormatting>
  <conditionalFormatting sqref="S87">
    <cfRule type="cellIs" dxfId="5026" priority="2851" operator="equal">
      <formula>0</formula>
    </cfRule>
    <cfRule type="cellIs" dxfId="5025" priority="2852" operator="notEqual">
      <formula>0</formula>
    </cfRule>
  </conditionalFormatting>
  <conditionalFormatting sqref="S90">
    <cfRule type="cellIs" dxfId="5024" priority="2850" operator="equal">
      <formula>0</formula>
    </cfRule>
  </conditionalFormatting>
  <conditionalFormatting sqref="S92">
    <cfRule type="cellIs" dxfId="5023" priority="2848" operator="equal">
      <formula>0</formula>
    </cfRule>
    <cfRule type="cellIs" dxfId="5022" priority="2849" operator="notEqual">
      <formula>0</formula>
    </cfRule>
  </conditionalFormatting>
  <conditionalFormatting sqref="S95">
    <cfRule type="cellIs" dxfId="5021" priority="2847" operator="equal">
      <formula>0</formula>
    </cfRule>
  </conditionalFormatting>
  <conditionalFormatting sqref="S97">
    <cfRule type="cellIs" dxfId="5020" priority="2845" operator="equal">
      <formula>0</formula>
    </cfRule>
    <cfRule type="cellIs" dxfId="5019" priority="2846" operator="notEqual">
      <formula>0</formula>
    </cfRule>
  </conditionalFormatting>
  <conditionalFormatting sqref="S100">
    <cfRule type="cellIs" dxfId="5018" priority="2844" operator="equal">
      <formula>0</formula>
    </cfRule>
  </conditionalFormatting>
  <conditionalFormatting sqref="S135">
    <cfRule type="cellIs" dxfId="5017" priority="2838" operator="equal">
      <formula>0</formula>
    </cfRule>
  </conditionalFormatting>
  <conditionalFormatting sqref="S132">
    <cfRule type="cellIs" dxfId="5016" priority="2839" operator="equal">
      <formula>0</formula>
    </cfRule>
    <cfRule type="cellIs" dxfId="5015" priority="2840" operator="notEqual">
      <formula>0</formula>
    </cfRule>
  </conditionalFormatting>
  <conditionalFormatting sqref="J103:J104">
    <cfRule type="cellIs" dxfId="5014" priority="2708" operator="equal">
      <formula>0</formula>
    </cfRule>
    <cfRule type="cellIs" dxfId="5013" priority="2709" operator="notEqual">
      <formula>0</formula>
    </cfRule>
  </conditionalFormatting>
  <conditionalFormatting sqref="J105">
    <cfRule type="cellIs" dxfId="5012" priority="2707" operator="equal">
      <formula>0</formula>
    </cfRule>
  </conditionalFormatting>
  <conditionalFormatting sqref="D78:D79">
    <cfRule type="cellIs" dxfId="5011" priority="2833" operator="equal">
      <formula>0</formula>
    </cfRule>
    <cfRule type="cellIs" dxfId="5010" priority="2834" operator="notEqual">
      <formula>0</formula>
    </cfRule>
  </conditionalFormatting>
  <conditionalFormatting sqref="D83:D84 D88:D89 D98:D99 D133:D134">
    <cfRule type="cellIs" dxfId="5009" priority="2831" operator="equal">
      <formula>0</formula>
    </cfRule>
    <cfRule type="cellIs" dxfId="5008" priority="2832" operator="notEqual">
      <formula>0</formula>
    </cfRule>
  </conditionalFormatting>
  <conditionalFormatting sqref="D80:D81 E81:S81 D85:D86 E86:S86 D90:D91 E91:S91 D100:D101 E101:S101 D135:D136 E136:S136">
    <cfRule type="cellIs" dxfId="5007" priority="2830" operator="equal">
      <formula>0</formula>
    </cfRule>
  </conditionalFormatting>
  <conditionalFormatting sqref="D105:D106 E106:S106">
    <cfRule type="cellIs" dxfId="5006" priority="2827" operator="equal">
      <formula>0</formula>
    </cfRule>
  </conditionalFormatting>
  <conditionalFormatting sqref="D95:D96 E96:S96">
    <cfRule type="cellIs" dxfId="5005" priority="2824" operator="equal">
      <formula>0</formula>
    </cfRule>
  </conditionalFormatting>
  <conditionalFormatting sqref="D103:D104">
    <cfRule type="cellIs" dxfId="5004" priority="2828" operator="equal">
      <formula>0</formula>
    </cfRule>
    <cfRule type="cellIs" dxfId="5003" priority="2829" operator="notEqual">
      <formula>0</formula>
    </cfRule>
  </conditionalFormatting>
  <conditionalFormatting sqref="D93:D94">
    <cfRule type="cellIs" dxfId="5002" priority="2825" operator="equal">
      <formula>0</formula>
    </cfRule>
    <cfRule type="cellIs" dxfId="5001" priority="2826" operator="notEqual">
      <formula>0</formula>
    </cfRule>
  </conditionalFormatting>
  <conditionalFormatting sqref="D110">
    <cfRule type="cellIs" dxfId="5000" priority="2818" operator="equal">
      <formula>0</formula>
    </cfRule>
  </conditionalFormatting>
  <conditionalFormatting sqref="D108:D109">
    <cfRule type="cellIs" dxfId="4999" priority="2819" operator="equal">
      <formula>0</formula>
    </cfRule>
    <cfRule type="cellIs" dxfId="4998" priority="2820" operator="notEqual">
      <formula>0</formula>
    </cfRule>
  </conditionalFormatting>
  <conditionalFormatting sqref="K105">
    <cfRule type="cellIs" dxfId="4997" priority="2687" operator="equal">
      <formula>0</formula>
    </cfRule>
  </conditionalFormatting>
  <conditionalFormatting sqref="K103:K104">
    <cfRule type="cellIs" dxfId="4996" priority="2688" operator="equal">
      <formula>0</formula>
    </cfRule>
    <cfRule type="cellIs" dxfId="4995" priority="2689" operator="notEqual">
      <formula>0</formula>
    </cfRule>
  </conditionalFormatting>
  <conditionalFormatting sqref="E78:E79">
    <cfRule type="cellIs" dxfId="4994" priority="2813" operator="equal">
      <formula>0</formula>
    </cfRule>
    <cfRule type="cellIs" dxfId="4993" priority="2814" operator="notEqual">
      <formula>0</formula>
    </cfRule>
  </conditionalFormatting>
  <conditionalFormatting sqref="E83:E84 E88:E89 E98:E99 E133:E134">
    <cfRule type="cellIs" dxfId="4992" priority="2811" operator="equal">
      <formula>0</formula>
    </cfRule>
    <cfRule type="cellIs" dxfId="4991" priority="2812" operator="notEqual">
      <formula>0</formula>
    </cfRule>
  </conditionalFormatting>
  <conditionalFormatting sqref="E80 E85 E90 E100 E135">
    <cfRule type="cellIs" dxfId="4990" priority="2810" operator="equal">
      <formula>0</formula>
    </cfRule>
  </conditionalFormatting>
  <conditionalFormatting sqref="E105">
    <cfRule type="cellIs" dxfId="4989" priority="2807" operator="equal">
      <formula>0</formula>
    </cfRule>
  </conditionalFormatting>
  <conditionalFormatting sqref="E95">
    <cfRule type="cellIs" dxfId="4988" priority="2804" operator="equal">
      <formula>0</formula>
    </cfRule>
  </conditionalFormatting>
  <conditionalFormatting sqref="E103:E104">
    <cfRule type="cellIs" dxfId="4987" priority="2808" operator="equal">
      <formula>0</formula>
    </cfRule>
    <cfRule type="cellIs" dxfId="4986" priority="2809" operator="notEqual">
      <formula>0</formula>
    </cfRule>
  </conditionalFormatting>
  <conditionalFormatting sqref="E93:E94">
    <cfRule type="cellIs" dxfId="4985" priority="2805" operator="equal">
      <formula>0</formula>
    </cfRule>
    <cfRule type="cellIs" dxfId="4984" priority="2806" operator="notEqual">
      <formula>0</formula>
    </cfRule>
  </conditionalFormatting>
  <conditionalFormatting sqref="E110">
    <cfRule type="cellIs" dxfId="4983" priority="2798" operator="equal">
      <formula>0</formula>
    </cfRule>
  </conditionalFormatting>
  <conditionalFormatting sqref="E108:E109">
    <cfRule type="cellIs" dxfId="4982" priority="2799" operator="equal">
      <formula>0</formula>
    </cfRule>
    <cfRule type="cellIs" dxfId="4981" priority="2800" operator="notEqual">
      <formula>0</formula>
    </cfRule>
  </conditionalFormatting>
  <conditionalFormatting sqref="M105">
    <cfRule type="cellIs" dxfId="4980" priority="2667" operator="equal">
      <formula>0</formula>
    </cfRule>
  </conditionalFormatting>
  <conditionalFormatting sqref="F78:F79">
    <cfRule type="cellIs" dxfId="4979" priority="2793" operator="equal">
      <formula>0</formula>
    </cfRule>
    <cfRule type="cellIs" dxfId="4978" priority="2794" operator="notEqual">
      <formula>0</formula>
    </cfRule>
  </conditionalFormatting>
  <conditionalFormatting sqref="F83:F84 F88:F89 F98:F99 F133:F134">
    <cfRule type="cellIs" dxfId="4977" priority="2791" operator="equal">
      <formula>0</formula>
    </cfRule>
    <cfRule type="cellIs" dxfId="4976" priority="2792" operator="notEqual">
      <formula>0</formula>
    </cfRule>
  </conditionalFormatting>
  <conditionalFormatting sqref="F80 F85 F90 F100 F135">
    <cfRule type="cellIs" dxfId="4975" priority="2790" operator="equal">
      <formula>0</formula>
    </cfRule>
  </conditionalFormatting>
  <conditionalFormatting sqref="F105">
    <cfRule type="cellIs" dxfId="4974" priority="2787" operator="equal">
      <formula>0</formula>
    </cfRule>
  </conditionalFormatting>
  <conditionalFormatting sqref="F95">
    <cfRule type="cellIs" dxfId="4973" priority="2784" operator="equal">
      <formula>0</formula>
    </cfRule>
  </conditionalFormatting>
  <conditionalFormatting sqref="F103:F104">
    <cfRule type="cellIs" dxfId="4972" priority="2788" operator="equal">
      <formula>0</formula>
    </cfRule>
    <cfRule type="cellIs" dxfId="4971" priority="2789" operator="notEqual">
      <formula>0</formula>
    </cfRule>
  </conditionalFormatting>
  <conditionalFormatting sqref="F93:F94">
    <cfRule type="cellIs" dxfId="4970" priority="2785" operator="equal">
      <formula>0</formula>
    </cfRule>
    <cfRule type="cellIs" dxfId="4969" priority="2786" operator="notEqual">
      <formula>0</formula>
    </cfRule>
  </conditionalFormatting>
  <conditionalFormatting sqref="F110">
    <cfRule type="cellIs" dxfId="4968" priority="2778" operator="equal">
      <formula>0</formula>
    </cfRule>
  </conditionalFormatting>
  <conditionalFormatting sqref="F108:F109">
    <cfRule type="cellIs" dxfId="4967" priority="2779" operator="equal">
      <formula>0</formula>
    </cfRule>
    <cfRule type="cellIs" dxfId="4966" priority="2780" operator="notEqual">
      <formula>0</formula>
    </cfRule>
  </conditionalFormatting>
  <conditionalFormatting sqref="G78:G79">
    <cfRule type="cellIs" dxfId="4965" priority="2773" operator="equal">
      <formula>0</formula>
    </cfRule>
    <cfRule type="cellIs" dxfId="4964" priority="2774" operator="notEqual">
      <formula>0</formula>
    </cfRule>
  </conditionalFormatting>
  <conditionalFormatting sqref="G83:G84 G88:G89 G98:G99 G133:G134">
    <cfRule type="cellIs" dxfId="4963" priority="2771" operator="equal">
      <formula>0</formula>
    </cfRule>
    <cfRule type="cellIs" dxfId="4962" priority="2772" operator="notEqual">
      <formula>0</formula>
    </cfRule>
  </conditionalFormatting>
  <conditionalFormatting sqref="G80 G85 G90 G100 G135">
    <cfRule type="cellIs" dxfId="4961" priority="2770" operator="equal">
      <formula>0</formula>
    </cfRule>
  </conditionalFormatting>
  <conditionalFormatting sqref="G105">
    <cfRule type="cellIs" dxfId="4960" priority="2767" operator="equal">
      <formula>0</formula>
    </cfRule>
  </conditionalFormatting>
  <conditionalFormatting sqref="G95">
    <cfRule type="cellIs" dxfId="4959" priority="2764" operator="equal">
      <formula>0</formula>
    </cfRule>
  </conditionalFormatting>
  <conditionalFormatting sqref="G103:G104">
    <cfRule type="cellIs" dxfId="4958" priority="2768" operator="equal">
      <formula>0</formula>
    </cfRule>
    <cfRule type="cellIs" dxfId="4957" priority="2769" operator="notEqual">
      <formula>0</formula>
    </cfRule>
  </conditionalFormatting>
  <conditionalFormatting sqref="G93:G94">
    <cfRule type="cellIs" dxfId="4956" priority="2765" operator="equal">
      <formula>0</formula>
    </cfRule>
    <cfRule type="cellIs" dxfId="4955" priority="2766" operator="notEqual">
      <formula>0</formula>
    </cfRule>
  </conditionalFormatting>
  <conditionalFormatting sqref="G110">
    <cfRule type="cellIs" dxfId="4954" priority="2758" operator="equal">
      <formula>0</formula>
    </cfRule>
  </conditionalFormatting>
  <conditionalFormatting sqref="G108:G109">
    <cfRule type="cellIs" dxfId="4953" priority="2759" operator="equal">
      <formula>0</formula>
    </cfRule>
    <cfRule type="cellIs" dxfId="4952" priority="2760" operator="notEqual">
      <formula>0</formula>
    </cfRule>
  </conditionalFormatting>
  <conditionalFormatting sqref="H78:H79">
    <cfRule type="cellIs" dxfId="4951" priority="2753" operator="equal">
      <formula>0</formula>
    </cfRule>
    <cfRule type="cellIs" dxfId="4950" priority="2754" operator="notEqual">
      <formula>0</formula>
    </cfRule>
  </conditionalFormatting>
  <conditionalFormatting sqref="H83:H84 H88:H89 H98:H99 H133:H134">
    <cfRule type="cellIs" dxfId="4949" priority="2751" operator="equal">
      <formula>0</formula>
    </cfRule>
    <cfRule type="cellIs" dxfId="4948" priority="2752" operator="notEqual">
      <formula>0</formula>
    </cfRule>
  </conditionalFormatting>
  <conditionalFormatting sqref="H80 H85 H90 H100 H135">
    <cfRule type="cellIs" dxfId="4947" priority="2750" operator="equal">
      <formula>0</formula>
    </cfRule>
  </conditionalFormatting>
  <conditionalFormatting sqref="H105">
    <cfRule type="cellIs" dxfId="4946" priority="2747" operator="equal">
      <formula>0</formula>
    </cfRule>
  </conditionalFormatting>
  <conditionalFormatting sqref="H95">
    <cfRule type="cellIs" dxfId="4945" priority="2744" operator="equal">
      <formula>0</formula>
    </cfRule>
  </conditionalFormatting>
  <conditionalFormatting sqref="H103:H104">
    <cfRule type="cellIs" dxfId="4944" priority="2748" operator="equal">
      <formula>0</formula>
    </cfRule>
    <cfRule type="cellIs" dxfId="4943" priority="2749" operator="notEqual">
      <formula>0</formula>
    </cfRule>
  </conditionalFormatting>
  <conditionalFormatting sqref="H93:H94">
    <cfRule type="cellIs" dxfId="4942" priority="2745" operator="equal">
      <formula>0</formula>
    </cfRule>
    <cfRule type="cellIs" dxfId="4941" priority="2746" operator="notEqual">
      <formula>0</formula>
    </cfRule>
  </conditionalFormatting>
  <conditionalFormatting sqref="H107:H111 D111:G111 I111:S111 I107:S107 D107:G107">
    <cfRule type="cellIs" dxfId="4940" priority="2739" operator="equal">
      <formula>0</formula>
    </cfRule>
    <cfRule type="cellIs" dxfId="4939" priority="2740" operator="notEqual">
      <formula>0</formula>
    </cfRule>
  </conditionalFormatting>
  <conditionalFormatting sqref="I78:I79">
    <cfRule type="cellIs" dxfId="4938" priority="2733" operator="equal">
      <formula>0</formula>
    </cfRule>
    <cfRule type="cellIs" dxfId="4937" priority="2734" operator="notEqual">
      <formula>0</formula>
    </cfRule>
  </conditionalFormatting>
  <conditionalFormatting sqref="I83:I84 I88:I89 I98:I99 I133:I134">
    <cfRule type="cellIs" dxfId="4936" priority="2731" operator="equal">
      <formula>0</formula>
    </cfRule>
    <cfRule type="cellIs" dxfId="4935" priority="2732" operator="notEqual">
      <formula>0</formula>
    </cfRule>
  </conditionalFormatting>
  <conditionalFormatting sqref="I80 I85 I90 I100 I135">
    <cfRule type="cellIs" dxfId="4934" priority="2730" operator="equal">
      <formula>0</formula>
    </cfRule>
  </conditionalFormatting>
  <conditionalFormatting sqref="I105">
    <cfRule type="cellIs" dxfId="4933" priority="2727" operator="equal">
      <formula>0</formula>
    </cfRule>
  </conditionalFormatting>
  <conditionalFormatting sqref="I95">
    <cfRule type="cellIs" dxfId="4932" priority="2724" operator="equal">
      <formula>0</formula>
    </cfRule>
  </conditionalFormatting>
  <conditionalFormatting sqref="I103:I104">
    <cfRule type="cellIs" dxfId="4931" priority="2728" operator="equal">
      <formula>0</formula>
    </cfRule>
    <cfRule type="cellIs" dxfId="4930" priority="2729" operator="notEqual">
      <formula>0</formula>
    </cfRule>
  </conditionalFormatting>
  <conditionalFormatting sqref="I93:I94">
    <cfRule type="cellIs" dxfId="4929" priority="2725" operator="equal">
      <formula>0</formula>
    </cfRule>
    <cfRule type="cellIs" dxfId="4928" priority="2726" operator="notEqual">
      <formula>0</formula>
    </cfRule>
  </conditionalFormatting>
  <conditionalFormatting sqref="I110">
    <cfRule type="cellIs" dxfId="4927" priority="2718" operator="equal">
      <formula>0</formula>
    </cfRule>
  </conditionalFormatting>
  <conditionalFormatting sqref="I108:I109">
    <cfRule type="cellIs" dxfId="4926" priority="2719" operator="equal">
      <formula>0</formula>
    </cfRule>
    <cfRule type="cellIs" dxfId="4925" priority="2720" operator="notEqual">
      <formula>0</formula>
    </cfRule>
  </conditionalFormatting>
  <conditionalFormatting sqref="J78:J79">
    <cfRule type="cellIs" dxfId="4924" priority="2713" operator="equal">
      <formula>0</formula>
    </cfRule>
    <cfRule type="cellIs" dxfId="4923" priority="2714" operator="notEqual">
      <formula>0</formula>
    </cfRule>
  </conditionalFormatting>
  <conditionalFormatting sqref="J83:J84 J88:J89 J98:J99 J133:J134">
    <cfRule type="cellIs" dxfId="4922" priority="2711" operator="equal">
      <formula>0</formula>
    </cfRule>
    <cfRule type="cellIs" dxfId="4921" priority="2712" operator="notEqual">
      <formula>0</formula>
    </cfRule>
  </conditionalFormatting>
  <conditionalFormatting sqref="J80 J85 J90 J100 J135">
    <cfRule type="cellIs" dxfId="4920" priority="2710" operator="equal">
      <formula>0</formula>
    </cfRule>
  </conditionalFormatting>
  <conditionalFormatting sqref="J95">
    <cfRule type="cellIs" dxfId="4919" priority="2704" operator="equal">
      <formula>0</formula>
    </cfRule>
  </conditionalFormatting>
  <conditionalFormatting sqref="J93:J94">
    <cfRule type="cellIs" dxfId="4918" priority="2705" operator="equal">
      <formula>0</formula>
    </cfRule>
    <cfRule type="cellIs" dxfId="4917" priority="2706" operator="notEqual">
      <formula>0</formula>
    </cfRule>
  </conditionalFormatting>
  <conditionalFormatting sqref="J110">
    <cfRule type="cellIs" dxfId="4916" priority="2698" operator="equal">
      <formula>0</formula>
    </cfRule>
  </conditionalFormatting>
  <conditionalFormatting sqref="J108:J109">
    <cfRule type="cellIs" dxfId="4915" priority="2699" operator="equal">
      <formula>0</formula>
    </cfRule>
    <cfRule type="cellIs" dxfId="4914" priority="2700" operator="notEqual">
      <formula>0</formula>
    </cfRule>
  </conditionalFormatting>
  <conditionalFormatting sqref="K78:K79">
    <cfRule type="cellIs" dxfId="4913" priority="2693" operator="equal">
      <formula>0</formula>
    </cfRule>
    <cfRule type="cellIs" dxfId="4912" priority="2694" operator="notEqual">
      <formula>0</formula>
    </cfRule>
  </conditionalFormatting>
  <conditionalFormatting sqref="K83:K84 K88:K89 K98:K99 K133:K134">
    <cfRule type="cellIs" dxfId="4911" priority="2691" operator="equal">
      <formula>0</formula>
    </cfRule>
    <cfRule type="cellIs" dxfId="4910" priority="2692" operator="notEqual">
      <formula>0</formula>
    </cfRule>
  </conditionalFormatting>
  <conditionalFormatting sqref="K80 K85 K90 K100 K135">
    <cfRule type="cellIs" dxfId="4909" priority="2690" operator="equal">
      <formula>0</formula>
    </cfRule>
  </conditionalFormatting>
  <conditionalFormatting sqref="K95">
    <cfRule type="cellIs" dxfId="4908" priority="2684" operator="equal">
      <formula>0</formula>
    </cfRule>
  </conditionalFormatting>
  <conditionalFormatting sqref="K93:K94">
    <cfRule type="cellIs" dxfId="4907" priority="2685" operator="equal">
      <formula>0</formula>
    </cfRule>
    <cfRule type="cellIs" dxfId="4906" priority="2686" operator="notEqual">
      <formula>0</formula>
    </cfRule>
  </conditionalFormatting>
  <conditionalFormatting sqref="K110">
    <cfRule type="cellIs" dxfId="4905" priority="2678" operator="equal">
      <formula>0</formula>
    </cfRule>
  </conditionalFormatting>
  <conditionalFormatting sqref="K108:K109">
    <cfRule type="cellIs" dxfId="4904" priority="2679" operator="equal">
      <formula>0</formula>
    </cfRule>
    <cfRule type="cellIs" dxfId="4903" priority="2680" operator="notEqual">
      <formula>0</formula>
    </cfRule>
  </conditionalFormatting>
  <conditionalFormatting sqref="L80 L85 L90 L100 L135">
    <cfRule type="cellIs" dxfId="4902" priority="2674" operator="equal">
      <formula>0</formula>
    </cfRule>
  </conditionalFormatting>
  <conditionalFormatting sqref="L105">
    <cfRule type="cellIs" dxfId="4901" priority="2673" operator="equal">
      <formula>0</formula>
    </cfRule>
  </conditionalFormatting>
  <conditionalFormatting sqref="L95">
    <cfRule type="cellIs" dxfId="4900" priority="2672" operator="equal">
      <formula>0</formula>
    </cfRule>
  </conditionalFormatting>
  <conditionalFormatting sqref="L110">
    <cfRule type="cellIs" dxfId="4899" priority="2670" operator="equal">
      <formula>0</formula>
    </cfRule>
  </conditionalFormatting>
  <conditionalFormatting sqref="M80 M85 M90 M100 M135">
    <cfRule type="cellIs" dxfId="4898" priority="2668" operator="equal">
      <formula>0</formula>
    </cfRule>
  </conditionalFormatting>
  <conditionalFormatting sqref="M95">
    <cfRule type="cellIs" dxfId="4897" priority="2666" operator="equal">
      <formula>0</formula>
    </cfRule>
  </conditionalFormatting>
  <conditionalFormatting sqref="M110">
    <cfRule type="cellIs" dxfId="4896" priority="2664" operator="equal">
      <formula>0</formula>
    </cfRule>
  </conditionalFormatting>
  <conditionalFormatting sqref="N80 N85 N90 N100 N135">
    <cfRule type="cellIs" dxfId="4895" priority="2662" operator="equal">
      <formula>0</formula>
    </cfRule>
  </conditionalFormatting>
  <conditionalFormatting sqref="N105">
    <cfRule type="cellIs" dxfId="4894" priority="2661" operator="equal">
      <formula>0</formula>
    </cfRule>
  </conditionalFormatting>
  <conditionalFormatting sqref="N95">
    <cfRule type="cellIs" dxfId="4893" priority="2660" operator="equal">
      <formula>0</formula>
    </cfRule>
  </conditionalFormatting>
  <conditionalFormatting sqref="N110">
    <cfRule type="cellIs" dxfId="4892" priority="2658" operator="equal">
      <formula>0</formula>
    </cfRule>
  </conditionalFormatting>
  <conditionalFormatting sqref="O80 O85 O90 O100 O135">
    <cfRule type="cellIs" dxfId="4891" priority="2656" operator="equal">
      <formula>0</formula>
    </cfRule>
  </conditionalFormatting>
  <conditionalFormatting sqref="O105">
    <cfRule type="cellIs" dxfId="4890" priority="2655" operator="equal">
      <formula>0</formula>
    </cfRule>
  </conditionalFormatting>
  <conditionalFormatting sqref="O95">
    <cfRule type="cellIs" dxfId="4889" priority="2654" operator="equal">
      <formula>0</formula>
    </cfRule>
  </conditionalFormatting>
  <conditionalFormatting sqref="O110">
    <cfRule type="cellIs" dxfId="4888" priority="2652" operator="equal">
      <formula>0</formula>
    </cfRule>
  </conditionalFormatting>
  <conditionalFormatting sqref="Y182:AO186">
    <cfRule type="cellIs" dxfId="4887" priority="2240" operator="equal">
      <formula>0</formula>
    </cfRule>
  </conditionalFormatting>
  <conditionalFormatting sqref="T11">
    <cfRule type="cellIs" dxfId="4886" priority="367" operator="equal">
      <formula>0</formula>
    </cfRule>
  </conditionalFormatting>
  <conditionalFormatting sqref="D11">
    <cfRule type="cellIs" dxfId="4885" priority="366" operator="equal">
      <formula>0</formula>
    </cfRule>
  </conditionalFormatting>
  <conditionalFormatting sqref="E11">
    <cfRule type="cellIs" dxfId="4884" priority="365" operator="equal">
      <formula>0</formula>
    </cfRule>
  </conditionalFormatting>
  <conditionalFormatting sqref="F11">
    <cfRule type="cellIs" dxfId="4883" priority="364" operator="equal">
      <formula>0</formula>
    </cfRule>
  </conditionalFormatting>
  <conditionalFormatting sqref="G11">
    <cfRule type="cellIs" dxfId="4882" priority="363" operator="equal">
      <formula>0</formula>
    </cfRule>
  </conditionalFormatting>
  <conditionalFormatting sqref="H11">
    <cfRule type="cellIs" dxfId="4881" priority="362" operator="equal">
      <formula>0</formula>
    </cfRule>
  </conditionalFormatting>
  <conditionalFormatting sqref="I11">
    <cfRule type="cellIs" dxfId="4880" priority="361" operator="equal">
      <formula>0</formula>
    </cfRule>
  </conditionalFormatting>
  <conditionalFormatting sqref="J11">
    <cfRule type="cellIs" dxfId="4879" priority="360" operator="equal">
      <formula>0</formula>
    </cfRule>
  </conditionalFormatting>
  <conditionalFormatting sqref="K11">
    <cfRule type="cellIs" dxfId="4878" priority="359" operator="equal">
      <formula>0</formula>
    </cfRule>
  </conditionalFormatting>
  <conditionalFormatting sqref="L11">
    <cfRule type="cellIs" dxfId="4877" priority="358" operator="equal">
      <formula>0</formula>
    </cfRule>
  </conditionalFormatting>
  <conditionalFormatting sqref="M11">
    <cfRule type="cellIs" dxfId="4876" priority="357" operator="equal">
      <formula>0</formula>
    </cfRule>
  </conditionalFormatting>
  <conditionalFormatting sqref="N11">
    <cfRule type="cellIs" dxfId="4875" priority="356" operator="equal">
      <formula>0</formula>
    </cfRule>
  </conditionalFormatting>
  <conditionalFormatting sqref="O11">
    <cfRule type="cellIs" dxfId="4874" priority="355" operator="equal">
      <formula>0</formula>
    </cfRule>
  </conditionalFormatting>
  <conditionalFormatting sqref="P11">
    <cfRule type="cellIs" dxfId="4873" priority="354" operator="equal">
      <formula>0</formula>
    </cfRule>
  </conditionalFormatting>
  <conditionalFormatting sqref="Q11">
    <cfRule type="cellIs" dxfId="4872" priority="353" operator="equal">
      <formula>0</formula>
    </cfRule>
  </conditionalFormatting>
  <conditionalFormatting sqref="R11">
    <cfRule type="cellIs" dxfId="4871" priority="352" operator="equal">
      <formula>0</formula>
    </cfRule>
  </conditionalFormatting>
  <conditionalFormatting sqref="S11">
    <cfRule type="cellIs" dxfId="4870" priority="351" operator="equal">
      <formula>0</formula>
    </cfRule>
  </conditionalFormatting>
  <conditionalFormatting sqref="G130">
    <cfRule type="cellIs" dxfId="4869" priority="75" operator="equal">
      <formula>0</formula>
    </cfRule>
  </conditionalFormatting>
  <conditionalFormatting sqref="I130">
    <cfRule type="cellIs" dxfId="4868" priority="70" operator="equal">
      <formula>0</formula>
    </cfRule>
  </conditionalFormatting>
  <conditionalFormatting sqref="J130">
    <cfRule type="cellIs" dxfId="4867" priority="67" operator="equal">
      <formula>0</formula>
    </cfRule>
  </conditionalFormatting>
  <conditionalFormatting sqref="O130">
    <cfRule type="cellIs" dxfId="4866" priority="60" operator="equal">
      <formula>0</formula>
    </cfRule>
  </conditionalFormatting>
  <conditionalFormatting sqref="D77">
    <cfRule type="cellIs" dxfId="4865" priority="188" operator="equal">
      <formula>0</formula>
    </cfRule>
    <cfRule type="cellIs" dxfId="4864" priority="189" operator="notEqual">
      <formula>0</formula>
    </cfRule>
  </conditionalFormatting>
  <conditionalFormatting sqref="T115:T116">
    <cfRule type="cellIs" dxfId="4863" priority="187" operator="equal">
      <formula>0</formula>
    </cfRule>
  </conditionalFormatting>
  <conditionalFormatting sqref="P115">
    <cfRule type="cellIs" dxfId="4862" priority="186" operator="equal">
      <formula>0</formula>
    </cfRule>
  </conditionalFormatting>
  <conditionalFormatting sqref="Q115">
    <cfRule type="cellIs" dxfId="4861" priority="185" operator="equal">
      <formula>0</formula>
    </cfRule>
  </conditionalFormatting>
  <conditionalFormatting sqref="R115">
    <cfRule type="cellIs" dxfId="4860" priority="184" operator="equal">
      <formula>0</formula>
    </cfRule>
  </conditionalFormatting>
  <conditionalFormatting sqref="S115">
    <cfRule type="cellIs" dxfId="4859" priority="183" operator="equal">
      <formula>0</formula>
    </cfRule>
  </conditionalFormatting>
  <conditionalFormatting sqref="D115">
    <cfRule type="cellIs" dxfId="4858" priority="180" operator="equal">
      <formula>0</formula>
    </cfRule>
  </conditionalFormatting>
  <conditionalFormatting sqref="D113:D114">
    <cfRule type="cellIs" dxfId="4857" priority="181" operator="equal">
      <formula>0</formula>
    </cfRule>
    <cfRule type="cellIs" dxfId="4856" priority="182" operator="notEqual">
      <formula>0</formula>
    </cfRule>
  </conditionalFormatting>
  <conditionalFormatting sqref="E115">
    <cfRule type="cellIs" dxfId="4855" priority="177" operator="equal">
      <formula>0</formula>
    </cfRule>
  </conditionalFormatting>
  <conditionalFormatting sqref="E113:E114">
    <cfRule type="cellIs" dxfId="4854" priority="178" operator="equal">
      <formula>0</formula>
    </cfRule>
    <cfRule type="cellIs" dxfId="4853" priority="179" operator="notEqual">
      <formula>0</formula>
    </cfRule>
  </conditionalFormatting>
  <conditionalFormatting sqref="F115">
    <cfRule type="cellIs" dxfId="4852" priority="174" operator="equal">
      <formula>0</formula>
    </cfRule>
  </conditionalFormatting>
  <conditionalFormatting sqref="F113:F114">
    <cfRule type="cellIs" dxfId="4851" priority="175" operator="equal">
      <formula>0</formula>
    </cfRule>
    <cfRule type="cellIs" dxfId="4850" priority="176" operator="notEqual">
      <formula>0</formula>
    </cfRule>
  </conditionalFormatting>
  <conditionalFormatting sqref="G115">
    <cfRule type="cellIs" dxfId="4849" priority="171" operator="equal">
      <formula>0</formula>
    </cfRule>
  </conditionalFormatting>
  <conditionalFormatting sqref="G113:G114">
    <cfRule type="cellIs" dxfId="4848" priority="172" operator="equal">
      <formula>0</formula>
    </cfRule>
    <cfRule type="cellIs" dxfId="4847" priority="173" operator="notEqual">
      <formula>0</formula>
    </cfRule>
  </conditionalFormatting>
  <conditionalFormatting sqref="H112:H116 D116:G116 I116:S116 I112:S112 D112:G112">
    <cfRule type="cellIs" dxfId="4846" priority="169" operator="equal">
      <formula>0</formula>
    </cfRule>
    <cfRule type="cellIs" dxfId="4845" priority="170" operator="notEqual">
      <formula>0</formula>
    </cfRule>
  </conditionalFormatting>
  <conditionalFormatting sqref="I115">
    <cfRule type="cellIs" dxfId="4844" priority="166" operator="equal">
      <formula>0</formula>
    </cfRule>
  </conditionalFormatting>
  <conditionalFormatting sqref="I113:I114">
    <cfRule type="cellIs" dxfId="4843" priority="167" operator="equal">
      <formula>0</formula>
    </cfRule>
    <cfRule type="cellIs" dxfId="4842" priority="168" operator="notEqual">
      <formula>0</formula>
    </cfRule>
  </conditionalFormatting>
  <conditionalFormatting sqref="J115">
    <cfRule type="cellIs" dxfId="4841" priority="163" operator="equal">
      <formula>0</formula>
    </cfRule>
  </conditionalFormatting>
  <conditionalFormatting sqref="J113:J114">
    <cfRule type="cellIs" dxfId="4840" priority="164" operator="equal">
      <formula>0</formula>
    </cfRule>
    <cfRule type="cellIs" dxfId="4839" priority="165" operator="notEqual">
      <formula>0</formula>
    </cfRule>
  </conditionalFormatting>
  <conditionalFormatting sqref="K115">
    <cfRule type="cellIs" dxfId="4838" priority="160" operator="equal">
      <formula>0</formula>
    </cfRule>
  </conditionalFormatting>
  <conditionalFormatting sqref="K113:K114">
    <cfRule type="cellIs" dxfId="4837" priority="161" operator="equal">
      <formula>0</formula>
    </cfRule>
    <cfRule type="cellIs" dxfId="4836" priority="162" operator="notEqual">
      <formula>0</formula>
    </cfRule>
  </conditionalFormatting>
  <conditionalFormatting sqref="L115">
    <cfRule type="cellIs" dxfId="4835" priority="159" operator="equal">
      <formula>0</formula>
    </cfRule>
  </conditionalFormatting>
  <conditionalFormatting sqref="M115">
    <cfRule type="cellIs" dxfId="4834" priority="158" operator="equal">
      <formula>0</formula>
    </cfRule>
  </conditionalFormatting>
  <conditionalFormatting sqref="N115">
    <cfRule type="cellIs" dxfId="4833" priority="157" operator="equal">
      <formula>0</formula>
    </cfRule>
  </conditionalFormatting>
  <conditionalFormatting sqref="O115">
    <cfRule type="cellIs" dxfId="4832" priority="156" operator="equal">
      <formula>0</formula>
    </cfRule>
  </conditionalFormatting>
  <conditionalFormatting sqref="T120:T121">
    <cfRule type="cellIs" dxfId="4831" priority="155" operator="equal">
      <formula>0</formula>
    </cfRule>
  </conditionalFormatting>
  <conditionalFormatting sqref="P120">
    <cfRule type="cellIs" dxfId="4830" priority="154" operator="equal">
      <formula>0</formula>
    </cfRule>
  </conditionalFormatting>
  <conditionalFormatting sqref="Q120">
    <cfRule type="cellIs" dxfId="4829" priority="153" operator="equal">
      <formula>0</formula>
    </cfRule>
  </conditionalFormatting>
  <conditionalFormatting sqref="R120">
    <cfRule type="cellIs" dxfId="4828" priority="152" operator="equal">
      <formula>0</formula>
    </cfRule>
  </conditionalFormatting>
  <conditionalFormatting sqref="S120">
    <cfRule type="cellIs" dxfId="4827" priority="151" operator="equal">
      <formula>0</formula>
    </cfRule>
  </conditionalFormatting>
  <conditionalFormatting sqref="D120">
    <cfRule type="cellIs" dxfId="4826" priority="148" operator="equal">
      <formula>0</formula>
    </cfRule>
  </conditionalFormatting>
  <conditionalFormatting sqref="D118:D119">
    <cfRule type="cellIs" dxfId="4825" priority="149" operator="equal">
      <formula>0</formula>
    </cfRule>
    <cfRule type="cellIs" dxfId="4824" priority="150" operator="notEqual">
      <formula>0</formula>
    </cfRule>
  </conditionalFormatting>
  <conditionalFormatting sqref="E120">
    <cfRule type="cellIs" dxfId="4823" priority="145" operator="equal">
      <formula>0</formula>
    </cfRule>
  </conditionalFormatting>
  <conditionalFormatting sqref="E118:E119">
    <cfRule type="cellIs" dxfId="4822" priority="146" operator="equal">
      <formula>0</formula>
    </cfRule>
    <cfRule type="cellIs" dxfId="4821" priority="147" operator="notEqual">
      <formula>0</formula>
    </cfRule>
  </conditionalFormatting>
  <conditionalFormatting sqref="F120">
    <cfRule type="cellIs" dxfId="4820" priority="142" operator="equal">
      <formula>0</formula>
    </cfRule>
  </conditionalFormatting>
  <conditionalFormatting sqref="F118:F119">
    <cfRule type="cellIs" dxfId="4819" priority="143" operator="equal">
      <formula>0</formula>
    </cfRule>
    <cfRule type="cellIs" dxfId="4818" priority="144" operator="notEqual">
      <formula>0</formula>
    </cfRule>
  </conditionalFormatting>
  <conditionalFormatting sqref="G120">
    <cfRule type="cellIs" dxfId="4817" priority="139" operator="equal">
      <formula>0</formula>
    </cfRule>
  </conditionalFormatting>
  <conditionalFormatting sqref="G118:G119">
    <cfRule type="cellIs" dxfId="4816" priority="140" operator="equal">
      <formula>0</formula>
    </cfRule>
    <cfRule type="cellIs" dxfId="4815" priority="141" operator="notEqual">
      <formula>0</formula>
    </cfRule>
  </conditionalFormatting>
  <conditionalFormatting sqref="H117:H121 D121:G121 I121:S121 I117:S117 D117:G117">
    <cfRule type="cellIs" dxfId="4814" priority="137" operator="equal">
      <formula>0</formula>
    </cfRule>
    <cfRule type="cellIs" dxfId="4813" priority="138" operator="notEqual">
      <formula>0</formula>
    </cfRule>
  </conditionalFormatting>
  <conditionalFormatting sqref="I120">
    <cfRule type="cellIs" dxfId="4812" priority="134" operator="equal">
      <formula>0</formula>
    </cfRule>
  </conditionalFormatting>
  <conditionalFormatting sqref="I118:I119">
    <cfRule type="cellIs" dxfId="4811" priority="135" operator="equal">
      <formula>0</formula>
    </cfRule>
    <cfRule type="cellIs" dxfId="4810" priority="136" operator="notEqual">
      <formula>0</formula>
    </cfRule>
  </conditionalFormatting>
  <conditionalFormatting sqref="J120">
    <cfRule type="cellIs" dxfId="4809" priority="131" operator="equal">
      <formula>0</formula>
    </cfRule>
  </conditionalFormatting>
  <conditionalFormatting sqref="J118:J119">
    <cfRule type="cellIs" dxfId="4808" priority="132" operator="equal">
      <formula>0</formula>
    </cfRule>
    <cfRule type="cellIs" dxfId="4807" priority="133" operator="notEqual">
      <formula>0</formula>
    </cfRule>
  </conditionalFormatting>
  <conditionalFormatting sqref="K120">
    <cfRule type="cellIs" dxfId="4806" priority="128" operator="equal">
      <formula>0</formula>
    </cfRule>
  </conditionalFormatting>
  <conditionalFormatting sqref="K118:K119">
    <cfRule type="cellIs" dxfId="4805" priority="129" operator="equal">
      <formula>0</formula>
    </cfRule>
    <cfRule type="cellIs" dxfId="4804" priority="130" operator="notEqual">
      <formula>0</formula>
    </cfRule>
  </conditionalFormatting>
  <conditionalFormatting sqref="L120">
    <cfRule type="cellIs" dxfId="4803" priority="127" operator="equal">
      <formula>0</formula>
    </cfRule>
  </conditionalFormatting>
  <conditionalFormatting sqref="M120">
    <cfRule type="cellIs" dxfId="4802" priority="126" operator="equal">
      <formula>0</formula>
    </cfRule>
  </conditionalFormatting>
  <conditionalFormatting sqref="N120">
    <cfRule type="cellIs" dxfId="4801" priority="125" operator="equal">
      <formula>0</formula>
    </cfRule>
  </conditionalFormatting>
  <conditionalFormatting sqref="O120">
    <cfRule type="cellIs" dxfId="4800" priority="124" operator="equal">
      <formula>0</formula>
    </cfRule>
  </conditionalFormatting>
  <conditionalFormatting sqref="T125:T126">
    <cfRule type="cellIs" dxfId="4799" priority="123" operator="equal">
      <formula>0</formula>
    </cfRule>
  </conditionalFormatting>
  <conditionalFormatting sqref="P125">
    <cfRule type="cellIs" dxfId="4798" priority="122" operator="equal">
      <formula>0</formula>
    </cfRule>
  </conditionalFormatting>
  <conditionalFormatting sqref="Q125">
    <cfRule type="cellIs" dxfId="4797" priority="121" operator="equal">
      <formula>0</formula>
    </cfRule>
  </conditionalFormatting>
  <conditionalFormatting sqref="R125">
    <cfRule type="cellIs" dxfId="4796" priority="120" operator="equal">
      <formula>0</formula>
    </cfRule>
  </conditionalFormatting>
  <conditionalFormatting sqref="S125">
    <cfRule type="cellIs" dxfId="4795" priority="119" operator="equal">
      <formula>0</formula>
    </cfRule>
  </conditionalFormatting>
  <conditionalFormatting sqref="D125">
    <cfRule type="cellIs" dxfId="4794" priority="116" operator="equal">
      <formula>0</formula>
    </cfRule>
  </conditionalFormatting>
  <conditionalFormatting sqref="D123:D124">
    <cfRule type="cellIs" dxfId="4793" priority="117" operator="equal">
      <formula>0</formula>
    </cfRule>
    <cfRule type="cellIs" dxfId="4792" priority="118" operator="notEqual">
      <formula>0</formula>
    </cfRule>
  </conditionalFormatting>
  <conditionalFormatting sqref="E125">
    <cfRule type="cellIs" dxfId="4791" priority="113" operator="equal">
      <formula>0</formula>
    </cfRule>
  </conditionalFormatting>
  <conditionalFormatting sqref="E123:E124">
    <cfRule type="cellIs" dxfId="4790" priority="114" operator="equal">
      <formula>0</formula>
    </cfRule>
    <cfRule type="cellIs" dxfId="4789" priority="115" operator="notEqual">
      <formula>0</formula>
    </cfRule>
  </conditionalFormatting>
  <conditionalFormatting sqref="F125">
    <cfRule type="cellIs" dxfId="4788" priority="110" operator="equal">
      <formula>0</formula>
    </cfRule>
  </conditionalFormatting>
  <conditionalFormatting sqref="F123:F124">
    <cfRule type="cellIs" dxfId="4787" priority="111" operator="equal">
      <formula>0</formula>
    </cfRule>
    <cfRule type="cellIs" dxfId="4786" priority="112" operator="notEqual">
      <formula>0</formula>
    </cfRule>
  </conditionalFormatting>
  <conditionalFormatting sqref="G125">
    <cfRule type="cellIs" dxfId="4785" priority="107" operator="equal">
      <formula>0</formula>
    </cfRule>
  </conditionalFormatting>
  <conditionalFormatting sqref="G123:G124">
    <cfRule type="cellIs" dxfId="4784" priority="108" operator="equal">
      <formula>0</formula>
    </cfRule>
    <cfRule type="cellIs" dxfId="4783" priority="109" operator="notEqual">
      <formula>0</formula>
    </cfRule>
  </conditionalFormatting>
  <conditionalFormatting sqref="H122:H126 D126:G126 I126:S126 I122:S122 D122:G122">
    <cfRule type="cellIs" dxfId="4782" priority="105" operator="equal">
      <formula>0</formula>
    </cfRule>
    <cfRule type="cellIs" dxfId="4781" priority="106" operator="notEqual">
      <formula>0</formula>
    </cfRule>
  </conditionalFormatting>
  <conditionalFormatting sqref="I125">
    <cfRule type="cellIs" dxfId="4780" priority="102" operator="equal">
      <formula>0</formula>
    </cfRule>
  </conditionalFormatting>
  <conditionalFormatting sqref="I123:I124">
    <cfRule type="cellIs" dxfId="4779" priority="103" operator="equal">
      <formula>0</formula>
    </cfRule>
    <cfRule type="cellIs" dxfId="4778" priority="104" operator="notEqual">
      <formula>0</formula>
    </cfRule>
  </conditionalFormatting>
  <conditionalFormatting sqref="J125">
    <cfRule type="cellIs" dxfId="4777" priority="99" operator="equal">
      <formula>0</formula>
    </cfRule>
  </conditionalFormatting>
  <conditionalFormatting sqref="J123:J124">
    <cfRule type="cellIs" dxfId="4776" priority="100" operator="equal">
      <formula>0</formula>
    </cfRule>
    <cfRule type="cellIs" dxfId="4775" priority="101" operator="notEqual">
      <formula>0</formula>
    </cfRule>
  </conditionalFormatting>
  <conditionalFormatting sqref="K125">
    <cfRule type="cellIs" dxfId="4774" priority="96" operator="equal">
      <formula>0</formula>
    </cfRule>
  </conditionalFormatting>
  <conditionalFormatting sqref="K123:K124">
    <cfRule type="cellIs" dxfId="4773" priority="97" operator="equal">
      <formula>0</formula>
    </cfRule>
    <cfRule type="cellIs" dxfId="4772" priority="98" operator="notEqual">
      <formula>0</formula>
    </cfRule>
  </conditionalFormatting>
  <conditionalFormatting sqref="L125">
    <cfRule type="cellIs" dxfId="4771" priority="95" operator="equal">
      <formula>0</formula>
    </cfRule>
  </conditionalFormatting>
  <conditionalFormatting sqref="M125">
    <cfRule type="cellIs" dxfId="4770" priority="94" operator="equal">
      <formula>0</formula>
    </cfRule>
  </conditionalFormatting>
  <conditionalFormatting sqref="N125">
    <cfRule type="cellIs" dxfId="4769" priority="93" operator="equal">
      <formula>0</formula>
    </cfRule>
  </conditionalFormatting>
  <conditionalFormatting sqref="O125">
    <cfRule type="cellIs" dxfId="4768" priority="92" operator="equal">
      <formula>0</formula>
    </cfRule>
  </conditionalFormatting>
  <conditionalFormatting sqref="T130:T131">
    <cfRule type="cellIs" dxfId="4767" priority="91" operator="equal">
      <formula>0</formula>
    </cfRule>
  </conditionalFormatting>
  <conditionalFormatting sqref="P130">
    <cfRule type="cellIs" dxfId="4766" priority="90" operator="equal">
      <formula>0</formula>
    </cfRule>
  </conditionalFormatting>
  <conditionalFormatting sqref="Q130">
    <cfRule type="cellIs" dxfId="4765" priority="89" operator="equal">
      <formula>0</formula>
    </cfRule>
  </conditionalFormatting>
  <conditionalFormatting sqref="R130">
    <cfRule type="cellIs" dxfId="4764" priority="88" operator="equal">
      <formula>0</formula>
    </cfRule>
  </conditionalFormatting>
  <conditionalFormatting sqref="S130">
    <cfRule type="cellIs" dxfId="4763" priority="87" operator="equal">
      <formula>0</formula>
    </cfRule>
  </conditionalFormatting>
  <conditionalFormatting sqref="D130">
    <cfRule type="cellIs" dxfId="4762" priority="84" operator="equal">
      <formula>0</formula>
    </cfRule>
  </conditionalFormatting>
  <conditionalFormatting sqref="D128:D129">
    <cfRule type="cellIs" dxfId="4761" priority="85" operator="equal">
      <formula>0</formula>
    </cfRule>
    <cfRule type="cellIs" dxfId="4760" priority="86" operator="notEqual">
      <formula>0</formula>
    </cfRule>
  </conditionalFormatting>
  <conditionalFormatting sqref="E130">
    <cfRule type="cellIs" dxfId="4759" priority="81" operator="equal">
      <formula>0</formula>
    </cfRule>
  </conditionalFormatting>
  <conditionalFormatting sqref="E128:E129">
    <cfRule type="cellIs" dxfId="4758" priority="82" operator="equal">
      <formula>0</formula>
    </cfRule>
    <cfRule type="cellIs" dxfId="4757" priority="83" operator="notEqual">
      <formula>0</formula>
    </cfRule>
  </conditionalFormatting>
  <conditionalFormatting sqref="F130">
    <cfRule type="cellIs" dxfId="4756" priority="78" operator="equal">
      <formula>0</formula>
    </cfRule>
  </conditionalFormatting>
  <conditionalFormatting sqref="F128:F129">
    <cfRule type="cellIs" dxfId="4755" priority="79" operator="equal">
      <formula>0</formula>
    </cfRule>
    <cfRule type="cellIs" dxfId="4754" priority="80" operator="notEqual">
      <formula>0</formula>
    </cfRule>
  </conditionalFormatting>
  <conditionalFormatting sqref="G128:G129">
    <cfRule type="cellIs" dxfId="4753" priority="76" operator="equal">
      <formula>0</formula>
    </cfRule>
    <cfRule type="cellIs" dxfId="4752" priority="77" operator="notEqual">
      <formula>0</formula>
    </cfRule>
  </conditionalFormatting>
  <conditionalFormatting sqref="H127:H131 D131:G131 I131:S131 I127:S127 D127:G127">
    <cfRule type="cellIs" dxfId="4751" priority="73" operator="equal">
      <formula>0</formula>
    </cfRule>
    <cfRule type="cellIs" dxfId="4750" priority="74" operator="notEqual">
      <formula>0</formula>
    </cfRule>
  </conditionalFormatting>
  <conditionalFormatting sqref="I128:I129">
    <cfRule type="cellIs" dxfId="4749" priority="71" operator="equal">
      <formula>0</formula>
    </cfRule>
    <cfRule type="cellIs" dxfId="4748" priority="72" operator="notEqual">
      <formula>0</formula>
    </cfRule>
  </conditionalFormatting>
  <conditionalFormatting sqref="J128:J129">
    <cfRule type="cellIs" dxfId="4747" priority="68" operator="equal">
      <formula>0</formula>
    </cfRule>
    <cfRule type="cellIs" dxfId="4746" priority="69" operator="notEqual">
      <formula>0</formula>
    </cfRule>
  </conditionalFormatting>
  <conditionalFormatting sqref="K130">
    <cfRule type="cellIs" dxfId="4745" priority="64" operator="equal">
      <formula>0</formula>
    </cfRule>
  </conditionalFormatting>
  <conditionalFormatting sqref="K128:K129">
    <cfRule type="cellIs" dxfId="4744" priority="65" operator="equal">
      <formula>0</formula>
    </cfRule>
    <cfRule type="cellIs" dxfId="4743" priority="66" operator="notEqual">
      <formula>0</formula>
    </cfRule>
  </conditionalFormatting>
  <conditionalFormatting sqref="L130">
    <cfRule type="cellIs" dxfId="4742" priority="63" operator="equal">
      <formula>0</formula>
    </cfRule>
  </conditionalFormatting>
  <conditionalFormatting sqref="M130">
    <cfRule type="cellIs" dxfId="4741" priority="62" operator="equal">
      <formula>0</formula>
    </cfRule>
  </conditionalFormatting>
  <conditionalFormatting sqref="N130">
    <cfRule type="cellIs" dxfId="4740" priority="61" operator="equal">
      <formula>0</formula>
    </cfRule>
  </conditionalFormatting>
  <conditionalFormatting sqref="Y177:AO181">
    <cfRule type="cellIs" dxfId="4739" priority="38" operator="equal">
      <formula>0</formula>
    </cfRule>
  </conditionalFormatting>
  <conditionalFormatting sqref="Y172:AO176">
    <cfRule type="cellIs" dxfId="4738" priority="37" operator="equal">
      <formula>0</formula>
    </cfRule>
  </conditionalFormatting>
  <conditionalFormatting sqref="Y167:AO171">
    <cfRule type="cellIs" dxfId="4737" priority="36" operator="equal">
      <formula>0</formula>
    </cfRule>
  </conditionalFormatting>
  <conditionalFormatting sqref="Y162:AO166">
    <cfRule type="cellIs" dxfId="4736" priority="35" operator="equal">
      <formula>0</formula>
    </cfRule>
  </conditionalFormatting>
  <conditionalFormatting sqref="Y157:AO161">
    <cfRule type="cellIs" dxfId="4735" priority="34" operator="equal">
      <formula>0</formula>
    </cfRule>
  </conditionalFormatting>
  <conditionalFormatting sqref="Y152:AO156">
    <cfRule type="cellIs" dxfId="4734" priority="33" operator="equal">
      <formula>0</formula>
    </cfRule>
  </conditionalFormatting>
  <conditionalFormatting sqref="Y147:AO151">
    <cfRule type="cellIs" dxfId="4733" priority="32" operator="equal">
      <formula>0</formula>
    </cfRule>
  </conditionalFormatting>
  <conditionalFormatting sqref="Y187:AO191">
    <cfRule type="cellIs" dxfId="4732" priority="31" operator="equal">
      <formula>0</formula>
    </cfRule>
  </conditionalFormatting>
  <conditionalFormatting sqref="Y192:AO196">
    <cfRule type="cellIs" dxfId="4731" priority="30" operator="equal">
      <formula>0</formula>
    </cfRule>
  </conditionalFormatting>
  <conditionalFormatting sqref="Y197:AO201">
    <cfRule type="cellIs" dxfId="4730" priority="29" operator="equal">
      <formula>0</formula>
    </cfRule>
  </conditionalFormatting>
  <conditionalFormatting sqref="Y202:AO206">
    <cfRule type="cellIs" dxfId="4729" priority="28" operator="equal">
      <formula>0</formula>
    </cfRule>
  </conditionalFormatting>
  <conditionalFormatting sqref="Y207:AO211">
    <cfRule type="cellIs" dxfId="4728" priority="27" operator="equal">
      <formula>0</formula>
    </cfRule>
  </conditionalFormatting>
  <conditionalFormatting sqref="Y112:AO116">
    <cfRule type="cellIs" dxfId="4727" priority="26" operator="equal">
      <formula>0</formula>
    </cfRule>
  </conditionalFormatting>
  <conditionalFormatting sqref="Y107:AO111">
    <cfRule type="cellIs" dxfId="4726" priority="25" operator="equal">
      <formula>0</formula>
    </cfRule>
  </conditionalFormatting>
  <conditionalFormatting sqref="Y102:AO106">
    <cfRule type="cellIs" dxfId="4725" priority="24" operator="equal">
      <formula>0</formula>
    </cfRule>
  </conditionalFormatting>
  <conditionalFormatting sqref="Y97:AO101">
    <cfRule type="cellIs" dxfId="4724" priority="23" operator="equal">
      <formula>0</formula>
    </cfRule>
  </conditionalFormatting>
  <conditionalFormatting sqref="Y92:AO96">
    <cfRule type="cellIs" dxfId="4723" priority="22" operator="equal">
      <formula>0</formula>
    </cfRule>
  </conditionalFormatting>
  <conditionalFormatting sqref="Y87:AO91">
    <cfRule type="cellIs" dxfId="4722" priority="21" operator="equal">
      <formula>0</formula>
    </cfRule>
  </conditionalFormatting>
  <conditionalFormatting sqref="Y82:AO86">
    <cfRule type="cellIs" dxfId="4721" priority="20" operator="equal">
      <formula>0</formula>
    </cfRule>
  </conditionalFormatting>
  <conditionalFormatting sqref="Y77:AO81">
    <cfRule type="cellIs" dxfId="4720" priority="19" operator="equal">
      <formula>0</formula>
    </cfRule>
  </conditionalFormatting>
  <conditionalFormatting sqref="Y117:AO121">
    <cfRule type="cellIs" dxfId="4719" priority="18" operator="equal">
      <formula>0</formula>
    </cfRule>
  </conditionalFormatting>
  <conditionalFormatting sqref="Y122:AO126">
    <cfRule type="cellIs" dxfId="4718" priority="17" operator="equal">
      <formula>0</formula>
    </cfRule>
  </conditionalFormatting>
  <conditionalFormatting sqref="Y127:AO131">
    <cfRule type="cellIs" dxfId="4717" priority="16" operator="equal">
      <formula>0</formula>
    </cfRule>
  </conditionalFormatting>
  <conditionalFormatting sqref="Y132:AO136">
    <cfRule type="cellIs" dxfId="4716" priority="15" operator="equal">
      <formula>0</formula>
    </cfRule>
  </conditionalFormatting>
  <conditionalFormatting sqref="Y137:AO141">
    <cfRule type="cellIs" dxfId="4715" priority="14" operator="equal">
      <formula>0</formula>
    </cfRule>
  </conditionalFormatting>
  <conditionalFormatting sqref="Y42:AO46">
    <cfRule type="cellIs" dxfId="4714" priority="13" operator="equal">
      <formula>0</formula>
    </cfRule>
  </conditionalFormatting>
  <conditionalFormatting sqref="Y37:AO41">
    <cfRule type="cellIs" dxfId="4713" priority="12" operator="equal">
      <formula>0</formula>
    </cfRule>
  </conditionalFormatting>
  <conditionalFormatting sqref="Y32:AO36">
    <cfRule type="cellIs" dxfId="4712" priority="11" operator="equal">
      <formula>0</formula>
    </cfRule>
  </conditionalFormatting>
  <conditionalFormatting sqref="Y27:AO31">
    <cfRule type="cellIs" dxfId="4711" priority="10" operator="equal">
      <formula>0</formula>
    </cfRule>
  </conditionalFormatting>
  <conditionalFormatting sqref="Y22:AO26">
    <cfRule type="cellIs" dxfId="4710" priority="9" operator="equal">
      <formula>0</formula>
    </cfRule>
  </conditionalFormatting>
  <conditionalFormatting sqref="Y17:AO21">
    <cfRule type="cellIs" dxfId="4709" priority="8" operator="equal">
      <formula>0</formula>
    </cfRule>
  </conditionalFormatting>
  <conditionalFormatting sqref="Y12:AO16">
    <cfRule type="cellIs" dxfId="4708" priority="7" operator="equal">
      <formula>0</formula>
    </cfRule>
  </conditionalFormatting>
  <conditionalFormatting sqref="Y7:AO11">
    <cfRule type="cellIs" dxfId="4707" priority="6" operator="equal">
      <formula>0</formula>
    </cfRule>
  </conditionalFormatting>
  <conditionalFormatting sqref="Y47:AO51">
    <cfRule type="cellIs" dxfId="4706" priority="5" operator="equal">
      <formula>0</formula>
    </cfRule>
  </conditionalFormatting>
  <conditionalFormatting sqref="Y52:AO56">
    <cfRule type="cellIs" dxfId="4705" priority="4" operator="equal">
      <formula>0</formula>
    </cfRule>
  </conditionalFormatting>
  <conditionalFormatting sqref="Y57:AO61">
    <cfRule type="cellIs" dxfId="4704" priority="3" operator="equal">
      <formula>0</formula>
    </cfRule>
  </conditionalFormatting>
  <conditionalFormatting sqref="Y62:AO66">
    <cfRule type="cellIs" dxfId="4703" priority="2" operator="equal">
      <formula>0</formula>
    </cfRule>
  </conditionalFormatting>
  <conditionalFormatting sqref="Y67:AO71">
    <cfRule type="cellIs" dxfId="4702" priority="1" operator="equal">
      <formula>0</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Q62" sqref="Q62"/>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480" t="s">
        <v>1086</v>
      </c>
      <c r="B1" s="480"/>
      <c r="C1" s="480"/>
      <c r="D1" s="480"/>
      <c r="E1" s="480"/>
      <c r="F1" s="480"/>
      <c r="G1" s="480"/>
      <c r="H1" s="480"/>
      <c r="I1" s="480"/>
      <c r="J1" s="480"/>
      <c r="K1" s="480"/>
      <c r="L1" s="480"/>
      <c r="M1" s="480"/>
      <c r="N1" s="480"/>
      <c r="O1" s="480"/>
      <c r="P1" s="480"/>
      <c r="Q1" s="480"/>
      <c r="R1" s="480"/>
      <c r="S1" s="480"/>
      <c r="T1" s="480"/>
      <c r="U1" s="480"/>
      <c r="V1" s="480"/>
      <c r="W1" s="480"/>
      <c r="X1" s="480"/>
      <c r="Y1" s="480"/>
      <c r="Z1" s="480"/>
      <c r="AA1" s="480"/>
      <c r="AB1" s="481"/>
      <c r="AC1" s="481"/>
      <c r="AD1" s="481"/>
      <c r="AE1" s="481"/>
      <c r="AF1" s="481"/>
      <c r="AG1" s="481"/>
      <c r="AH1" s="481"/>
      <c r="AI1" s="481"/>
      <c r="AJ1" s="481"/>
      <c r="AK1" s="481"/>
      <c r="AL1" s="481"/>
      <c r="AM1" s="481"/>
      <c r="AN1" s="256"/>
    </row>
    <row r="2" spans="1:40" ht="42.75" customHeight="1" x14ac:dyDescent="0.15">
      <c r="A2" s="485"/>
      <c r="B2" s="485"/>
      <c r="C2" s="485"/>
      <c r="D2" s="485"/>
      <c r="E2" s="485"/>
      <c r="F2" s="485"/>
      <c r="G2" s="485"/>
      <c r="H2" s="485"/>
      <c r="I2" s="485"/>
      <c r="J2" s="485"/>
      <c r="K2" s="485"/>
      <c r="L2" s="485"/>
      <c r="M2" s="485"/>
      <c r="N2" s="485"/>
      <c r="O2" s="485"/>
      <c r="P2" s="485"/>
      <c r="Q2" s="485"/>
      <c r="R2" s="485"/>
      <c r="S2" s="485"/>
      <c r="T2" s="485"/>
      <c r="U2" s="485"/>
      <c r="V2" s="485"/>
      <c r="W2" s="485"/>
      <c r="X2" s="485"/>
      <c r="Y2" s="485"/>
      <c r="Z2" s="485"/>
      <c r="AA2" s="485"/>
      <c r="AB2" s="485"/>
      <c r="AC2" s="485"/>
      <c r="AD2" s="485"/>
      <c r="AE2" s="485"/>
      <c r="AF2" s="485"/>
      <c r="AG2" s="485"/>
      <c r="AH2" s="485"/>
      <c r="AI2" s="485"/>
      <c r="AJ2" s="485"/>
      <c r="AK2" s="485"/>
      <c r="AL2" s="485"/>
      <c r="AM2" s="485"/>
      <c r="AN2" s="485"/>
    </row>
    <row r="3" spans="1:40" s="48" customFormat="1" ht="39.75" customHeight="1" x14ac:dyDescent="0.15">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row>
    <row r="4" spans="1:40" ht="24.75" customHeight="1" x14ac:dyDescent="0.2">
      <c r="C4" s="501" t="s">
        <v>1315</v>
      </c>
      <c r="D4" s="502"/>
      <c r="E4" s="502"/>
      <c r="F4" s="502"/>
      <c r="G4" s="502"/>
      <c r="H4" s="502"/>
      <c r="I4" s="502"/>
      <c r="J4" s="502"/>
      <c r="K4" s="502"/>
      <c r="L4" s="502"/>
      <c r="M4" s="502"/>
      <c r="N4" s="502"/>
      <c r="O4" s="502"/>
      <c r="P4" s="502"/>
      <c r="Q4" s="502"/>
      <c r="R4" s="502"/>
      <c r="S4" s="506"/>
      <c r="T4" s="1"/>
      <c r="U4" s="1"/>
      <c r="V4" s="501" t="s">
        <v>1087</v>
      </c>
      <c r="W4" s="502"/>
      <c r="X4" s="502"/>
      <c r="Y4" s="502"/>
      <c r="Z4" s="502"/>
      <c r="AA4" s="502"/>
      <c r="AB4" s="502"/>
      <c r="AC4" s="502"/>
      <c r="AD4" s="502"/>
      <c r="AE4" s="502"/>
      <c r="AF4" s="502"/>
      <c r="AG4" s="502"/>
      <c r="AH4" s="502"/>
      <c r="AI4" s="502"/>
      <c r="AJ4" s="502"/>
      <c r="AK4" s="502"/>
    </row>
    <row r="5" spans="1:40" x14ac:dyDescent="0.15">
      <c r="B5" s="139"/>
      <c r="C5" s="38" t="s">
        <v>869</v>
      </c>
      <c r="D5" s="38" t="s">
        <v>870</v>
      </c>
      <c r="E5" s="38" t="s">
        <v>871</v>
      </c>
      <c r="F5" s="38" t="s">
        <v>872</v>
      </c>
      <c r="G5" s="38" t="s">
        <v>873</v>
      </c>
      <c r="H5" s="38" t="s">
        <v>874</v>
      </c>
      <c r="I5" s="38" t="s">
        <v>875</v>
      </c>
      <c r="J5" s="38" t="s">
        <v>876</v>
      </c>
      <c r="K5" s="38" t="s">
        <v>877</v>
      </c>
      <c r="L5" s="38" t="s">
        <v>878</v>
      </c>
      <c r="M5" s="38" t="s">
        <v>879</v>
      </c>
      <c r="N5" s="38" t="s">
        <v>880</v>
      </c>
      <c r="O5" s="38" t="s">
        <v>881</v>
      </c>
      <c r="P5" s="38" t="s">
        <v>882</v>
      </c>
      <c r="Q5" s="38" t="s">
        <v>883</v>
      </c>
      <c r="R5" s="38" t="s">
        <v>884</v>
      </c>
      <c r="S5" s="39" t="s">
        <v>886</v>
      </c>
      <c r="T5" s="91"/>
      <c r="U5" s="231"/>
      <c r="V5" s="38" t="s">
        <v>869</v>
      </c>
      <c r="W5" s="38" t="s">
        <v>870</v>
      </c>
      <c r="X5" s="38" t="s">
        <v>871</v>
      </c>
      <c r="Y5" s="38" t="s">
        <v>872</v>
      </c>
      <c r="Z5" s="38" t="s">
        <v>873</v>
      </c>
      <c r="AA5" s="38" t="s">
        <v>874</v>
      </c>
      <c r="AB5" s="38" t="s">
        <v>875</v>
      </c>
      <c r="AC5" s="38" t="s">
        <v>876</v>
      </c>
      <c r="AD5" s="38" t="s">
        <v>877</v>
      </c>
      <c r="AE5" s="38" t="s">
        <v>878</v>
      </c>
      <c r="AF5" s="38" t="s">
        <v>879</v>
      </c>
      <c r="AG5" s="38" t="s">
        <v>880</v>
      </c>
      <c r="AH5" s="38" t="s">
        <v>881</v>
      </c>
      <c r="AI5" s="38" t="s">
        <v>882</v>
      </c>
      <c r="AJ5" s="38" t="s">
        <v>883</v>
      </c>
      <c r="AK5" s="38" t="s">
        <v>884</v>
      </c>
    </row>
    <row r="6" spans="1:40" x14ac:dyDescent="0.15">
      <c r="B6" s="141" t="s">
        <v>17</v>
      </c>
      <c r="C6" s="75">
        <f>SUMIF('caseload data'!$A:$A,"East Midlands Region",'caseload data'!E:E)</f>
        <v>0</v>
      </c>
      <c r="D6" s="75">
        <f>SUMIF('caseload data'!$A:$A,"East Midlands Region",'caseload data'!F:F)</f>
        <v>0</v>
      </c>
      <c r="E6" s="75">
        <f>SUMIF('caseload data'!$A:$A,"East Midlands Region",'caseload data'!G:G)</f>
        <v>0</v>
      </c>
      <c r="F6" s="75">
        <f>SUMIF('caseload data'!$A:$A,"East Midlands Region",'caseload data'!H:H)</f>
        <v>0</v>
      </c>
      <c r="G6" s="75">
        <f>SUMIF('caseload data'!$A:$A,"East Midlands Region",'caseload data'!I:I)</f>
        <v>0</v>
      </c>
      <c r="H6" s="75">
        <f>SUMIF('caseload data'!$A:$A,"East Midlands Region",'caseload data'!J:J)</f>
        <v>0</v>
      </c>
      <c r="I6" s="75">
        <f>SUMIF('caseload data'!$A:$A,"East Midlands Region",'caseload data'!K:K)</f>
        <v>0</v>
      </c>
      <c r="J6" s="75">
        <f>SUMIF('caseload data'!$A:$A,"East Midlands Region",'caseload data'!L:L)</f>
        <v>0</v>
      </c>
      <c r="K6" s="75">
        <f>SUMIF('caseload data'!$A:$A,"East Midlands Region",'caseload data'!M:M)</f>
        <v>0</v>
      </c>
      <c r="L6" s="75">
        <f>SUMIF('caseload data'!$A:$A,"East Midlands Region",'caseload data'!N:N)</f>
        <v>0</v>
      </c>
      <c r="M6" s="75">
        <f>SUMIF('caseload data'!$A:$A,"East Midlands Region",'caseload data'!O:O)</f>
        <v>0</v>
      </c>
      <c r="N6" s="75">
        <f>SUMIF('caseload data'!$A:$A,"East Midlands Region",'caseload data'!P:P)</f>
        <v>0</v>
      </c>
      <c r="O6" s="75">
        <f>SUMIF('caseload data'!$A:$A,"East Midlands Region",'caseload data'!Q:Q)</f>
        <v>0</v>
      </c>
      <c r="P6" s="75">
        <f>SUMIF('caseload data'!$A:$A,"East Midlands Region",'caseload data'!R:R)</f>
        <v>0</v>
      </c>
      <c r="Q6" s="75">
        <f>SUMIF('caseload data'!$A:$A,"East Midlands Region",'caseload data'!S:S)</f>
        <v>0</v>
      </c>
      <c r="R6" s="75">
        <f>SUMIF('caseload data'!$A:$A,"East Midlands Region",'caseload data'!T:T)</f>
        <v>0</v>
      </c>
      <c r="S6" s="75">
        <f>SUMIF('caseload data'!A:A,"East Midlands Region",'caseload data'!V:V)</f>
        <v>0</v>
      </c>
      <c r="T6" s="91"/>
      <c r="U6" s="141" t="s">
        <v>17</v>
      </c>
      <c r="V6" s="66" t="e">
        <f>C6/$S$6</f>
        <v>#DIV/0!</v>
      </c>
      <c r="W6" s="66" t="e">
        <f t="shared" ref="W6:AK6" si="0">D6/$S$6</f>
        <v>#DIV/0!</v>
      </c>
      <c r="X6" s="66" t="e">
        <f t="shared" si="0"/>
        <v>#DIV/0!</v>
      </c>
      <c r="Y6" s="66" t="e">
        <f t="shared" si="0"/>
        <v>#DIV/0!</v>
      </c>
      <c r="Z6" s="66" t="e">
        <f t="shared" si="0"/>
        <v>#DIV/0!</v>
      </c>
      <c r="AA6" s="66" t="e">
        <f t="shared" si="0"/>
        <v>#DIV/0!</v>
      </c>
      <c r="AB6" s="66" t="e">
        <f t="shared" si="0"/>
        <v>#DIV/0!</v>
      </c>
      <c r="AC6" s="66" t="e">
        <f t="shared" si="0"/>
        <v>#DIV/0!</v>
      </c>
      <c r="AD6" s="66" t="e">
        <f t="shared" si="0"/>
        <v>#DIV/0!</v>
      </c>
      <c r="AE6" s="66" t="e">
        <f t="shared" si="0"/>
        <v>#DIV/0!</v>
      </c>
      <c r="AF6" s="66" t="e">
        <f t="shared" si="0"/>
        <v>#DIV/0!</v>
      </c>
      <c r="AG6" s="66" t="e">
        <f t="shared" si="0"/>
        <v>#DIV/0!</v>
      </c>
      <c r="AH6" s="66" t="e">
        <f t="shared" si="0"/>
        <v>#DIV/0!</v>
      </c>
      <c r="AI6" s="66" t="e">
        <f t="shared" si="0"/>
        <v>#DIV/0!</v>
      </c>
      <c r="AJ6" s="66" t="e">
        <f t="shared" si="0"/>
        <v>#DIV/0!</v>
      </c>
      <c r="AK6" s="66" t="e">
        <f t="shared" si="0"/>
        <v>#DIV/0!</v>
      </c>
    </row>
    <row r="7" spans="1:40" x14ac:dyDescent="0.15">
      <c r="B7" s="141" t="s">
        <v>18</v>
      </c>
      <c r="C7" s="75">
        <f>SUMIF('caseload data'!$A:$A,"East of England",'caseload data'!E:E)</f>
        <v>0</v>
      </c>
      <c r="D7" s="75">
        <f>SUMIF('caseload data'!$A:$A,"East of England",'caseload data'!F:F)</f>
        <v>0</v>
      </c>
      <c r="E7" s="75">
        <f>SUMIF('caseload data'!$A:$A,"East of England",'caseload data'!G:G)</f>
        <v>0</v>
      </c>
      <c r="F7" s="75">
        <f>SUMIF('caseload data'!$A:$A,"East of England",'caseload data'!H:H)</f>
        <v>0</v>
      </c>
      <c r="G7" s="75">
        <f>SUMIF('caseload data'!$A:$A,"East of England",'caseload data'!I:I)</f>
        <v>0</v>
      </c>
      <c r="H7" s="75">
        <f>SUMIF('caseload data'!$A:$A,"East of England",'caseload data'!J:J)</f>
        <v>0</v>
      </c>
      <c r="I7" s="75">
        <f>SUMIF('caseload data'!$A:$A,"East of England",'caseload data'!K:K)</f>
        <v>0</v>
      </c>
      <c r="J7" s="75">
        <f>SUMIF('caseload data'!$A:$A,"East of England",'caseload data'!L:L)</f>
        <v>0</v>
      </c>
      <c r="K7" s="75">
        <f>SUMIF('caseload data'!$A:$A,"East of England",'caseload data'!M:M)</f>
        <v>0</v>
      </c>
      <c r="L7" s="75">
        <f>SUMIF('caseload data'!$A:$A,"East of England",'caseload data'!N:N)</f>
        <v>0</v>
      </c>
      <c r="M7" s="75">
        <f>SUMIF('caseload data'!$A:$A,"East of England",'caseload data'!O:O)</f>
        <v>0</v>
      </c>
      <c r="N7" s="75">
        <f>SUMIF('caseload data'!$A:$A,"East of England",'caseload data'!P:P)</f>
        <v>0</v>
      </c>
      <c r="O7" s="75">
        <f>SUMIF('caseload data'!$A:$A,"East of England",'caseload data'!Q:Q)</f>
        <v>0</v>
      </c>
      <c r="P7" s="75">
        <f>SUMIF('caseload data'!$A:$A,"East of England",'caseload data'!R:R)</f>
        <v>0</v>
      </c>
      <c r="Q7" s="75">
        <f>SUMIF('caseload data'!$A:$A,"East of England",'caseload data'!S:S)</f>
        <v>0</v>
      </c>
      <c r="R7" s="75">
        <f>SUMIF('caseload data'!$A:$A,"East of England",'caseload data'!T:T)</f>
        <v>0</v>
      </c>
      <c r="S7" s="75">
        <f>SUMIF('caseload data'!A:A,"East of England",'caseload data'!V:V)</f>
        <v>0</v>
      </c>
      <c r="T7" s="91"/>
      <c r="U7" s="141" t="s">
        <v>18</v>
      </c>
      <c r="V7" s="66" t="e">
        <f>C7/$S$7</f>
        <v>#DIV/0!</v>
      </c>
      <c r="W7" s="66" t="e">
        <f>D7/$S$7</f>
        <v>#DIV/0!</v>
      </c>
      <c r="X7" s="66" t="e">
        <f t="shared" ref="X7:AA7" si="1">E7/$S$7</f>
        <v>#DIV/0!</v>
      </c>
      <c r="Y7" s="66" t="e">
        <f t="shared" si="1"/>
        <v>#DIV/0!</v>
      </c>
      <c r="Z7" s="66" t="e">
        <f t="shared" si="1"/>
        <v>#DIV/0!</v>
      </c>
      <c r="AA7" s="66" t="e">
        <f t="shared" si="1"/>
        <v>#DIV/0!</v>
      </c>
      <c r="AB7" s="66" t="e">
        <f>I7/$S$7</f>
        <v>#DIV/0!</v>
      </c>
      <c r="AC7" s="66" t="e">
        <f t="shared" ref="AC7:AD7" si="2">J7/$S$7</f>
        <v>#DIV/0!</v>
      </c>
      <c r="AD7" s="66" t="e">
        <f t="shared" si="2"/>
        <v>#DIV/0!</v>
      </c>
      <c r="AE7" s="66" t="e">
        <f t="shared" ref="AE7" si="3">L7/$S$7</f>
        <v>#DIV/0!</v>
      </c>
      <c r="AF7" s="66" t="e">
        <f t="shared" ref="AF7" si="4">M7/$S$7</f>
        <v>#DIV/0!</v>
      </c>
      <c r="AG7" s="66" t="e">
        <f t="shared" ref="AG7" si="5">N7/$S$7</f>
        <v>#DIV/0!</v>
      </c>
      <c r="AH7" s="66" t="e">
        <f t="shared" ref="AH7:AK7" si="6">O7/$S$7</f>
        <v>#DIV/0!</v>
      </c>
      <c r="AI7" s="66" t="e">
        <f t="shared" si="6"/>
        <v>#DIV/0!</v>
      </c>
      <c r="AJ7" s="66" t="e">
        <f t="shared" si="6"/>
        <v>#DIV/0!</v>
      </c>
      <c r="AK7" s="66" t="e">
        <f t="shared" si="6"/>
        <v>#DIV/0!</v>
      </c>
    </row>
    <row r="8" spans="1:40" x14ac:dyDescent="0.15">
      <c r="B8" s="141" t="s">
        <v>19</v>
      </c>
      <c r="C8" s="75">
        <f>SUMIF('caseload data'!$A:$A,"Greater Manchester",'caseload data'!E:E)</f>
        <v>0</v>
      </c>
      <c r="D8" s="75">
        <f>SUMIF('caseload data'!$A:$A,"Greater Manchester",'caseload data'!F:F)</f>
        <v>0</v>
      </c>
      <c r="E8" s="75">
        <f>SUMIF('caseload data'!$A:$A,"Greater Manchester",'caseload data'!G:G)</f>
        <v>0</v>
      </c>
      <c r="F8" s="75">
        <f>SUMIF('caseload data'!$A:$A,"Greater Manchester",'caseload data'!H:H)</f>
        <v>0</v>
      </c>
      <c r="G8" s="75">
        <f>SUMIF('caseload data'!$A:$A,"Greater Manchester",'caseload data'!I:I)</f>
        <v>0</v>
      </c>
      <c r="H8" s="75">
        <f>SUMIF('caseload data'!$A:$A,"Greater Manchester",'caseload data'!J:J)</f>
        <v>0</v>
      </c>
      <c r="I8" s="75">
        <f>SUMIF('caseload data'!$A:$A,"Greater Manchester",'caseload data'!K:K)</f>
        <v>0</v>
      </c>
      <c r="J8" s="75">
        <f>SUMIF('caseload data'!$A:$A,"Greater Manchester",'caseload data'!L:L)</f>
        <v>0</v>
      </c>
      <c r="K8" s="75">
        <f>SUMIF('caseload data'!$A:$A,"Greater Manchester",'caseload data'!M:M)</f>
        <v>0</v>
      </c>
      <c r="L8" s="75">
        <f>SUMIF('caseload data'!$A:$A,"Greater Manchester",'caseload data'!N:N)</f>
        <v>0</v>
      </c>
      <c r="M8" s="75">
        <f>SUMIF('caseload data'!$A:$A,"Greater Manchester",'caseload data'!O:O)</f>
        <v>0</v>
      </c>
      <c r="N8" s="75">
        <f>SUMIF('caseload data'!$A:$A,"Greater Manchester",'caseload data'!P:P)</f>
        <v>0</v>
      </c>
      <c r="O8" s="75">
        <f>SUMIF('caseload data'!$A:$A,"Greater Manchester",'caseload data'!Q:Q)</f>
        <v>0</v>
      </c>
      <c r="P8" s="75">
        <f>SUMIF('caseload data'!$A:$A,"Greater Manchester",'caseload data'!R:R)</f>
        <v>0</v>
      </c>
      <c r="Q8" s="75">
        <f>SUMIF('caseload data'!$A:$A,"Greater Manchester",'caseload data'!S:S)</f>
        <v>0</v>
      </c>
      <c r="R8" s="75">
        <f>SUMIF('caseload data'!$A:$A,"Greater Manchester",'caseload data'!T:T)</f>
        <v>0</v>
      </c>
      <c r="S8" s="75">
        <f>SUMIF('caseload data'!A:A,"Greater Manchester",'caseload data'!V:V)</f>
        <v>0</v>
      </c>
      <c r="T8" s="91"/>
      <c r="U8" s="141" t="s">
        <v>19</v>
      </c>
      <c r="V8" s="66" t="e">
        <f>C8/$S$8</f>
        <v>#DIV/0!</v>
      </c>
      <c r="W8" s="66" t="e">
        <f t="shared" ref="W8:AC8" si="7">D8/$S$8</f>
        <v>#DIV/0!</v>
      </c>
      <c r="X8" s="66" t="e">
        <f t="shared" si="7"/>
        <v>#DIV/0!</v>
      </c>
      <c r="Y8" s="66" t="e">
        <f t="shared" si="7"/>
        <v>#DIV/0!</v>
      </c>
      <c r="Z8" s="66" t="e">
        <f t="shared" si="7"/>
        <v>#DIV/0!</v>
      </c>
      <c r="AA8" s="66" t="e">
        <f t="shared" si="7"/>
        <v>#DIV/0!</v>
      </c>
      <c r="AB8" s="66" t="e">
        <f t="shared" si="7"/>
        <v>#DIV/0!</v>
      </c>
      <c r="AC8" s="66" t="e">
        <f t="shared" si="7"/>
        <v>#DIV/0!</v>
      </c>
      <c r="AD8" s="66" t="e">
        <f t="shared" ref="AD8" si="8">K8/$S$8</f>
        <v>#DIV/0!</v>
      </c>
      <c r="AE8" s="66" t="e">
        <f t="shared" ref="AE8" si="9">L8/$S$8</f>
        <v>#DIV/0!</v>
      </c>
      <c r="AF8" s="66" t="e">
        <f t="shared" ref="AF8" si="10">M8/$S$8</f>
        <v>#DIV/0!</v>
      </c>
      <c r="AG8" s="66" t="e">
        <f t="shared" ref="AG8" si="11">N8/$S$8</f>
        <v>#DIV/0!</v>
      </c>
      <c r="AH8" s="66" t="e">
        <f t="shared" ref="AH8" si="12">O8/$S$8</f>
        <v>#DIV/0!</v>
      </c>
      <c r="AI8" s="66" t="e">
        <f t="shared" ref="AI8:AJ8" si="13">P8/$S$8</f>
        <v>#DIV/0!</v>
      </c>
      <c r="AJ8" s="66" t="e">
        <f t="shared" si="13"/>
        <v>#DIV/0!</v>
      </c>
      <c r="AK8" s="66" t="e">
        <f t="shared" ref="AK8" si="14">R8/$S$8</f>
        <v>#DIV/0!</v>
      </c>
    </row>
    <row r="9" spans="1:40" x14ac:dyDescent="0.15">
      <c r="B9" s="141" t="s">
        <v>20</v>
      </c>
      <c r="C9" s="75">
        <f>SUMIF('caseload data'!$A:$A,"Kent Surrey Sussex Region",'caseload data'!E:E)</f>
        <v>0</v>
      </c>
      <c r="D9" s="75">
        <f>SUMIF('caseload data'!$A:$A,"Kent Surrey Sussex Region",'caseload data'!F:F)</f>
        <v>0</v>
      </c>
      <c r="E9" s="75">
        <f>SUMIF('caseload data'!$A:$A,"Kent Surrey Sussex Region",'caseload data'!G:G)</f>
        <v>0</v>
      </c>
      <c r="F9" s="75">
        <f>SUMIF('caseload data'!$A:$A,"Kent Surrey Sussex Region",'caseload data'!H:H)</f>
        <v>0</v>
      </c>
      <c r="G9" s="75">
        <f>SUMIF('caseload data'!$A:$A,"Kent Surrey Sussex Region",'caseload data'!I:I)</f>
        <v>0</v>
      </c>
      <c r="H9" s="75">
        <f>SUMIF('caseload data'!$A:$A,"Kent Surrey Sussex Region",'caseload data'!J:J)</f>
        <v>0</v>
      </c>
      <c r="I9" s="75">
        <f>SUMIF('caseload data'!$A:$A,"Kent Surrey Sussex Region",'caseload data'!K:K)</f>
        <v>0</v>
      </c>
      <c r="J9" s="75">
        <f>SUMIF('caseload data'!$A:$A,"Kent Surrey Sussex Region",'caseload data'!L:L)</f>
        <v>0</v>
      </c>
      <c r="K9" s="75">
        <f>SUMIF('caseload data'!$A:$A,"Kent Surrey Sussex Region",'caseload data'!M:M)</f>
        <v>0</v>
      </c>
      <c r="L9" s="75">
        <f>SUMIF('caseload data'!$A:$A,"Kent Surrey Sussex Region",'caseload data'!N:N)</f>
        <v>0</v>
      </c>
      <c r="M9" s="75">
        <f>SUMIF('caseload data'!$A:$A,"Kent Surrey Sussex Region",'caseload data'!O:O)</f>
        <v>0</v>
      </c>
      <c r="N9" s="75">
        <f>SUMIF('caseload data'!$A:$A,"Kent Surrey Sussex Region",'caseload data'!P:P)</f>
        <v>0</v>
      </c>
      <c r="O9" s="75">
        <f>SUMIF('caseload data'!$A:$A,"Kent Surrey Sussex Region",'caseload data'!Q:Q)</f>
        <v>0</v>
      </c>
      <c r="P9" s="75">
        <f>SUMIF('caseload data'!$A:$A,"Kent Surrey Sussex Region",'caseload data'!R:R)</f>
        <v>0</v>
      </c>
      <c r="Q9" s="75">
        <f>SUMIF('caseload data'!$A:$A,"Kent Surrey Sussex Region",'caseload data'!S:S)</f>
        <v>0</v>
      </c>
      <c r="R9" s="75">
        <f>SUMIF('caseload data'!$A:$A,"Kent Surrey Sussex Region",'caseload data'!T:T)</f>
        <v>0</v>
      </c>
      <c r="S9" s="75">
        <f>SUMIF('caseload data'!A:A,"Kent Surrey Sussex Region",'caseload data'!V:V)</f>
        <v>0</v>
      </c>
      <c r="T9" s="91"/>
      <c r="U9" s="141" t="s">
        <v>20</v>
      </c>
      <c r="V9" s="66" t="e">
        <f>C9/$S$9</f>
        <v>#DIV/0!</v>
      </c>
      <c r="W9" s="66" t="e">
        <f t="shared" ref="W9:AC9" si="15">D9/$S$9</f>
        <v>#DIV/0!</v>
      </c>
      <c r="X9" s="66" t="e">
        <f t="shared" si="15"/>
        <v>#DIV/0!</v>
      </c>
      <c r="Y9" s="66" t="e">
        <f t="shared" si="15"/>
        <v>#DIV/0!</v>
      </c>
      <c r="Z9" s="66" t="e">
        <f t="shared" si="15"/>
        <v>#DIV/0!</v>
      </c>
      <c r="AA9" s="66" t="e">
        <f t="shared" si="15"/>
        <v>#DIV/0!</v>
      </c>
      <c r="AB9" s="66" t="e">
        <f t="shared" si="15"/>
        <v>#DIV/0!</v>
      </c>
      <c r="AC9" s="66" t="e">
        <f t="shared" si="15"/>
        <v>#DIV/0!</v>
      </c>
      <c r="AD9" s="66" t="e">
        <f t="shared" ref="AD9" si="16">K9/$S$9</f>
        <v>#DIV/0!</v>
      </c>
      <c r="AE9" s="66" t="e">
        <f t="shared" ref="AE9" si="17">L9/$S$9</f>
        <v>#DIV/0!</v>
      </c>
      <c r="AF9" s="66" t="e">
        <f t="shared" ref="AF9" si="18">M9/$S$9</f>
        <v>#DIV/0!</v>
      </c>
      <c r="AG9" s="66" t="e">
        <f t="shared" ref="AG9" si="19">N9/$S$9</f>
        <v>#DIV/0!</v>
      </c>
      <c r="AH9" s="66" t="e">
        <f t="shared" ref="AH9" si="20">O9/$S$9</f>
        <v>#DIV/0!</v>
      </c>
      <c r="AI9" s="66" t="e">
        <f t="shared" ref="AI9:AJ9" si="21">P9/$S$9</f>
        <v>#DIV/0!</v>
      </c>
      <c r="AJ9" s="66" t="e">
        <f t="shared" si="21"/>
        <v>#DIV/0!</v>
      </c>
      <c r="AK9" s="66" t="e">
        <f t="shared" ref="AK9" si="22">R9/$S$9</f>
        <v>#DIV/0!</v>
      </c>
    </row>
    <row r="10" spans="1:40" x14ac:dyDescent="0.15">
      <c r="B10" s="141" t="s">
        <v>21</v>
      </c>
      <c r="C10" s="75">
        <f>SUMIF('caseload data'!$A:$A,"London",'caseload data'!E:E)</f>
        <v>0</v>
      </c>
      <c r="D10" s="75">
        <f>SUMIF('caseload data'!$A:$A,"London",'caseload data'!F:F)</f>
        <v>0</v>
      </c>
      <c r="E10" s="75">
        <f>SUMIF('caseload data'!$A:$A,"London",'caseload data'!G:G)</f>
        <v>0</v>
      </c>
      <c r="F10" s="75">
        <f>SUMIF('caseload data'!$A:$A,"London",'caseload data'!H:H)</f>
        <v>0</v>
      </c>
      <c r="G10" s="75">
        <f>SUMIF('caseload data'!$A:$A,"London",'caseload data'!I:I)</f>
        <v>0</v>
      </c>
      <c r="H10" s="75">
        <f>SUMIF('caseload data'!$A:$A,"London",'caseload data'!J:J)</f>
        <v>0</v>
      </c>
      <c r="I10" s="75">
        <f>SUMIF('caseload data'!$A:$A,"London",'caseload data'!K:K)</f>
        <v>0</v>
      </c>
      <c r="J10" s="75">
        <f>SUMIF('caseload data'!$A:$A,"London",'caseload data'!L:L)</f>
        <v>0</v>
      </c>
      <c r="K10" s="75">
        <f>SUMIF('caseload data'!$A:$A,"London",'caseload data'!M:M)</f>
        <v>0</v>
      </c>
      <c r="L10" s="75">
        <f>SUMIF('caseload data'!$A:$A,"London",'caseload data'!N:N)</f>
        <v>0</v>
      </c>
      <c r="M10" s="75">
        <f>SUMIF('caseload data'!$A:$A,"London",'caseload data'!O:O)</f>
        <v>0</v>
      </c>
      <c r="N10" s="75">
        <f>SUMIF('caseload data'!$A:$A,"London",'caseload data'!P:P)</f>
        <v>0</v>
      </c>
      <c r="O10" s="75">
        <f>SUMIF('caseload data'!$A:$A,"London",'caseload data'!Q:Q)</f>
        <v>0</v>
      </c>
      <c r="P10" s="75">
        <f>SUMIF('caseload data'!$A:$A,"London",'caseload data'!R:R)</f>
        <v>0</v>
      </c>
      <c r="Q10" s="75">
        <f>SUMIF('caseload data'!$A:$A,"London",'caseload data'!S:S)</f>
        <v>0</v>
      </c>
      <c r="R10" s="75">
        <f>SUMIF('caseload data'!$A:$A,"London",'caseload data'!T:T)</f>
        <v>0</v>
      </c>
      <c r="S10" s="75">
        <f>SUMIF('caseload data'!A:A,"London",'caseload data'!V:V)</f>
        <v>0</v>
      </c>
      <c r="T10" s="91"/>
      <c r="U10" s="141" t="s">
        <v>21</v>
      </c>
      <c r="V10" s="66" t="e">
        <f>C10/$S$10</f>
        <v>#DIV/0!</v>
      </c>
      <c r="W10" s="66" t="e">
        <f t="shared" ref="W10:AC10" si="23">D10/$S$10</f>
        <v>#DIV/0!</v>
      </c>
      <c r="X10" s="66" t="e">
        <f t="shared" si="23"/>
        <v>#DIV/0!</v>
      </c>
      <c r="Y10" s="66" t="e">
        <f t="shared" si="23"/>
        <v>#DIV/0!</v>
      </c>
      <c r="Z10" s="66" t="e">
        <f t="shared" si="23"/>
        <v>#DIV/0!</v>
      </c>
      <c r="AA10" s="66" t="e">
        <f t="shared" si="23"/>
        <v>#DIV/0!</v>
      </c>
      <c r="AB10" s="66" t="e">
        <f t="shared" si="23"/>
        <v>#DIV/0!</v>
      </c>
      <c r="AC10" s="66" t="e">
        <f t="shared" si="23"/>
        <v>#DIV/0!</v>
      </c>
      <c r="AD10" s="66" t="e">
        <f t="shared" ref="AD10" si="24">K10/$S$10</f>
        <v>#DIV/0!</v>
      </c>
      <c r="AE10" s="66" t="e">
        <f t="shared" ref="AE10" si="25">L10/$S$10</f>
        <v>#DIV/0!</v>
      </c>
      <c r="AF10" s="66" t="e">
        <f t="shared" ref="AF10" si="26">M10/$S$10</f>
        <v>#DIV/0!</v>
      </c>
      <c r="AG10" s="66" t="e">
        <f t="shared" ref="AG10" si="27">N10/$S$10</f>
        <v>#DIV/0!</v>
      </c>
      <c r="AH10" s="66" t="e">
        <f t="shared" ref="AH10" si="28">O10/$S$10</f>
        <v>#DIV/0!</v>
      </c>
      <c r="AI10" s="66" t="e">
        <f t="shared" ref="AI10:AJ10" si="29">P10/$S$10</f>
        <v>#DIV/0!</v>
      </c>
      <c r="AJ10" s="66" t="e">
        <f t="shared" si="29"/>
        <v>#DIV/0!</v>
      </c>
      <c r="AK10" s="66" t="e">
        <f t="shared" ref="AK10" si="30">R10/$S$10</f>
        <v>#DIV/0!</v>
      </c>
    </row>
    <row r="11" spans="1:40" x14ac:dyDescent="0.15">
      <c r="B11" s="141" t="s">
        <v>22</v>
      </c>
      <c r="C11" s="75">
        <f>SUMIF('caseload data'!$A:$A,"North East Region",'caseload data'!E:E)</f>
        <v>0</v>
      </c>
      <c r="D11" s="75">
        <f>SUMIF('caseload data'!$A:$A,"North East Region",'caseload data'!F:F)</f>
        <v>0</v>
      </c>
      <c r="E11" s="75">
        <f>SUMIF('caseload data'!$A:$A,"North East Region",'caseload data'!G:G)</f>
        <v>0</v>
      </c>
      <c r="F11" s="75">
        <f>SUMIF('caseload data'!$A:$A,"North East Region",'caseload data'!H:H)</f>
        <v>0</v>
      </c>
      <c r="G11" s="75">
        <f>SUMIF('caseload data'!$A:$A,"North East Region",'caseload data'!I:I)</f>
        <v>0</v>
      </c>
      <c r="H11" s="75">
        <f>SUMIF('caseload data'!$A:$A,"North East Region",'caseload data'!J:J)</f>
        <v>0</v>
      </c>
      <c r="I11" s="75">
        <f>SUMIF('caseload data'!$A:$A,"North East Region",'caseload data'!K:K)</f>
        <v>0</v>
      </c>
      <c r="J11" s="75">
        <f>SUMIF('caseload data'!$A:$A,"North East Region",'caseload data'!L:L)</f>
        <v>0</v>
      </c>
      <c r="K11" s="75">
        <f>SUMIF('caseload data'!$A:$A,"North East Region",'caseload data'!M:M)</f>
        <v>0</v>
      </c>
      <c r="L11" s="75">
        <f>SUMIF('caseload data'!$A:$A,"North East Region",'caseload data'!N:N)</f>
        <v>0</v>
      </c>
      <c r="M11" s="75">
        <f>SUMIF('caseload data'!$A:$A,"North East Region",'caseload data'!O:O)</f>
        <v>0</v>
      </c>
      <c r="N11" s="75">
        <f>SUMIF('caseload data'!$A:$A,"North East Region",'caseload data'!P:P)</f>
        <v>0</v>
      </c>
      <c r="O11" s="75">
        <f>SUMIF('caseload data'!$A:$A,"North East Region",'caseload data'!Q:Q)</f>
        <v>0</v>
      </c>
      <c r="P11" s="75">
        <f>SUMIF('caseload data'!$A:$A,"North East Region",'caseload data'!R:R)</f>
        <v>0</v>
      </c>
      <c r="Q11" s="75">
        <f>SUMIF('caseload data'!$A:$A,"North East Region",'caseload data'!S:S)</f>
        <v>0</v>
      </c>
      <c r="R11" s="75">
        <f>SUMIF('caseload data'!$A:$A,"North East Region",'caseload data'!T:T)</f>
        <v>0</v>
      </c>
      <c r="S11" s="75">
        <f>SUMIF('caseload data'!A:A,"North East Region",'caseload data'!V:V)</f>
        <v>0</v>
      </c>
      <c r="T11" s="91"/>
      <c r="U11" s="141" t="s">
        <v>22</v>
      </c>
      <c r="V11" s="66" t="e">
        <f>C11/$S$11</f>
        <v>#DIV/0!</v>
      </c>
      <c r="W11" s="66" t="e">
        <f t="shared" ref="W11:AC11" si="31">D11/$S$11</f>
        <v>#DIV/0!</v>
      </c>
      <c r="X11" s="66" t="e">
        <f t="shared" si="31"/>
        <v>#DIV/0!</v>
      </c>
      <c r="Y11" s="66" t="e">
        <f t="shared" si="31"/>
        <v>#DIV/0!</v>
      </c>
      <c r="Z11" s="66" t="e">
        <f t="shared" si="31"/>
        <v>#DIV/0!</v>
      </c>
      <c r="AA11" s="66" t="e">
        <f t="shared" si="31"/>
        <v>#DIV/0!</v>
      </c>
      <c r="AB11" s="66" t="e">
        <f t="shared" si="31"/>
        <v>#DIV/0!</v>
      </c>
      <c r="AC11" s="66" t="e">
        <f t="shared" si="31"/>
        <v>#DIV/0!</v>
      </c>
      <c r="AD11" s="66" t="e">
        <f t="shared" ref="AD11" si="32">K11/$S$11</f>
        <v>#DIV/0!</v>
      </c>
      <c r="AE11" s="66" t="e">
        <f t="shared" ref="AE11" si="33">L11/$S$11</f>
        <v>#DIV/0!</v>
      </c>
      <c r="AF11" s="66" t="e">
        <f t="shared" ref="AF11" si="34">M11/$S$11</f>
        <v>#DIV/0!</v>
      </c>
      <c r="AG11" s="66" t="e">
        <f t="shared" ref="AG11" si="35">N11/$S$11</f>
        <v>#DIV/0!</v>
      </c>
      <c r="AH11" s="66" t="e">
        <f t="shared" ref="AH11" si="36">O11/$S$11</f>
        <v>#DIV/0!</v>
      </c>
      <c r="AI11" s="66" t="e">
        <f t="shared" ref="AI11:AJ11" si="37">P11/$S$11</f>
        <v>#DIV/0!</v>
      </c>
      <c r="AJ11" s="66" t="e">
        <f t="shared" si="37"/>
        <v>#DIV/0!</v>
      </c>
      <c r="AK11" s="66" t="e">
        <f t="shared" ref="AK11" si="38">R11/$S$11</f>
        <v>#DIV/0!</v>
      </c>
    </row>
    <row r="12" spans="1:40" x14ac:dyDescent="0.15">
      <c r="B12" s="141" t="s">
        <v>23</v>
      </c>
      <c r="C12" s="75">
        <f>SUMIF('caseload data'!$A:$A,"North West Region",'caseload data'!E:E)</f>
        <v>0</v>
      </c>
      <c r="D12" s="75">
        <f>SUMIF('caseload data'!$A:$A,"North West Region",'caseload data'!F:F)</f>
        <v>0</v>
      </c>
      <c r="E12" s="75">
        <f>SUMIF('caseload data'!$A:$A,"North West Region",'caseload data'!G:G)</f>
        <v>0</v>
      </c>
      <c r="F12" s="75">
        <f>SUMIF('caseload data'!$A:$A,"North West Region",'caseload data'!H:H)</f>
        <v>0</v>
      </c>
      <c r="G12" s="75">
        <f>SUMIF('caseload data'!$A:$A,"North West Region",'caseload data'!I:I)</f>
        <v>0</v>
      </c>
      <c r="H12" s="75">
        <f>SUMIF('caseload data'!$A:$A,"North West Region",'caseload data'!J:J)</f>
        <v>0</v>
      </c>
      <c r="I12" s="75">
        <f>SUMIF('caseload data'!$A:$A,"North West Region",'caseload data'!K:K)</f>
        <v>0</v>
      </c>
      <c r="J12" s="75">
        <f>SUMIF('caseload data'!$A:$A,"North West Region",'caseload data'!L:L)</f>
        <v>0</v>
      </c>
      <c r="K12" s="75">
        <f>SUMIF('caseload data'!$A:$A,"North West Region",'caseload data'!M:M)</f>
        <v>0</v>
      </c>
      <c r="L12" s="75">
        <f>SUMIF('caseload data'!$A:$A,"North West Region",'caseload data'!N:N)</f>
        <v>0</v>
      </c>
      <c r="M12" s="75">
        <f>SUMIF('caseload data'!$A:$A,"North West Region",'caseload data'!O:O)</f>
        <v>0</v>
      </c>
      <c r="N12" s="75">
        <f>SUMIF('caseload data'!$A:$A,"North West Region",'caseload data'!P:P)</f>
        <v>0</v>
      </c>
      <c r="O12" s="75">
        <f>SUMIF('caseload data'!$A:$A,"North West Region",'caseload data'!Q:Q)</f>
        <v>0</v>
      </c>
      <c r="P12" s="75">
        <f>SUMIF('caseload data'!$A:$A,"North West Region",'caseload data'!R:R)</f>
        <v>0</v>
      </c>
      <c r="Q12" s="75">
        <f>SUMIF('caseload data'!$A:$A,"North West Region",'caseload data'!S:S)</f>
        <v>0</v>
      </c>
      <c r="R12" s="75">
        <f>SUMIF('caseload data'!$A:$A,"North West Region",'caseload data'!T:T)</f>
        <v>0</v>
      </c>
      <c r="S12" s="75">
        <f>SUMIF('caseload data'!A:A,"North West Region",'caseload data'!V:V)</f>
        <v>0</v>
      </c>
      <c r="T12" s="91"/>
      <c r="U12" s="141" t="s">
        <v>23</v>
      </c>
      <c r="V12" s="66" t="e">
        <f>C12/$S$12</f>
        <v>#DIV/0!</v>
      </c>
      <c r="W12" s="66" t="e">
        <f t="shared" ref="W12:AC12" si="39">D12/$S$12</f>
        <v>#DIV/0!</v>
      </c>
      <c r="X12" s="66" t="e">
        <f t="shared" si="39"/>
        <v>#DIV/0!</v>
      </c>
      <c r="Y12" s="66" t="e">
        <f t="shared" si="39"/>
        <v>#DIV/0!</v>
      </c>
      <c r="Z12" s="66" t="e">
        <f t="shared" si="39"/>
        <v>#DIV/0!</v>
      </c>
      <c r="AA12" s="66" t="e">
        <f t="shared" si="39"/>
        <v>#DIV/0!</v>
      </c>
      <c r="AB12" s="66" t="e">
        <f t="shared" si="39"/>
        <v>#DIV/0!</v>
      </c>
      <c r="AC12" s="66" t="e">
        <f t="shared" si="39"/>
        <v>#DIV/0!</v>
      </c>
      <c r="AD12" s="66" t="e">
        <f t="shared" ref="AD12" si="40">K12/$S$12</f>
        <v>#DIV/0!</v>
      </c>
      <c r="AE12" s="66" t="e">
        <f t="shared" ref="AE12" si="41">L12/$S$12</f>
        <v>#DIV/0!</v>
      </c>
      <c r="AF12" s="66" t="e">
        <f t="shared" ref="AF12" si="42">M12/$S$12</f>
        <v>#DIV/0!</v>
      </c>
      <c r="AG12" s="66" t="e">
        <f t="shared" ref="AG12" si="43">N12/$S$12</f>
        <v>#DIV/0!</v>
      </c>
      <c r="AH12" s="66" t="e">
        <f t="shared" ref="AH12" si="44">O12/$S$12</f>
        <v>#DIV/0!</v>
      </c>
      <c r="AI12" s="66" t="e">
        <f t="shared" ref="AI12:AJ12" si="45">P12/$S$12</f>
        <v>#DIV/0!</v>
      </c>
      <c r="AJ12" s="66" t="e">
        <f t="shared" si="45"/>
        <v>#DIV/0!</v>
      </c>
      <c r="AK12" s="66" t="e">
        <f t="shared" ref="AK12" si="46">R12/$S$12</f>
        <v>#DIV/0!</v>
      </c>
    </row>
    <row r="13" spans="1:40" x14ac:dyDescent="0.15">
      <c r="B13" s="141" t="s">
        <v>24</v>
      </c>
      <c r="C13" s="75">
        <f>SUMIF('caseload data'!$A:$A,"South Central",'caseload data'!E:E)</f>
        <v>0</v>
      </c>
      <c r="D13" s="75">
        <f>SUMIF('caseload data'!$A:$A,"South Central",'caseload data'!F:F)</f>
        <v>0</v>
      </c>
      <c r="E13" s="75">
        <f>SUMIF('caseload data'!$A:$A,"South Central",'caseload data'!G:G)</f>
        <v>0</v>
      </c>
      <c r="F13" s="75">
        <f>SUMIF('caseload data'!$A:$A,"South Central",'caseload data'!H:H)</f>
        <v>0</v>
      </c>
      <c r="G13" s="75">
        <f>SUMIF('caseload data'!$A:$A,"South Central",'caseload data'!I:I)</f>
        <v>0</v>
      </c>
      <c r="H13" s="75">
        <f>SUMIF('caseload data'!$A:$A,"South Central",'caseload data'!J:J)</f>
        <v>0</v>
      </c>
      <c r="I13" s="75">
        <f>SUMIF('caseload data'!$A:$A,"South Central",'caseload data'!K:K)</f>
        <v>0</v>
      </c>
      <c r="J13" s="75">
        <f>SUMIF('caseload data'!$A:$A,"South Central",'caseload data'!L:L)</f>
        <v>0</v>
      </c>
      <c r="K13" s="75">
        <f>SUMIF('caseload data'!$A:$A,"South Central",'caseload data'!M:M)</f>
        <v>0</v>
      </c>
      <c r="L13" s="75">
        <f>SUMIF('caseload data'!$A:$A,"South Central",'caseload data'!N:N)</f>
        <v>0</v>
      </c>
      <c r="M13" s="75">
        <f>SUMIF('caseload data'!$A:$A,"South Central",'caseload data'!O:O)</f>
        <v>0</v>
      </c>
      <c r="N13" s="75">
        <f>SUMIF('caseload data'!$A:$A,"South Central",'caseload data'!P:P)</f>
        <v>0</v>
      </c>
      <c r="O13" s="75">
        <f>SUMIF('caseload data'!$A:$A,"South Central",'caseload data'!Q:Q)</f>
        <v>0</v>
      </c>
      <c r="P13" s="75">
        <f>SUMIF('caseload data'!$A:$A,"South Central",'caseload data'!R:R)</f>
        <v>0</v>
      </c>
      <c r="Q13" s="75">
        <f>SUMIF('caseload data'!$A:$A,"South Central",'caseload data'!S:S)</f>
        <v>0</v>
      </c>
      <c r="R13" s="75">
        <f>SUMIF('caseload data'!$A:$A,"South Central",'caseload data'!T:T)</f>
        <v>0</v>
      </c>
      <c r="S13" s="75">
        <f>SUMIF('caseload data'!A:A,"South Central",'caseload data'!V:V)</f>
        <v>0</v>
      </c>
      <c r="T13" s="91"/>
      <c r="U13" s="141" t="s">
        <v>24</v>
      </c>
      <c r="V13" s="66" t="e">
        <f t="shared" ref="V13:AK13" si="47">C13/$S$13</f>
        <v>#DIV/0!</v>
      </c>
      <c r="W13" s="66" t="e">
        <f t="shared" si="47"/>
        <v>#DIV/0!</v>
      </c>
      <c r="X13" s="66" t="e">
        <f t="shared" si="47"/>
        <v>#DIV/0!</v>
      </c>
      <c r="Y13" s="66" t="e">
        <f t="shared" si="47"/>
        <v>#DIV/0!</v>
      </c>
      <c r="Z13" s="66" t="e">
        <f t="shared" si="47"/>
        <v>#DIV/0!</v>
      </c>
      <c r="AA13" s="66" t="e">
        <f t="shared" si="47"/>
        <v>#DIV/0!</v>
      </c>
      <c r="AB13" s="66" t="e">
        <f t="shared" si="47"/>
        <v>#DIV/0!</v>
      </c>
      <c r="AC13" s="66" t="e">
        <f t="shared" si="47"/>
        <v>#DIV/0!</v>
      </c>
      <c r="AD13" s="66" t="e">
        <f t="shared" si="47"/>
        <v>#DIV/0!</v>
      </c>
      <c r="AE13" s="66" t="e">
        <f t="shared" si="47"/>
        <v>#DIV/0!</v>
      </c>
      <c r="AF13" s="66" t="e">
        <f t="shared" si="47"/>
        <v>#DIV/0!</v>
      </c>
      <c r="AG13" s="66" t="e">
        <f t="shared" si="47"/>
        <v>#DIV/0!</v>
      </c>
      <c r="AH13" s="66" t="e">
        <f t="shared" si="47"/>
        <v>#DIV/0!</v>
      </c>
      <c r="AI13" s="66" t="e">
        <f t="shared" si="47"/>
        <v>#DIV/0!</v>
      </c>
      <c r="AJ13" s="66" t="e">
        <f t="shared" si="47"/>
        <v>#DIV/0!</v>
      </c>
      <c r="AK13" s="66" t="e">
        <f t="shared" si="47"/>
        <v>#DIV/0!</v>
      </c>
    </row>
    <row r="14" spans="1:40" x14ac:dyDescent="0.15">
      <c r="B14" s="141" t="s">
        <v>25</v>
      </c>
      <c r="C14" s="75">
        <f>SUMIF('caseload data'!$A:$A,"South West",'caseload data'!E:E)</f>
        <v>0</v>
      </c>
      <c r="D14" s="75">
        <f>SUMIF('caseload data'!$A:$A,"South West",'caseload data'!F:F)</f>
        <v>0</v>
      </c>
      <c r="E14" s="75">
        <f>SUMIF('caseload data'!$A:$A,"South West",'caseload data'!G:G)</f>
        <v>0</v>
      </c>
      <c r="F14" s="75">
        <f>SUMIF('caseload data'!$A:$A,"South West",'caseload data'!H:H)</f>
        <v>0</v>
      </c>
      <c r="G14" s="75">
        <f>SUMIF('caseload data'!$A:$A,"South West",'caseload data'!I:I)</f>
        <v>0</v>
      </c>
      <c r="H14" s="75">
        <f>SUMIF('caseload data'!$A:$A,"South West",'caseload data'!J:J)</f>
        <v>0</v>
      </c>
      <c r="I14" s="75">
        <f>SUMIF('caseload data'!$A:$A,"South West",'caseload data'!K:K)</f>
        <v>0</v>
      </c>
      <c r="J14" s="75">
        <f>SUMIF('caseload data'!$A:$A,"South West",'caseload data'!L:L)</f>
        <v>0</v>
      </c>
      <c r="K14" s="75">
        <f>SUMIF('caseload data'!$A:$A,"South West",'caseload data'!M:M)</f>
        <v>0</v>
      </c>
      <c r="L14" s="75">
        <f>SUMIF('caseload data'!$A:$A,"South West",'caseload data'!N:N)</f>
        <v>0</v>
      </c>
      <c r="M14" s="75">
        <f>SUMIF('caseload data'!$A:$A,"South West",'caseload data'!O:O)</f>
        <v>0</v>
      </c>
      <c r="N14" s="75">
        <f>SUMIF('caseload data'!$A:$A,"South West",'caseload data'!P:P)</f>
        <v>0</v>
      </c>
      <c r="O14" s="75">
        <f>SUMIF('caseload data'!$A:$A,"South West",'caseload data'!Q:Q)</f>
        <v>0</v>
      </c>
      <c r="P14" s="75">
        <f>SUMIF('caseload data'!$A:$A,"South West",'caseload data'!R:R)</f>
        <v>0</v>
      </c>
      <c r="Q14" s="75">
        <f>SUMIF('caseload data'!$A:$A,"South West",'caseload data'!S:S)</f>
        <v>0</v>
      </c>
      <c r="R14" s="75">
        <f>SUMIF('caseload data'!$A:$A,"South West",'caseload data'!T:T)</f>
        <v>0</v>
      </c>
      <c r="S14" s="75">
        <f>SUMIF('caseload data'!A:A,"South West",'caseload data'!V:V)</f>
        <v>0</v>
      </c>
      <c r="T14" s="91"/>
      <c r="U14" s="141" t="s">
        <v>25</v>
      </c>
      <c r="V14" s="66" t="e">
        <f>C14/$S$14</f>
        <v>#DIV/0!</v>
      </c>
      <c r="W14" s="66" t="e">
        <f t="shared" ref="W14:AC14" si="48">D14/$S$14</f>
        <v>#DIV/0!</v>
      </c>
      <c r="X14" s="66" t="e">
        <f t="shared" si="48"/>
        <v>#DIV/0!</v>
      </c>
      <c r="Y14" s="66" t="e">
        <f t="shared" si="48"/>
        <v>#DIV/0!</v>
      </c>
      <c r="Z14" s="66" t="e">
        <f t="shared" si="48"/>
        <v>#DIV/0!</v>
      </c>
      <c r="AA14" s="66" t="e">
        <f t="shared" si="48"/>
        <v>#DIV/0!</v>
      </c>
      <c r="AB14" s="66" t="e">
        <f t="shared" si="48"/>
        <v>#DIV/0!</v>
      </c>
      <c r="AC14" s="66" t="e">
        <f t="shared" si="48"/>
        <v>#DIV/0!</v>
      </c>
      <c r="AD14" s="66" t="e">
        <f t="shared" ref="AD14" si="49">K14/$S$14</f>
        <v>#DIV/0!</v>
      </c>
      <c r="AE14" s="66" t="e">
        <f t="shared" ref="AE14" si="50">L14/$S$14</f>
        <v>#DIV/0!</v>
      </c>
      <c r="AF14" s="66" t="e">
        <f t="shared" ref="AF14" si="51">M14/$S$14</f>
        <v>#DIV/0!</v>
      </c>
      <c r="AG14" s="66" t="e">
        <f t="shared" ref="AG14" si="52">N14/$S$14</f>
        <v>#DIV/0!</v>
      </c>
      <c r="AH14" s="66" t="e">
        <f t="shared" ref="AH14" si="53">O14/$S$14</f>
        <v>#DIV/0!</v>
      </c>
      <c r="AI14" s="66" t="e">
        <f t="shared" ref="AI14:AJ14" si="54">P14/$S$14</f>
        <v>#DIV/0!</v>
      </c>
      <c r="AJ14" s="66" t="e">
        <f t="shared" si="54"/>
        <v>#DIV/0!</v>
      </c>
      <c r="AK14" s="66" t="e">
        <f t="shared" ref="AK14" si="55">R14/$S$14</f>
        <v>#DIV/0!</v>
      </c>
    </row>
    <row r="15" spans="1:40" x14ac:dyDescent="0.15">
      <c r="B15" s="141" t="s">
        <v>26</v>
      </c>
      <c r="C15" s="75">
        <f>SUMIF('caseload data'!$A:$A,"Wales",'caseload data'!E:E)</f>
        <v>0</v>
      </c>
      <c r="D15" s="75">
        <f>SUMIF('caseload data'!$A:$A,"Wales",'caseload data'!F:F)</f>
        <v>0</v>
      </c>
      <c r="E15" s="75">
        <f>SUMIF('caseload data'!$A:$A,"Wales",'caseload data'!G:G)</f>
        <v>0</v>
      </c>
      <c r="F15" s="75">
        <f>SUMIF('caseload data'!$A:$A,"Wales",'caseload data'!H:H)</f>
        <v>0</v>
      </c>
      <c r="G15" s="75">
        <f>SUMIF('caseload data'!$A:$A,"Wales",'caseload data'!I:I)</f>
        <v>0</v>
      </c>
      <c r="H15" s="75">
        <f>SUMIF('caseload data'!$A:$A,"Wales",'caseload data'!J:J)</f>
        <v>0</v>
      </c>
      <c r="I15" s="75">
        <f>SUMIF('caseload data'!$A:$A,"Wales",'caseload data'!K:K)</f>
        <v>0</v>
      </c>
      <c r="J15" s="75">
        <f>SUMIF('caseload data'!$A:$A,"Wales",'caseload data'!L:L)</f>
        <v>0</v>
      </c>
      <c r="K15" s="75">
        <f>SUMIF('caseload data'!$A:$A,"Wales",'caseload data'!M:M)</f>
        <v>0</v>
      </c>
      <c r="L15" s="75">
        <f>SUMIF('caseload data'!$A:$A,"Wales",'caseload data'!N:N)</f>
        <v>0</v>
      </c>
      <c r="M15" s="75">
        <f>SUMIF('caseload data'!$A:$A,"Wales",'caseload data'!O:O)</f>
        <v>0</v>
      </c>
      <c r="N15" s="75">
        <f>SUMIF('caseload data'!$A:$A,"Wales",'caseload data'!P:P)</f>
        <v>0</v>
      </c>
      <c r="O15" s="75">
        <f>SUMIF('caseload data'!$A:$A,"Wales",'caseload data'!Q:Q)</f>
        <v>0</v>
      </c>
      <c r="P15" s="75">
        <f>SUMIF('caseload data'!$A:$A,"Wales",'caseload data'!R:R)</f>
        <v>0</v>
      </c>
      <c r="Q15" s="75">
        <f>SUMIF('caseload data'!$A:$A,"Wales",'caseload data'!S:S)</f>
        <v>0</v>
      </c>
      <c r="R15" s="75">
        <f>SUMIF('caseload data'!$A:$A,"Wales",'caseload data'!T:T)</f>
        <v>0</v>
      </c>
      <c r="S15" s="75">
        <f>SUMIF('caseload data'!A:A,"Wales",'caseload data'!V:V)</f>
        <v>0</v>
      </c>
      <c r="T15" s="91"/>
      <c r="U15" s="141" t="s">
        <v>26</v>
      </c>
      <c r="V15" s="66" t="e">
        <f>C15/$S$15</f>
        <v>#DIV/0!</v>
      </c>
      <c r="W15" s="66" t="e">
        <f t="shared" ref="W15:AC15" si="56">D15/$S$15</f>
        <v>#DIV/0!</v>
      </c>
      <c r="X15" s="66" t="e">
        <f t="shared" si="56"/>
        <v>#DIV/0!</v>
      </c>
      <c r="Y15" s="66" t="e">
        <f t="shared" si="56"/>
        <v>#DIV/0!</v>
      </c>
      <c r="Z15" s="66" t="e">
        <f t="shared" si="56"/>
        <v>#DIV/0!</v>
      </c>
      <c r="AA15" s="66" t="e">
        <f t="shared" si="56"/>
        <v>#DIV/0!</v>
      </c>
      <c r="AB15" s="66" t="e">
        <f t="shared" si="56"/>
        <v>#DIV/0!</v>
      </c>
      <c r="AC15" s="66" t="e">
        <f t="shared" si="56"/>
        <v>#DIV/0!</v>
      </c>
      <c r="AD15" s="66" t="e">
        <f t="shared" ref="AD15" si="57">K15/$S$15</f>
        <v>#DIV/0!</v>
      </c>
      <c r="AE15" s="66" t="e">
        <f t="shared" ref="AE15" si="58">L15/$S$15</f>
        <v>#DIV/0!</v>
      </c>
      <c r="AF15" s="66" t="e">
        <f t="shared" ref="AF15" si="59">M15/$S$15</f>
        <v>#DIV/0!</v>
      </c>
      <c r="AG15" s="66" t="e">
        <f t="shared" ref="AG15" si="60">N15/$S$15</f>
        <v>#DIV/0!</v>
      </c>
      <c r="AH15" s="66" t="e">
        <f t="shared" ref="AH15" si="61">O15/$S$15</f>
        <v>#DIV/0!</v>
      </c>
      <c r="AI15" s="66" t="e">
        <f t="shared" ref="AI15:AJ15" si="62">P15/$S$15</f>
        <v>#DIV/0!</v>
      </c>
      <c r="AJ15" s="66" t="e">
        <f t="shared" si="62"/>
        <v>#DIV/0!</v>
      </c>
      <c r="AK15" s="66" t="e">
        <f t="shared" ref="AK15" si="63">R15/$S$15</f>
        <v>#DIV/0!</v>
      </c>
    </row>
    <row r="16" spans="1:40" x14ac:dyDescent="0.15">
      <c r="B16" s="141" t="s">
        <v>27</v>
      </c>
      <c r="C16" s="75">
        <f>SUMIF('caseload data'!$A:$A,"West Midlands Region",'caseload data'!E:E)</f>
        <v>0</v>
      </c>
      <c r="D16" s="75">
        <f>SUMIF('caseload data'!$A:$A,"West Midlands Region",'caseload data'!F:F)</f>
        <v>0</v>
      </c>
      <c r="E16" s="75">
        <f>SUMIF('caseload data'!$A:$A,"West Midlands Region",'caseload data'!G:G)</f>
        <v>0</v>
      </c>
      <c r="F16" s="75">
        <f>SUMIF('caseload data'!$A:$A,"West Midlands Region",'caseload data'!H:H)</f>
        <v>0</v>
      </c>
      <c r="G16" s="75">
        <f>SUMIF('caseload data'!$A:$A,"West Midlands Region",'caseload data'!I:I)</f>
        <v>0</v>
      </c>
      <c r="H16" s="75">
        <f>SUMIF('caseload data'!$A:$A,"West Midlands Region",'caseload data'!J:J)</f>
        <v>0</v>
      </c>
      <c r="I16" s="75">
        <f>SUMIF('caseload data'!$A:$A,"West Midlands Region",'caseload data'!K:K)</f>
        <v>0</v>
      </c>
      <c r="J16" s="75">
        <f>SUMIF('caseload data'!$A:$A,"West Midlands Region",'caseload data'!L:L)</f>
        <v>0</v>
      </c>
      <c r="K16" s="75">
        <f>SUMIF('caseload data'!$A:$A,"West Midlands Region",'caseload data'!M:M)</f>
        <v>0</v>
      </c>
      <c r="L16" s="75">
        <f>SUMIF('caseload data'!$A:$A,"West Midlands Region",'caseload data'!N:N)</f>
        <v>0</v>
      </c>
      <c r="M16" s="75">
        <f>SUMIF('caseload data'!$A:$A,"West Midlands Region",'caseload data'!O:O)</f>
        <v>0</v>
      </c>
      <c r="N16" s="75">
        <f>SUMIF('caseload data'!$A:$A,"West Midlands Region",'caseload data'!P:P)</f>
        <v>0</v>
      </c>
      <c r="O16" s="75">
        <f>SUMIF('caseload data'!$A:$A,"West Midlands Region",'caseload data'!Q:Q)</f>
        <v>0</v>
      </c>
      <c r="P16" s="75">
        <f>SUMIF('caseload data'!$A:$A,"West Midlands Region",'caseload data'!R:R)</f>
        <v>0</v>
      </c>
      <c r="Q16" s="75">
        <f>SUMIF('caseload data'!$A:$A,"West Midlands Region",'caseload data'!S:S)</f>
        <v>0</v>
      </c>
      <c r="R16" s="75">
        <f>SUMIF('caseload data'!$A:$A,"West Midlands Region",'caseload data'!T:T)</f>
        <v>0</v>
      </c>
      <c r="S16" s="75">
        <f>SUMIF('caseload data'!A:A,"West Midlands Region",'caseload data'!V:V)</f>
        <v>0</v>
      </c>
      <c r="T16" s="91"/>
      <c r="U16" s="141" t="s">
        <v>27</v>
      </c>
      <c r="V16" s="66" t="e">
        <f>C16/$S$16</f>
        <v>#DIV/0!</v>
      </c>
      <c r="W16" s="66" t="e">
        <f t="shared" ref="W16:AC16" si="64">D16/$S$16</f>
        <v>#DIV/0!</v>
      </c>
      <c r="X16" s="66" t="e">
        <f t="shared" si="64"/>
        <v>#DIV/0!</v>
      </c>
      <c r="Y16" s="66" t="e">
        <f t="shared" si="64"/>
        <v>#DIV/0!</v>
      </c>
      <c r="Z16" s="66" t="e">
        <f t="shared" si="64"/>
        <v>#DIV/0!</v>
      </c>
      <c r="AA16" s="66" t="e">
        <f t="shared" si="64"/>
        <v>#DIV/0!</v>
      </c>
      <c r="AB16" s="66" t="e">
        <f t="shared" si="64"/>
        <v>#DIV/0!</v>
      </c>
      <c r="AC16" s="66" t="e">
        <f t="shared" si="64"/>
        <v>#DIV/0!</v>
      </c>
      <c r="AD16" s="66" t="e">
        <f t="shared" ref="AD16" si="65">K16/$S$16</f>
        <v>#DIV/0!</v>
      </c>
      <c r="AE16" s="66" t="e">
        <f t="shared" ref="AE16" si="66">L16/$S$16</f>
        <v>#DIV/0!</v>
      </c>
      <c r="AF16" s="66" t="e">
        <f t="shared" ref="AF16" si="67">M16/$S$16</f>
        <v>#DIV/0!</v>
      </c>
      <c r="AG16" s="66" t="e">
        <f t="shared" ref="AG16" si="68">N16/$S$16</f>
        <v>#DIV/0!</v>
      </c>
      <c r="AH16" s="66" t="e">
        <f t="shared" ref="AH16" si="69">O16/$S$16</f>
        <v>#DIV/0!</v>
      </c>
      <c r="AI16" s="66" t="e">
        <f t="shared" ref="AI16:AJ16" si="70">P16/$S$16</f>
        <v>#DIV/0!</v>
      </c>
      <c r="AJ16" s="66" t="e">
        <f t="shared" si="70"/>
        <v>#DIV/0!</v>
      </c>
      <c r="AK16" s="66" t="e">
        <f t="shared" ref="AK16" si="71">R16/$S$16</f>
        <v>#DIV/0!</v>
      </c>
    </row>
    <row r="17" spans="2:37" x14ac:dyDescent="0.15">
      <c r="B17" s="141" t="s">
        <v>28</v>
      </c>
      <c r="C17" s="75">
        <f>SUMIF('caseload data'!$A:$A,"Yorkshire and The Humber",'caseload data'!E:E)</f>
        <v>0</v>
      </c>
      <c r="D17" s="75">
        <f>SUMIF('caseload data'!$A:$A,"Yorkshire and The Humber",'caseload data'!F:F)</f>
        <v>0</v>
      </c>
      <c r="E17" s="75">
        <f>SUMIF('caseload data'!$A:$A,"Yorkshire and The Humber",'caseload data'!G:G)</f>
        <v>0</v>
      </c>
      <c r="F17" s="75">
        <f>SUMIF('caseload data'!$A:$A,"Yorkshire and The Humber",'caseload data'!H:H)</f>
        <v>0</v>
      </c>
      <c r="G17" s="75">
        <f>SUMIF('caseload data'!$A:$A,"Yorkshire and The Humber",'caseload data'!I:I)</f>
        <v>0</v>
      </c>
      <c r="H17" s="75">
        <f>SUMIF('caseload data'!$A:$A,"Yorkshire and The Humber",'caseload data'!J:J)</f>
        <v>0</v>
      </c>
      <c r="I17" s="75">
        <f>SUMIF('caseload data'!$A:$A,"Yorkshire and The Humber",'caseload data'!K:K)</f>
        <v>0</v>
      </c>
      <c r="J17" s="75">
        <f>SUMIF('caseload data'!$A:$A,"Yorkshire and The Humber",'caseload data'!L:L)</f>
        <v>0</v>
      </c>
      <c r="K17" s="75">
        <f>SUMIF('caseload data'!$A:$A,"Yorkshire and The Humber",'caseload data'!M:M)</f>
        <v>0</v>
      </c>
      <c r="L17" s="75">
        <f>SUMIF('caseload data'!$A:$A,"Yorkshire and The Humber",'caseload data'!N:N)</f>
        <v>0</v>
      </c>
      <c r="M17" s="75">
        <f>SUMIF('caseload data'!$A:$A,"Yorkshire and The Humber",'caseload data'!O:O)</f>
        <v>0</v>
      </c>
      <c r="N17" s="75">
        <f>SUMIF('caseload data'!$A:$A,"Yorkshire and The Humber",'caseload data'!P:P)</f>
        <v>0</v>
      </c>
      <c r="O17" s="75">
        <f>SUMIF('caseload data'!$A:$A,"Yorkshire and The Humber",'caseload data'!Q:Q)</f>
        <v>0</v>
      </c>
      <c r="P17" s="75">
        <f>SUMIF('caseload data'!$A:$A,"Yorkshire and The Humber",'caseload data'!R:R)</f>
        <v>0</v>
      </c>
      <c r="Q17" s="75">
        <f>SUMIF('caseload data'!$A:$A,"Yorkshire and The Humber",'caseload data'!S:S)</f>
        <v>0</v>
      </c>
      <c r="R17" s="75">
        <f>SUMIF('caseload data'!$A:$A,"Yorkshire and The Humber",'caseload data'!T:T)</f>
        <v>0</v>
      </c>
      <c r="S17" s="75">
        <f>SUMIF('caseload data'!A:A,"Yorkshire and The Humber",'caseload data'!V:V)</f>
        <v>0</v>
      </c>
      <c r="T17" s="91"/>
      <c r="U17" s="141" t="s">
        <v>28</v>
      </c>
      <c r="V17" s="66" t="e">
        <f>C17/$S$17</f>
        <v>#DIV/0!</v>
      </c>
      <c r="W17" s="66" t="e">
        <f t="shared" ref="W17:AC17" si="72">D17/$S$17</f>
        <v>#DIV/0!</v>
      </c>
      <c r="X17" s="66" t="e">
        <f t="shared" si="72"/>
        <v>#DIV/0!</v>
      </c>
      <c r="Y17" s="66" t="e">
        <f t="shared" si="72"/>
        <v>#DIV/0!</v>
      </c>
      <c r="Z17" s="66" t="e">
        <f t="shared" si="72"/>
        <v>#DIV/0!</v>
      </c>
      <c r="AA17" s="66" t="e">
        <f t="shared" si="72"/>
        <v>#DIV/0!</v>
      </c>
      <c r="AB17" s="66" t="e">
        <f t="shared" si="72"/>
        <v>#DIV/0!</v>
      </c>
      <c r="AC17" s="66" t="e">
        <f t="shared" si="72"/>
        <v>#DIV/0!</v>
      </c>
      <c r="AD17" s="66" t="e">
        <f t="shared" ref="AD17" si="73">K17/$S$17</f>
        <v>#DIV/0!</v>
      </c>
      <c r="AE17" s="66" t="e">
        <f t="shared" ref="AE17" si="74">L17/$S$17</f>
        <v>#DIV/0!</v>
      </c>
      <c r="AF17" s="66" t="e">
        <f t="shared" ref="AF17" si="75">M17/$S$17</f>
        <v>#DIV/0!</v>
      </c>
      <c r="AG17" s="66" t="e">
        <f t="shared" ref="AG17" si="76">N17/$S$17</f>
        <v>#DIV/0!</v>
      </c>
      <c r="AH17" s="66" t="e">
        <f t="shared" ref="AH17" si="77">O17/$S$17</f>
        <v>#DIV/0!</v>
      </c>
      <c r="AI17" s="66" t="e">
        <f t="shared" ref="AI17:AJ17" si="78">P17/$S$17</f>
        <v>#DIV/0!</v>
      </c>
      <c r="AJ17" s="66" t="e">
        <f t="shared" si="78"/>
        <v>#DIV/0!</v>
      </c>
      <c r="AK17" s="66" t="e">
        <f t="shared" ref="AK17" si="79">R17/$S$17</f>
        <v>#DIV/0!</v>
      </c>
    </row>
    <row r="18" spans="2:37" x14ac:dyDescent="0.15">
      <c r="B18" s="110" t="s">
        <v>1088</v>
      </c>
      <c r="C18" s="110">
        <f>SUM('caseload data'!E:E)</f>
        <v>0</v>
      </c>
      <c r="D18" s="110">
        <f>SUM('caseload data'!F:F)</f>
        <v>0</v>
      </c>
      <c r="E18" s="110">
        <f>SUM('caseload data'!G:G)</f>
        <v>0</v>
      </c>
      <c r="F18" s="110">
        <f>SUM('caseload data'!H:H)</f>
        <v>0</v>
      </c>
      <c r="G18" s="110">
        <f>SUM('caseload data'!I:I)</f>
        <v>0</v>
      </c>
      <c r="H18" s="110">
        <f>SUM('caseload data'!J:J)</f>
        <v>0</v>
      </c>
      <c r="I18" s="110">
        <f>SUM('caseload data'!K:K)</f>
        <v>0</v>
      </c>
      <c r="J18" s="110">
        <f>SUM('caseload data'!L:L)</f>
        <v>0</v>
      </c>
      <c r="K18" s="110">
        <f>SUM('caseload data'!M:M)</f>
        <v>0</v>
      </c>
      <c r="L18" s="110">
        <f>SUM('caseload data'!N:N)</f>
        <v>0</v>
      </c>
      <c r="M18" s="110">
        <f>SUM('caseload data'!O:O)</f>
        <v>0</v>
      </c>
      <c r="N18" s="110">
        <f>SUM('caseload data'!P:P)</f>
        <v>0</v>
      </c>
      <c r="O18" s="110">
        <f>SUM('caseload data'!Q:Q)</f>
        <v>0</v>
      </c>
      <c r="P18" s="110">
        <f>SUM('caseload data'!R:R)</f>
        <v>0</v>
      </c>
      <c r="Q18" s="110">
        <f>SUM('caseload data'!S:S)</f>
        <v>0</v>
      </c>
      <c r="R18" s="110">
        <f>SUM('caseload data'!T:T)</f>
        <v>0</v>
      </c>
      <c r="S18" s="110">
        <f>SUM('caseload data'!V:V)</f>
        <v>0</v>
      </c>
      <c r="T18" s="91"/>
      <c r="U18" s="110" t="s">
        <v>886</v>
      </c>
      <c r="V18" s="115" t="e">
        <f>C18/$S$18</f>
        <v>#DIV/0!</v>
      </c>
      <c r="W18" s="115" t="e">
        <f t="shared" ref="W18:AA18" si="80">D18/$S$18</f>
        <v>#DIV/0!</v>
      </c>
      <c r="X18" s="115" t="e">
        <f t="shared" si="80"/>
        <v>#DIV/0!</v>
      </c>
      <c r="Y18" s="115" t="e">
        <f t="shared" si="80"/>
        <v>#DIV/0!</v>
      </c>
      <c r="Z18" s="115" t="e">
        <f t="shared" si="80"/>
        <v>#DIV/0!</v>
      </c>
      <c r="AA18" s="115" t="e">
        <f t="shared" si="80"/>
        <v>#DIV/0!</v>
      </c>
      <c r="AB18" s="115" t="e">
        <f>I18/$S$18</f>
        <v>#DIV/0!</v>
      </c>
      <c r="AC18" s="115" t="e">
        <f t="shared" ref="AC18:AK18" si="81">J18/$S$18</f>
        <v>#DIV/0!</v>
      </c>
      <c r="AD18" s="115" t="e">
        <f t="shared" si="81"/>
        <v>#DIV/0!</v>
      </c>
      <c r="AE18" s="115" t="e">
        <f t="shared" si="81"/>
        <v>#DIV/0!</v>
      </c>
      <c r="AF18" s="115" t="e">
        <f t="shared" si="81"/>
        <v>#DIV/0!</v>
      </c>
      <c r="AG18" s="115" t="e">
        <f t="shared" si="81"/>
        <v>#DIV/0!</v>
      </c>
      <c r="AH18" s="115" t="e">
        <f t="shared" si="81"/>
        <v>#DIV/0!</v>
      </c>
      <c r="AI18" s="115" t="e">
        <f t="shared" si="81"/>
        <v>#DIV/0!</v>
      </c>
      <c r="AJ18" s="115" t="e">
        <f t="shared" si="81"/>
        <v>#DIV/0!</v>
      </c>
      <c r="AK18" s="115" t="e">
        <f t="shared" si="81"/>
        <v>#DIV/0!</v>
      </c>
    </row>
    <row r="21" spans="2:37" ht="21.75" customHeight="1" x14ac:dyDescent="0.2">
      <c r="C21" s="501" t="s">
        <v>1089</v>
      </c>
      <c r="D21" s="502"/>
      <c r="E21" s="502"/>
      <c r="F21" s="502"/>
      <c r="G21" s="502"/>
      <c r="H21" s="502"/>
      <c r="I21" s="502"/>
      <c r="J21" s="502"/>
      <c r="K21" s="502"/>
      <c r="L21" s="502"/>
      <c r="M21" s="502"/>
      <c r="N21" s="502"/>
      <c r="O21" s="502"/>
      <c r="P21" s="502"/>
      <c r="Q21" s="502"/>
      <c r="R21" s="502"/>
      <c r="S21" s="506"/>
      <c r="T21" s="1"/>
      <c r="U21" s="1"/>
      <c r="V21" s="501" t="s">
        <v>1090</v>
      </c>
      <c r="W21" s="502"/>
      <c r="X21" s="502"/>
      <c r="Y21" s="502"/>
      <c r="Z21" s="502"/>
      <c r="AA21" s="502"/>
      <c r="AB21" s="502"/>
      <c r="AC21" s="502"/>
      <c r="AD21" s="502"/>
      <c r="AE21" s="502"/>
      <c r="AF21" s="502"/>
      <c r="AG21" s="502"/>
      <c r="AH21" s="502"/>
      <c r="AI21" s="502"/>
      <c r="AJ21" s="502"/>
      <c r="AK21" s="502"/>
    </row>
    <row r="22" spans="2:37" x14ac:dyDescent="0.15">
      <c r="B22" s="140"/>
      <c r="C22" s="38" t="s">
        <v>869</v>
      </c>
      <c r="D22" s="38" t="s">
        <v>870</v>
      </c>
      <c r="E22" s="38" t="s">
        <v>871</v>
      </c>
      <c r="F22" s="38" t="s">
        <v>872</v>
      </c>
      <c r="G22" s="38" t="s">
        <v>873</v>
      </c>
      <c r="H22" s="38" t="s">
        <v>874</v>
      </c>
      <c r="I22" s="38" t="s">
        <v>875</v>
      </c>
      <c r="J22" s="38" t="s">
        <v>876</v>
      </c>
      <c r="K22" s="38" t="s">
        <v>877</v>
      </c>
      <c r="L22" s="38" t="s">
        <v>878</v>
      </c>
      <c r="M22" s="38" t="s">
        <v>879</v>
      </c>
      <c r="N22" s="38" t="s">
        <v>880</v>
      </c>
      <c r="O22" s="38" t="s">
        <v>881</v>
      </c>
      <c r="P22" s="38" t="s">
        <v>882</v>
      </c>
      <c r="Q22" s="38" t="s">
        <v>883</v>
      </c>
      <c r="R22" s="38" t="s">
        <v>884</v>
      </c>
      <c r="S22" s="39" t="s">
        <v>886</v>
      </c>
      <c r="U22" s="232"/>
      <c r="V22" s="38" t="s">
        <v>869</v>
      </c>
      <c r="W22" s="38" t="s">
        <v>870</v>
      </c>
      <c r="X22" s="38" t="s">
        <v>871</v>
      </c>
      <c r="Y22" s="38" t="s">
        <v>872</v>
      </c>
      <c r="Z22" s="38" t="s">
        <v>873</v>
      </c>
      <c r="AA22" s="38" t="s">
        <v>874</v>
      </c>
      <c r="AB22" s="38" t="s">
        <v>875</v>
      </c>
      <c r="AC22" s="38" t="s">
        <v>876</v>
      </c>
      <c r="AD22" s="38" t="s">
        <v>877</v>
      </c>
      <c r="AE22" s="38" t="s">
        <v>878</v>
      </c>
      <c r="AF22" s="38" t="s">
        <v>879</v>
      </c>
      <c r="AG22" s="38" t="s">
        <v>880</v>
      </c>
      <c r="AH22" s="38" t="s">
        <v>881</v>
      </c>
      <c r="AI22" s="38" t="s">
        <v>882</v>
      </c>
      <c r="AJ22" s="38" t="s">
        <v>883</v>
      </c>
      <c r="AK22" s="38" t="s">
        <v>884</v>
      </c>
    </row>
    <row r="23" spans="2:37" x14ac:dyDescent="0.15">
      <c r="B23" s="141" t="s">
        <v>17</v>
      </c>
      <c r="C23" s="75">
        <f>SUMIFS('caseload data'!E:E,'caseload data'!$A:$A,$B23,'caseload data'!$B:$B,"custody")</f>
        <v>0</v>
      </c>
      <c r="D23" s="75">
        <f>SUMIFS('caseload data'!F:F,'caseload data'!$A:$A,$B23,'caseload data'!$B:$B,"custody")</f>
        <v>0</v>
      </c>
      <c r="E23" s="75">
        <f>SUMIFS('caseload data'!G:G,'caseload data'!$A:$A,$B23,'caseload data'!$B:$B,"custody")</f>
        <v>0</v>
      </c>
      <c r="F23" s="75">
        <f>SUMIFS('caseload data'!H:H,'caseload data'!$A:$A,$B23,'caseload data'!$B:$B,"custody")</f>
        <v>0</v>
      </c>
      <c r="G23" s="75">
        <f>SUMIFS('caseload data'!I:I,'caseload data'!$A:$A,$B23,'caseload data'!$B:$B,"custody")</f>
        <v>0</v>
      </c>
      <c r="H23" s="75">
        <f>SUMIFS('caseload data'!J:J,'caseload data'!$A:$A,$B23,'caseload data'!$B:$B,"custody")</f>
        <v>0</v>
      </c>
      <c r="I23" s="75">
        <f>SUMIFS('caseload data'!K:K,'caseload data'!$A:$A,$B23,'caseload data'!$B:$B,"custody")</f>
        <v>0</v>
      </c>
      <c r="J23" s="75">
        <f>SUMIFS('caseload data'!L:L,'caseload data'!$A:$A,$B23,'caseload data'!$B:$B,"custody")</f>
        <v>0</v>
      </c>
      <c r="K23" s="75">
        <f>SUMIFS('caseload data'!M:M,'caseload data'!$A:$A,$B23,'caseload data'!$B:$B,"custody")</f>
        <v>0</v>
      </c>
      <c r="L23" s="75">
        <f>SUMIFS('caseload data'!N:N,'caseload data'!$A:$A,$B23,'caseload data'!$B:$B,"custody")</f>
        <v>0</v>
      </c>
      <c r="M23" s="75">
        <f>SUMIFS('caseload data'!O:O,'caseload data'!$A:$A,$B23,'caseload data'!$B:$B,"custody")</f>
        <v>0</v>
      </c>
      <c r="N23" s="75">
        <f>SUMIFS('caseload data'!P:P,'caseload data'!$A:$A,$B23,'caseload data'!$B:$B,"custody")</f>
        <v>0</v>
      </c>
      <c r="O23" s="75">
        <f>SUMIFS('caseload data'!Q:Q,'caseload data'!$A:$A,$B23,'caseload data'!$B:$B,"custody")</f>
        <v>0</v>
      </c>
      <c r="P23" s="75">
        <f>SUMIFS('caseload data'!R:R,'caseload data'!$A:$A,$B23,'caseload data'!$B:$B,"custody")</f>
        <v>0</v>
      </c>
      <c r="Q23" s="75">
        <f>SUMIFS('caseload data'!S:S,'caseload data'!$A:$A,$B23,'caseload data'!$B:$B,"custody")</f>
        <v>0</v>
      </c>
      <c r="R23" s="75">
        <f>SUMIFS('caseload data'!T:T,'caseload data'!$A:$A,$B23,'caseload data'!$B:$B,"custody")</f>
        <v>0</v>
      </c>
      <c r="S23" s="75">
        <f>SUMIFS('caseload data'!V:V,'caseload data'!$A:$A,B23,'caseload data'!$B:$B,"custody")</f>
        <v>0</v>
      </c>
      <c r="T23" s="91"/>
      <c r="U23" s="141" t="s">
        <v>17</v>
      </c>
      <c r="V23" s="66" t="e">
        <f>C23/$S$23</f>
        <v>#DIV/0!</v>
      </c>
      <c r="W23" s="66" t="e">
        <f t="shared" ref="W23:AB23" si="82">D23/$S$23</f>
        <v>#DIV/0!</v>
      </c>
      <c r="X23" s="66" t="e">
        <f t="shared" si="82"/>
        <v>#DIV/0!</v>
      </c>
      <c r="Y23" s="66" t="e">
        <f t="shared" si="82"/>
        <v>#DIV/0!</v>
      </c>
      <c r="Z23" s="66" t="e">
        <f t="shared" si="82"/>
        <v>#DIV/0!</v>
      </c>
      <c r="AA23" s="66" t="e">
        <f t="shared" si="82"/>
        <v>#DIV/0!</v>
      </c>
      <c r="AB23" s="66" t="e">
        <f t="shared" si="82"/>
        <v>#DIV/0!</v>
      </c>
      <c r="AC23" s="66" t="e">
        <f t="shared" ref="AC23" si="83">J23/$S$23</f>
        <v>#DIV/0!</v>
      </c>
      <c r="AD23" s="66" t="e">
        <f t="shared" ref="AD23" si="84">K23/$S$23</f>
        <v>#DIV/0!</v>
      </c>
      <c r="AE23" s="66" t="e">
        <f t="shared" ref="AE23" si="85">L23/$S$23</f>
        <v>#DIV/0!</v>
      </c>
      <c r="AF23" s="66" t="e">
        <f t="shared" ref="AF23" si="86">M23/$S$23</f>
        <v>#DIV/0!</v>
      </c>
      <c r="AG23" s="66" t="e">
        <f t="shared" ref="AG23:AH23" si="87">N23/$S$23</f>
        <v>#DIV/0!</v>
      </c>
      <c r="AH23" s="66" t="e">
        <f t="shared" si="87"/>
        <v>#DIV/0!</v>
      </c>
      <c r="AI23" s="66" t="e">
        <f t="shared" ref="AI23" si="88">P23/$S$23</f>
        <v>#DIV/0!</v>
      </c>
      <c r="AJ23" s="66" t="e">
        <f t="shared" ref="AJ23" si="89">Q23/$S$23</f>
        <v>#DIV/0!</v>
      </c>
      <c r="AK23" s="66" t="e">
        <f t="shared" ref="AK23" si="90">R23/$S$23</f>
        <v>#DIV/0!</v>
      </c>
    </row>
    <row r="24" spans="2:37" x14ac:dyDescent="0.15">
      <c r="B24" s="141" t="s">
        <v>18</v>
      </c>
      <c r="C24" s="75">
        <f>SUMIFS('caseload data'!E:E,'caseload data'!$A:$A,$B24,'caseload data'!$B:$B,"custody")</f>
        <v>0</v>
      </c>
      <c r="D24" s="75">
        <f>SUMIFS('caseload data'!F:F,'caseload data'!$A:$A,$B24,'caseload data'!$B:$B,"custody")</f>
        <v>0</v>
      </c>
      <c r="E24" s="75">
        <f>SUMIFS('caseload data'!G:G,'caseload data'!$A:$A,$B24,'caseload data'!$B:$B,"custody")</f>
        <v>0</v>
      </c>
      <c r="F24" s="75">
        <f>SUMIFS('caseload data'!H:H,'caseload data'!$A:$A,$B24,'caseload data'!$B:$B,"custody")</f>
        <v>0</v>
      </c>
      <c r="G24" s="75">
        <f>SUMIFS('caseload data'!I:I,'caseload data'!$A:$A,$B24,'caseload data'!$B:$B,"custody")</f>
        <v>0</v>
      </c>
      <c r="H24" s="75">
        <f>SUMIFS('caseload data'!J:J,'caseload data'!$A:$A,$B24,'caseload data'!$B:$B,"custody")</f>
        <v>0</v>
      </c>
      <c r="I24" s="75">
        <f>SUMIFS('caseload data'!K:K,'caseload data'!$A:$A,$B24,'caseload data'!$B:$B,"custody")</f>
        <v>0</v>
      </c>
      <c r="J24" s="75">
        <f>SUMIFS('caseload data'!L:L,'caseload data'!$A:$A,$B24,'caseload data'!$B:$B,"custody")</f>
        <v>0</v>
      </c>
      <c r="K24" s="75">
        <f>SUMIFS('caseload data'!M:M,'caseload data'!$A:$A,$B24,'caseload data'!$B:$B,"custody")</f>
        <v>0</v>
      </c>
      <c r="L24" s="75">
        <f>SUMIFS('caseload data'!N:N,'caseload data'!$A:$A,$B24,'caseload data'!$B:$B,"custody")</f>
        <v>0</v>
      </c>
      <c r="M24" s="75">
        <f>SUMIFS('caseload data'!O:O,'caseload data'!$A:$A,$B24,'caseload data'!$B:$B,"custody")</f>
        <v>0</v>
      </c>
      <c r="N24" s="75">
        <f>SUMIFS('caseload data'!P:P,'caseload data'!$A:$A,$B24,'caseload data'!$B:$B,"custody")</f>
        <v>0</v>
      </c>
      <c r="O24" s="75">
        <f>SUMIFS('caseload data'!Q:Q,'caseload data'!$A:$A,$B24,'caseload data'!$B:$B,"custody")</f>
        <v>0</v>
      </c>
      <c r="P24" s="75">
        <f>SUMIFS('caseload data'!R:R,'caseload data'!$A:$A,$B24,'caseload data'!$B:$B,"custody")</f>
        <v>0</v>
      </c>
      <c r="Q24" s="75">
        <f>SUMIFS('caseload data'!S:S,'caseload data'!$A:$A,$B24,'caseload data'!$B:$B,"custody")</f>
        <v>0</v>
      </c>
      <c r="R24" s="75">
        <f>SUMIFS('caseload data'!T:T,'caseload data'!$A:$A,$B24,'caseload data'!$B:$B,"custody")</f>
        <v>0</v>
      </c>
      <c r="S24" s="75">
        <f>SUMIFS('caseload data'!V:V,'caseload data'!$A:$A,B24,'caseload data'!$B:$B,"custody")</f>
        <v>0</v>
      </c>
      <c r="T24" s="91"/>
      <c r="U24" s="141" t="s">
        <v>18</v>
      </c>
      <c r="V24" s="66" t="e">
        <f>C24/$S$24</f>
        <v>#DIV/0!</v>
      </c>
      <c r="W24" s="66" t="e">
        <f t="shared" ref="W24:AB24" si="91">D24/$S$24</f>
        <v>#DIV/0!</v>
      </c>
      <c r="X24" s="66" t="e">
        <f t="shared" si="91"/>
        <v>#DIV/0!</v>
      </c>
      <c r="Y24" s="66" t="e">
        <f t="shared" si="91"/>
        <v>#DIV/0!</v>
      </c>
      <c r="Z24" s="66" t="e">
        <f t="shared" si="91"/>
        <v>#DIV/0!</v>
      </c>
      <c r="AA24" s="66" t="e">
        <f t="shared" si="91"/>
        <v>#DIV/0!</v>
      </c>
      <c r="AB24" s="66" t="e">
        <f t="shared" si="91"/>
        <v>#DIV/0!</v>
      </c>
      <c r="AC24" s="66" t="e">
        <f t="shared" ref="AC24" si="92">J24/$S$24</f>
        <v>#DIV/0!</v>
      </c>
      <c r="AD24" s="66" t="e">
        <f t="shared" ref="AD24" si="93">K24/$S$24</f>
        <v>#DIV/0!</v>
      </c>
      <c r="AE24" s="66" t="e">
        <f t="shared" ref="AE24" si="94">L24/$S$24</f>
        <v>#DIV/0!</v>
      </c>
      <c r="AF24" s="66" t="e">
        <f t="shared" ref="AF24" si="95">M24/$S$24</f>
        <v>#DIV/0!</v>
      </c>
      <c r="AG24" s="66" t="e">
        <f t="shared" ref="AG24:AH24" si="96">N24/$S$24</f>
        <v>#DIV/0!</v>
      </c>
      <c r="AH24" s="66" t="e">
        <f t="shared" si="96"/>
        <v>#DIV/0!</v>
      </c>
      <c r="AI24" s="66" t="e">
        <f t="shared" ref="AI24" si="97">P24/$S$24</f>
        <v>#DIV/0!</v>
      </c>
      <c r="AJ24" s="66" t="e">
        <f t="shared" ref="AJ24" si="98">Q24/$S$24</f>
        <v>#DIV/0!</v>
      </c>
      <c r="AK24" s="66" t="e">
        <f t="shared" ref="AK24" si="99">R24/$S$24</f>
        <v>#DIV/0!</v>
      </c>
    </row>
    <row r="25" spans="2:37" x14ac:dyDescent="0.15">
      <c r="B25" s="141" t="s">
        <v>19</v>
      </c>
      <c r="C25" s="75">
        <f>SUMIFS('caseload data'!E:E,'caseload data'!$A:$A,$B25,'caseload data'!$B:$B,"custody")</f>
        <v>0</v>
      </c>
      <c r="D25" s="75">
        <f>SUMIFS('caseload data'!F:F,'caseload data'!$A:$A,$B25,'caseload data'!$B:$B,"custody")</f>
        <v>0</v>
      </c>
      <c r="E25" s="75">
        <f>SUMIFS('caseload data'!G:G,'caseload data'!$A:$A,$B25,'caseload data'!$B:$B,"custody")</f>
        <v>0</v>
      </c>
      <c r="F25" s="75">
        <f>SUMIFS('caseload data'!H:H,'caseload data'!$A:$A,$B25,'caseload data'!$B:$B,"custody")</f>
        <v>0</v>
      </c>
      <c r="G25" s="75">
        <f>SUMIFS('caseload data'!I:I,'caseload data'!$A:$A,$B25,'caseload data'!$B:$B,"custody")</f>
        <v>0</v>
      </c>
      <c r="H25" s="75">
        <f>SUMIFS('caseload data'!J:J,'caseload data'!$A:$A,$B25,'caseload data'!$B:$B,"custody")</f>
        <v>0</v>
      </c>
      <c r="I25" s="75">
        <f>SUMIFS('caseload data'!K:K,'caseload data'!$A:$A,$B25,'caseload data'!$B:$B,"custody")</f>
        <v>0</v>
      </c>
      <c r="J25" s="75">
        <f>SUMIFS('caseload data'!L:L,'caseload data'!$A:$A,$B25,'caseload data'!$B:$B,"custody")</f>
        <v>0</v>
      </c>
      <c r="K25" s="75">
        <f>SUMIFS('caseload data'!M:M,'caseload data'!$A:$A,$B25,'caseload data'!$B:$B,"custody")</f>
        <v>0</v>
      </c>
      <c r="L25" s="75">
        <f>SUMIFS('caseload data'!N:N,'caseload data'!$A:$A,$B25,'caseload data'!$B:$B,"custody")</f>
        <v>0</v>
      </c>
      <c r="M25" s="75">
        <f>SUMIFS('caseload data'!O:O,'caseload data'!$A:$A,$B25,'caseload data'!$B:$B,"custody")</f>
        <v>0</v>
      </c>
      <c r="N25" s="75">
        <f>SUMIFS('caseload data'!P:P,'caseload data'!$A:$A,$B25,'caseload data'!$B:$B,"custody")</f>
        <v>0</v>
      </c>
      <c r="O25" s="75">
        <f>SUMIFS('caseload data'!Q:Q,'caseload data'!$A:$A,$B25,'caseload data'!$B:$B,"custody")</f>
        <v>0</v>
      </c>
      <c r="P25" s="75">
        <f>SUMIFS('caseload data'!R:R,'caseload data'!$A:$A,$B25,'caseload data'!$B:$B,"custody")</f>
        <v>0</v>
      </c>
      <c r="Q25" s="75">
        <f>SUMIFS('caseload data'!S:S,'caseload data'!$A:$A,$B25,'caseload data'!$B:$B,"custody")</f>
        <v>0</v>
      </c>
      <c r="R25" s="75">
        <f>SUMIFS('caseload data'!T:T,'caseload data'!$A:$A,$B25,'caseload data'!$B:$B,"custody")</f>
        <v>0</v>
      </c>
      <c r="S25" s="75">
        <f>SUMIFS('caseload data'!V:V,'caseload data'!$A:$A,B25,'caseload data'!$B:$B,"custody")</f>
        <v>0</v>
      </c>
      <c r="T25" s="91"/>
      <c r="U25" s="141" t="s">
        <v>19</v>
      </c>
      <c r="V25" s="66" t="e">
        <f>C25/$S$25</f>
        <v>#DIV/0!</v>
      </c>
      <c r="W25" s="66" t="e">
        <f t="shared" ref="W25:AB25" si="100">D25/$S$25</f>
        <v>#DIV/0!</v>
      </c>
      <c r="X25" s="66" t="e">
        <f t="shared" si="100"/>
        <v>#DIV/0!</v>
      </c>
      <c r="Y25" s="66" t="e">
        <f t="shared" si="100"/>
        <v>#DIV/0!</v>
      </c>
      <c r="Z25" s="66" t="e">
        <f t="shared" si="100"/>
        <v>#DIV/0!</v>
      </c>
      <c r="AA25" s="66" t="e">
        <f t="shared" si="100"/>
        <v>#DIV/0!</v>
      </c>
      <c r="AB25" s="66" t="e">
        <f t="shared" si="100"/>
        <v>#DIV/0!</v>
      </c>
      <c r="AC25" s="66" t="e">
        <f t="shared" ref="AC25" si="101">J25/$S$25</f>
        <v>#DIV/0!</v>
      </c>
      <c r="AD25" s="66" t="e">
        <f t="shared" ref="AD25" si="102">K25/$S$25</f>
        <v>#DIV/0!</v>
      </c>
      <c r="AE25" s="66" t="e">
        <f t="shared" ref="AE25" si="103">L25/$S$25</f>
        <v>#DIV/0!</v>
      </c>
      <c r="AF25" s="66" t="e">
        <f t="shared" ref="AF25" si="104">M25/$S$25</f>
        <v>#DIV/0!</v>
      </c>
      <c r="AG25" s="66" t="e">
        <f t="shared" ref="AG25:AH25" si="105">N25/$S$25</f>
        <v>#DIV/0!</v>
      </c>
      <c r="AH25" s="66" t="e">
        <f t="shared" si="105"/>
        <v>#DIV/0!</v>
      </c>
      <c r="AI25" s="66" t="e">
        <f t="shared" ref="AI25" si="106">P25/$S$25</f>
        <v>#DIV/0!</v>
      </c>
      <c r="AJ25" s="66" t="e">
        <f t="shared" ref="AJ25" si="107">Q25/$S$25</f>
        <v>#DIV/0!</v>
      </c>
      <c r="AK25" s="66" t="e">
        <f t="shared" ref="AK25" si="108">R25/$S$25</f>
        <v>#DIV/0!</v>
      </c>
    </row>
    <row r="26" spans="2:37" x14ac:dyDescent="0.15">
      <c r="B26" s="141" t="s">
        <v>20</v>
      </c>
      <c r="C26" s="75">
        <f>SUMIFS('caseload data'!E:E,'caseload data'!$A:$A,$B26,'caseload data'!$B:$B,"custody")</f>
        <v>0</v>
      </c>
      <c r="D26" s="75">
        <f>SUMIFS('caseload data'!F:F,'caseload data'!$A:$A,$B26,'caseload data'!$B:$B,"custody")</f>
        <v>0</v>
      </c>
      <c r="E26" s="75">
        <f>SUMIFS('caseload data'!G:G,'caseload data'!$A:$A,$B26,'caseload data'!$B:$B,"custody")</f>
        <v>0</v>
      </c>
      <c r="F26" s="75">
        <f>SUMIFS('caseload data'!H:H,'caseload data'!$A:$A,$B26,'caseload data'!$B:$B,"custody")</f>
        <v>0</v>
      </c>
      <c r="G26" s="75">
        <f>SUMIFS('caseload data'!I:I,'caseload data'!$A:$A,$B26,'caseload data'!$B:$B,"custody")</f>
        <v>0</v>
      </c>
      <c r="H26" s="75">
        <f>SUMIFS('caseload data'!J:J,'caseload data'!$A:$A,$B26,'caseload data'!$B:$B,"custody")</f>
        <v>0</v>
      </c>
      <c r="I26" s="75">
        <f>SUMIFS('caseload data'!K:K,'caseload data'!$A:$A,$B26,'caseload data'!$B:$B,"custody")</f>
        <v>0</v>
      </c>
      <c r="J26" s="75">
        <f>SUMIFS('caseload data'!L:L,'caseload data'!$A:$A,$B26,'caseload data'!$B:$B,"custody")</f>
        <v>0</v>
      </c>
      <c r="K26" s="75">
        <f>SUMIFS('caseload data'!M:M,'caseload data'!$A:$A,$B26,'caseload data'!$B:$B,"custody")</f>
        <v>0</v>
      </c>
      <c r="L26" s="75">
        <f>SUMIFS('caseload data'!N:N,'caseload data'!$A:$A,$B26,'caseload data'!$B:$B,"custody")</f>
        <v>0</v>
      </c>
      <c r="M26" s="75">
        <f>SUMIFS('caseload data'!O:O,'caseload data'!$A:$A,$B26,'caseload data'!$B:$B,"custody")</f>
        <v>0</v>
      </c>
      <c r="N26" s="75">
        <f>SUMIFS('caseload data'!P:P,'caseload data'!$A:$A,$B26,'caseload data'!$B:$B,"custody")</f>
        <v>0</v>
      </c>
      <c r="O26" s="75">
        <f>SUMIFS('caseload data'!Q:Q,'caseload data'!$A:$A,$B26,'caseload data'!$B:$B,"custody")</f>
        <v>0</v>
      </c>
      <c r="P26" s="75">
        <f>SUMIFS('caseload data'!R:R,'caseload data'!$A:$A,$B26,'caseload data'!$B:$B,"custody")</f>
        <v>0</v>
      </c>
      <c r="Q26" s="75">
        <f>SUMIFS('caseload data'!S:S,'caseload data'!$A:$A,$B26,'caseload data'!$B:$B,"custody")</f>
        <v>0</v>
      </c>
      <c r="R26" s="75">
        <f>SUMIFS('caseload data'!T:T,'caseload data'!$A:$A,$B26,'caseload data'!$B:$B,"custody")</f>
        <v>0</v>
      </c>
      <c r="S26" s="75">
        <f>SUMIFS('caseload data'!V:V,'caseload data'!$A:$A,B26,'caseload data'!$B:$B,"custody")</f>
        <v>0</v>
      </c>
      <c r="T26" s="91"/>
      <c r="U26" s="141" t="s">
        <v>20</v>
      </c>
      <c r="V26" s="66" t="e">
        <f>C26/$S$26</f>
        <v>#DIV/0!</v>
      </c>
      <c r="W26" s="66" t="e">
        <f t="shared" ref="W26:AB26" si="109">D26/$S$26</f>
        <v>#DIV/0!</v>
      </c>
      <c r="X26" s="66" t="e">
        <f t="shared" si="109"/>
        <v>#DIV/0!</v>
      </c>
      <c r="Y26" s="66" t="e">
        <f t="shared" si="109"/>
        <v>#DIV/0!</v>
      </c>
      <c r="Z26" s="66" t="e">
        <f t="shared" si="109"/>
        <v>#DIV/0!</v>
      </c>
      <c r="AA26" s="66" t="e">
        <f t="shared" si="109"/>
        <v>#DIV/0!</v>
      </c>
      <c r="AB26" s="66" t="e">
        <f t="shared" si="109"/>
        <v>#DIV/0!</v>
      </c>
      <c r="AC26" s="66" t="e">
        <f t="shared" ref="AC26" si="110">J26/$S$26</f>
        <v>#DIV/0!</v>
      </c>
      <c r="AD26" s="66" t="e">
        <f t="shared" ref="AD26" si="111">K26/$S$26</f>
        <v>#DIV/0!</v>
      </c>
      <c r="AE26" s="66" t="e">
        <f t="shared" ref="AE26" si="112">L26/$S$26</f>
        <v>#DIV/0!</v>
      </c>
      <c r="AF26" s="66" t="e">
        <f t="shared" ref="AF26" si="113">M26/$S$26</f>
        <v>#DIV/0!</v>
      </c>
      <c r="AG26" s="66" t="e">
        <f t="shared" ref="AG26:AH26" si="114">N26/$S$26</f>
        <v>#DIV/0!</v>
      </c>
      <c r="AH26" s="66" t="e">
        <f t="shared" si="114"/>
        <v>#DIV/0!</v>
      </c>
      <c r="AI26" s="66" t="e">
        <f t="shared" ref="AI26" si="115">P26/$S$26</f>
        <v>#DIV/0!</v>
      </c>
      <c r="AJ26" s="66" t="e">
        <f t="shared" ref="AJ26" si="116">Q26/$S$26</f>
        <v>#DIV/0!</v>
      </c>
      <c r="AK26" s="66" t="e">
        <f t="shared" ref="AK26" si="117">R26/$S$26</f>
        <v>#DIV/0!</v>
      </c>
    </row>
    <row r="27" spans="2:37" x14ac:dyDescent="0.15">
      <c r="B27" s="141" t="s">
        <v>21</v>
      </c>
      <c r="C27" s="75">
        <f>SUMIFS('caseload data'!E:E,'caseload data'!$A:$A,$B27,'caseload data'!$B:$B,"custody")</f>
        <v>0</v>
      </c>
      <c r="D27" s="75">
        <f>SUMIFS('caseload data'!F:F,'caseload data'!$A:$A,$B27,'caseload data'!$B:$B,"custody")</f>
        <v>0</v>
      </c>
      <c r="E27" s="75">
        <f>SUMIFS('caseload data'!G:G,'caseload data'!$A:$A,$B27,'caseload data'!$B:$B,"custody")</f>
        <v>0</v>
      </c>
      <c r="F27" s="75">
        <f>SUMIFS('caseload data'!H:H,'caseload data'!$A:$A,$B27,'caseload data'!$B:$B,"custody")</f>
        <v>0</v>
      </c>
      <c r="G27" s="75">
        <f>SUMIFS('caseload data'!I:I,'caseload data'!$A:$A,$B27,'caseload data'!$B:$B,"custody")</f>
        <v>0</v>
      </c>
      <c r="H27" s="75">
        <f>SUMIFS('caseload data'!J:J,'caseload data'!$A:$A,$B27,'caseload data'!$B:$B,"custody")</f>
        <v>0</v>
      </c>
      <c r="I27" s="75">
        <f>SUMIFS('caseload data'!K:K,'caseload data'!$A:$A,$B27,'caseload data'!$B:$B,"custody")</f>
        <v>0</v>
      </c>
      <c r="J27" s="75">
        <f>SUMIFS('caseload data'!L:L,'caseload data'!$A:$A,$B27,'caseload data'!$B:$B,"custody")</f>
        <v>0</v>
      </c>
      <c r="K27" s="75">
        <f>SUMIFS('caseload data'!M:M,'caseload data'!$A:$A,$B27,'caseload data'!$B:$B,"custody")</f>
        <v>0</v>
      </c>
      <c r="L27" s="75">
        <f>SUMIFS('caseload data'!N:N,'caseload data'!$A:$A,$B27,'caseload data'!$B:$B,"custody")</f>
        <v>0</v>
      </c>
      <c r="M27" s="75">
        <f>SUMIFS('caseload data'!O:O,'caseload data'!$A:$A,$B27,'caseload data'!$B:$B,"custody")</f>
        <v>0</v>
      </c>
      <c r="N27" s="75">
        <f>SUMIFS('caseload data'!P:P,'caseload data'!$A:$A,$B27,'caseload data'!$B:$B,"custody")</f>
        <v>0</v>
      </c>
      <c r="O27" s="75">
        <f>SUMIFS('caseload data'!Q:Q,'caseload data'!$A:$A,$B27,'caseload data'!$B:$B,"custody")</f>
        <v>0</v>
      </c>
      <c r="P27" s="75">
        <f>SUMIFS('caseload data'!R:R,'caseload data'!$A:$A,$B27,'caseload data'!$B:$B,"custody")</f>
        <v>0</v>
      </c>
      <c r="Q27" s="75">
        <f>SUMIFS('caseload data'!S:S,'caseload data'!$A:$A,$B27,'caseload data'!$B:$B,"custody")</f>
        <v>0</v>
      </c>
      <c r="R27" s="75">
        <f>SUMIFS('caseload data'!T:T,'caseload data'!$A:$A,$B27,'caseload data'!$B:$B,"custody")</f>
        <v>0</v>
      </c>
      <c r="S27" s="75">
        <f>SUMIFS('caseload data'!V:V,'caseload data'!$A:$A,B27,'caseload data'!$B:$B,"custody")</f>
        <v>0</v>
      </c>
      <c r="T27" s="91"/>
      <c r="U27" s="141" t="s">
        <v>21</v>
      </c>
      <c r="V27" s="66" t="e">
        <f>C27/$S$27</f>
        <v>#DIV/0!</v>
      </c>
      <c r="W27" s="66" t="e">
        <f t="shared" ref="W27:AB27" si="118">D27/$S$27</f>
        <v>#DIV/0!</v>
      </c>
      <c r="X27" s="66" t="e">
        <f t="shared" si="118"/>
        <v>#DIV/0!</v>
      </c>
      <c r="Y27" s="66" t="e">
        <f t="shared" si="118"/>
        <v>#DIV/0!</v>
      </c>
      <c r="Z27" s="66" t="e">
        <f t="shared" si="118"/>
        <v>#DIV/0!</v>
      </c>
      <c r="AA27" s="66" t="e">
        <f t="shared" si="118"/>
        <v>#DIV/0!</v>
      </c>
      <c r="AB27" s="66" t="e">
        <f t="shared" si="118"/>
        <v>#DIV/0!</v>
      </c>
      <c r="AC27" s="66" t="e">
        <f t="shared" ref="AC27" si="119">J27/$S$27</f>
        <v>#DIV/0!</v>
      </c>
      <c r="AD27" s="66" t="e">
        <f t="shared" ref="AD27" si="120">K27/$S$27</f>
        <v>#DIV/0!</v>
      </c>
      <c r="AE27" s="66" t="e">
        <f t="shared" ref="AE27" si="121">L27/$S$27</f>
        <v>#DIV/0!</v>
      </c>
      <c r="AF27" s="66" t="e">
        <f t="shared" ref="AF27" si="122">M27/$S$27</f>
        <v>#DIV/0!</v>
      </c>
      <c r="AG27" s="66" t="e">
        <f t="shared" ref="AG27:AH27" si="123">N27/$S$27</f>
        <v>#DIV/0!</v>
      </c>
      <c r="AH27" s="66" t="e">
        <f t="shared" si="123"/>
        <v>#DIV/0!</v>
      </c>
      <c r="AI27" s="66" t="e">
        <f t="shared" ref="AI27" si="124">P27/$S$27</f>
        <v>#DIV/0!</v>
      </c>
      <c r="AJ27" s="66" t="e">
        <f t="shared" ref="AJ27" si="125">Q27/$S$27</f>
        <v>#DIV/0!</v>
      </c>
      <c r="AK27" s="66" t="e">
        <f t="shared" ref="AK27" si="126">R27/$S$27</f>
        <v>#DIV/0!</v>
      </c>
    </row>
    <row r="28" spans="2:37" x14ac:dyDescent="0.15">
      <c r="B28" s="141" t="s">
        <v>22</v>
      </c>
      <c r="C28" s="75">
        <f>SUMIFS('caseload data'!E:E,'caseload data'!$A:$A,$B28,'caseload data'!$B:$B,"custody")</f>
        <v>0</v>
      </c>
      <c r="D28" s="75">
        <f>SUMIFS('caseload data'!F:F,'caseload data'!$A:$A,$B28,'caseload data'!$B:$B,"custody")</f>
        <v>0</v>
      </c>
      <c r="E28" s="75">
        <f>SUMIFS('caseload data'!G:G,'caseload data'!$A:$A,$B28,'caseload data'!$B:$B,"custody")</f>
        <v>0</v>
      </c>
      <c r="F28" s="75">
        <f>SUMIFS('caseload data'!H:H,'caseload data'!$A:$A,$B28,'caseload data'!$B:$B,"custody")</f>
        <v>0</v>
      </c>
      <c r="G28" s="75">
        <f>SUMIFS('caseload data'!I:I,'caseload data'!$A:$A,$B28,'caseload data'!$B:$B,"custody")</f>
        <v>0</v>
      </c>
      <c r="H28" s="75">
        <f>SUMIFS('caseload data'!J:J,'caseload data'!$A:$A,$B28,'caseload data'!$B:$B,"custody")</f>
        <v>0</v>
      </c>
      <c r="I28" s="75">
        <f>SUMIFS('caseload data'!K:K,'caseload data'!$A:$A,$B28,'caseload data'!$B:$B,"custody")</f>
        <v>0</v>
      </c>
      <c r="J28" s="75">
        <f>SUMIFS('caseload data'!L:L,'caseload data'!$A:$A,$B28,'caseload data'!$B:$B,"custody")</f>
        <v>0</v>
      </c>
      <c r="K28" s="75">
        <f>SUMIFS('caseload data'!M:M,'caseload data'!$A:$A,$B28,'caseload data'!$B:$B,"custody")</f>
        <v>0</v>
      </c>
      <c r="L28" s="75">
        <f>SUMIFS('caseload data'!N:N,'caseload data'!$A:$A,$B28,'caseload data'!$B:$B,"custody")</f>
        <v>0</v>
      </c>
      <c r="M28" s="75">
        <f>SUMIFS('caseload data'!O:O,'caseload data'!$A:$A,$B28,'caseload data'!$B:$B,"custody")</f>
        <v>0</v>
      </c>
      <c r="N28" s="75">
        <f>SUMIFS('caseload data'!P:P,'caseload data'!$A:$A,$B28,'caseload data'!$B:$B,"custody")</f>
        <v>0</v>
      </c>
      <c r="O28" s="75">
        <f>SUMIFS('caseload data'!Q:Q,'caseload data'!$A:$A,$B28,'caseload data'!$B:$B,"custody")</f>
        <v>0</v>
      </c>
      <c r="P28" s="75">
        <f>SUMIFS('caseload data'!R:R,'caseload data'!$A:$A,$B28,'caseload data'!$B:$B,"custody")</f>
        <v>0</v>
      </c>
      <c r="Q28" s="75">
        <f>SUMIFS('caseload data'!S:S,'caseload data'!$A:$A,$B28,'caseload data'!$B:$B,"custody")</f>
        <v>0</v>
      </c>
      <c r="R28" s="75">
        <f>SUMIFS('caseload data'!T:T,'caseload data'!$A:$A,$B28,'caseload data'!$B:$B,"custody")</f>
        <v>0</v>
      </c>
      <c r="S28" s="75">
        <f>SUMIFS('caseload data'!V:V,'caseload data'!$A:$A,B28,'caseload data'!$B:$B,"custody")</f>
        <v>0</v>
      </c>
      <c r="T28" s="91"/>
      <c r="U28" s="141" t="s">
        <v>22</v>
      </c>
      <c r="V28" s="66" t="e">
        <f>C28/$S$28</f>
        <v>#DIV/0!</v>
      </c>
      <c r="W28" s="66" t="e">
        <f t="shared" ref="W28:AB28" si="127">D28/$S$28</f>
        <v>#DIV/0!</v>
      </c>
      <c r="X28" s="66" t="e">
        <f t="shared" si="127"/>
        <v>#DIV/0!</v>
      </c>
      <c r="Y28" s="66" t="e">
        <f t="shared" si="127"/>
        <v>#DIV/0!</v>
      </c>
      <c r="Z28" s="66" t="e">
        <f t="shared" si="127"/>
        <v>#DIV/0!</v>
      </c>
      <c r="AA28" s="66" t="e">
        <f t="shared" si="127"/>
        <v>#DIV/0!</v>
      </c>
      <c r="AB28" s="66" t="e">
        <f t="shared" si="127"/>
        <v>#DIV/0!</v>
      </c>
      <c r="AC28" s="66" t="e">
        <f t="shared" ref="AC28" si="128">J28/$S$28</f>
        <v>#DIV/0!</v>
      </c>
      <c r="AD28" s="66" t="e">
        <f t="shared" ref="AD28" si="129">K28/$S$28</f>
        <v>#DIV/0!</v>
      </c>
      <c r="AE28" s="66" t="e">
        <f t="shared" ref="AE28" si="130">L28/$S$28</f>
        <v>#DIV/0!</v>
      </c>
      <c r="AF28" s="66" t="e">
        <f t="shared" ref="AF28" si="131">M28/$S$28</f>
        <v>#DIV/0!</v>
      </c>
      <c r="AG28" s="66" t="e">
        <f t="shared" ref="AG28:AH28" si="132">N28/$S$28</f>
        <v>#DIV/0!</v>
      </c>
      <c r="AH28" s="66" t="e">
        <f t="shared" si="132"/>
        <v>#DIV/0!</v>
      </c>
      <c r="AI28" s="66" t="e">
        <f t="shared" ref="AI28" si="133">P28/$S$28</f>
        <v>#DIV/0!</v>
      </c>
      <c r="AJ28" s="66" t="e">
        <f t="shared" ref="AJ28" si="134">Q28/$S$28</f>
        <v>#DIV/0!</v>
      </c>
      <c r="AK28" s="66" t="e">
        <f t="shared" ref="AK28" si="135">R28/$S$28</f>
        <v>#DIV/0!</v>
      </c>
    </row>
    <row r="29" spans="2:37" x14ac:dyDescent="0.15">
      <c r="B29" s="141" t="s">
        <v>23</v>
      </c>
      <c r="C29" s="75">
        <f>SUMIFS('caseload data'!E:E,'caseload data'!$A:$A,$B29,'caseload data'!$B:$B,"custody")</f>
        <v>0</v>
      </c>
      <c r="D29" s="75">
        <f>SUMIFS('caseload data'!F:F,'caseload data'!$A:$A,$B29,'caseload data'!$B:$B,"custody")</f>
        <v>0</v>
      </c>
      <c r="E29" s="75">
        <f>SUMIFS('caseload data'!G:G,'caseload data'!$A:$A,$B29,'caseload data'!$B:$B,"custody")</f>
        <v>0</v>
      </c>
      <c r="F29" s="75">
        <f>SUMIFS('caseload data'!H:H,'caseload data'!$A:$A,$B29,'caseload data'!$B:$B,"custody")</f>
        <v>0</v>
      </c>
      <c r="G29" s="75">
        <f>SUMIFS('caseload data'!I:I,'caseload data'!$A:$A,$B29,'caseload data'!$B:$B,"custody")</f>
        <v>0</v>
      </c>
      <c r="H29" s="75">
        <f>SUMIFS('caseload data'!J:J,'caseload data'!$A:$A,$B29,'caseload data'!$B:$B,"custody")</f>
        <v>0</v>
      </c>
      <c r="I29" s="75">
        <f>SUMIFS('caseload data'!K:K,'caseload data'!$A:$A,$B29,'caseload data'!$B:$B,"custody")</f>
        <v>0</v>
      </c>
      <c r="J29" s="75">
        <f>SUMIFS('caseload data'!L:L,'caseload data'!$A:$A,$B29,'caseload data'!$B:$B,"custody")</f>
        <v>0</v>
      </c>
      <c r="K29" s="75">
        <f>SUMIFS('caseload data'!M:M,'caseload data'!$A:$A,$B29,'caseload data'!$B:$B,"custody")</f>
        <v>0</v>
      </c>
      <c r="L29" s="75">
        <f>SUMIFS('caseload data'!N:N,'caseload data'!$A:$A,$B29,'caseload data'!$B:$B,"custody")</f>
        <v>0</v>
      </c>
      <c r="M29" s="75">
        <f>SUMIFS('caseload data'!O:O,'caseload data'!$A:$A,$B29,'caseload data'!$B:$B,"custody")</f>
        <v>0</v>
      </c>
      <c r="N29" s="75">
        <f>SUMIFS('caseload data'!P:P,'caseload data'!$A:$A,$B29,'caseload data'!$B:$B,"custody")</f>
        <v>0</v>
      </c>
      <c r="O29" s="75">
        <f>SUMIFS('caseload data'!Q:Q,'caseload data'!$A:$A,$B29,'caseload data'!$B:$B,"custody")</f>
        <v>0</v>
      </c>
      <c r="P29" s="75">
        <f>SUMIFS('caseload data'!R:R,'caseload data'!$A:$A,$B29,'caseload data'!$B:$B,"custody")</f>
        <v>0</v>
      </c>
      <c r="Q29" s="75">
        <f>SUMIFS('caseload data'!S:S,'caseload data'!$A:$A,$B29,'caseload data'!$B:$B,"custody")</f>
        <v>0</v>
      </c>
      <c r="R29" s="75">
        <f>SUMIFS('caseload data'!T:T,'caseload data'!$A:$A,$B29,'caseload data'!$B:$B,"custody")</f>
        <v>0</v>
      </c>
      <c r="S29" s="75">
        <f>SUMIFS('caseload data'!V:V,'caseload data'!$A:$A,B29,'caseload data'!$B:$B,"custody")</f>
        <v>0</v>
      </c>
      <c r="T29" s="91"/>
      <c r="U29" s="141" t="s">
        <v>23</v>
      </c>
      <c r="V29" s="66" t="e">
        <f>C29/$S$29</f>
        <v>#DIV/0!</v>
      </c>
      <c r="W29" s="66" t="e">
        <f t="shared" ref="W29:AA29" si="136">D29/$S$29</f>
        <v>#DIV/0!</v>
      </c>
      <c r="X29" s="66" t="e">
        <f t="shared" si="136"/>
        <v>#DIV/0!</v>
      </c>
      <c r="Y29" s="66" t="e">
        <f t="shared" si="136"/>
        <v>#DIV/0!</v>
      </c>
      <c r="Z29" s="66" t="e">
        <f t="shared" si="136"/>
        <v>#DIV/0!</v>
      </c>
      <c r="AA29" s="66" t="e">
        <f t="shared" si="136"/>
        <v>#DIV/0!</v>
      </c>
      <c r="AB29" s="66" t="e">
        <f t="shared" ref="AB29" si="137">I29/$S$29</f>
        <v>#DIV/0!</v>
      </c>
      <c r="AC29" s="66" t="e">
        <f t="shared" ref="AC29" si="138">J29/$S$29</f>
        <v>#DIV/0!</v>
      </c>
      <c r="AD29" s="66" t="e">
        <f t="shared" ref="AD29" si="139">K29/$S$29</f>
        <v>#DIV/0!</v>
      </c>
      <c r="AE29" s="66" t="e">
        <f t="shared" ref="AE29" si="140">L29/$S$29</f>
        <v>#DIV/0!</v>
      </c>
      <c r="AF29" s="66" t="e">
        <f t="shared" ref="AF29" si="141">M29/$S$29</f>
        <v>#DIV/0!</v>
      </c>
      <c r="AG29" s="66" t="e">
        <f t="shared" ref="AG29" si="142">N29/$S$29</f>
        <v>#DIV/0!</v>
      </c>
      <c r="AH29" s="66" t="e">
        <f t="shared" ref="AH29" si="143">O29/$S$29</f>
        <v>#DIV/0!</v>
      </c>
      <c r="AI29" s="66" t="e">
        <f t="shared" ref="AI29" si="144">P29/$S$29</f>
        <v>#DIV/0!</v>
      </c>
      <c r="AJ29" s="66" t="e">
        <f t="shared" ref="AJ29" si="145">Q29/$S$29</f>
        <v>#DIV/0!</v>
      </c>
      <c r="AK29" s="66" t="e">
        <f t="shared" ref="AK29" si="146">R29/$S$29</f>
        <v>#DIV/0!</v>
      </c>
    </row>
    <row r="30" spans="2:37" x14ac:dyDescent="0.15">
      <c r="B30" s="141" t="s">
        <v>24</v>
      </c>
      <c r="C30" s="75">
        <f>SUMIFS('caseload data'!E:E,'caseload data'!$A:$A,$B30,'caseload data'!$B:$B,"custody")</f>
        <v>0</v>
      </c>
      <c r="D30" s="75">
        <f>SUMIFS('caseload data'!F:F,'caseload data'!$A:$A,$B30,'caseload data'!$B:$B,"custody")</f>
        <v>0</v>
      </c>
      <c r="E30" s="75">
        <f>SUMIFS('caseload data'!G:G,'caseload data'!$A:$A,$B30,'caseload data'!$B:$B,"custody")</f>
        <v>0</v>
      </c>
      <c r="F30" s="75">
        <f>SUMIFS('caseload data'!H:H,'caseload data'!$A:$A,$B30,'caseload data'!$B:$B,"custody")</f>
        <v>0</v>
      </c>
      <c r="G30" s="75">
        <f>SUMIFS('caseload data'!I:I,'caseload data'!$A:$A,$B30,'caseload data'!$B:$B,"custody")</f>
        <v>0</v>
      </c>
      <c r="H30" s="75">
        <f>SUMIFS('caseload data'!J:J,'caseload data'!$A:$A,$B30,'caseload data'!$B:$B,"custody")</f>
        <v>0</v>
      </c>
      <c r="I30" s="75">
        <f>SUMIFS('caseload data'!K:K,'caseload data'!$A:$A,$B30,'caseload data'!$B:$B,"custody")</f>
        <v>0</v>
      </c>
      <c r="J30" s="75">
        <f>SUMIFS('caseload data'!L:L,'caseload data'!$A:$A,$B30,'caseload data'!$B:$B,"custody")</f>
        <v>0</v>
      </c>
      <c r="K30" s="75">
        <f>SUMIFS('caseload data'!M:M,'caseload data'!$A:$A,$B30,'caseload data'!$B:$B,"custody")</f>
        <v>0</v>
      </c>
      <c r="L30" s="75">
        <f>SUMIFS('caseload data'!N:N,'caseload data'!$A:$A,$B30,'caseload data'!$B:$B,"custody")</f>
        <v>0</v>
      </c>
      <c r="M30" s="75">
        <f>SUMIFS('caseload data'!O:O,'caseload data'!$A:$A,$B30,'caseload data'!$B:$B,"custody")</f>
        <v>0</v>
      </c>
      <c r="N30" s="75">
        <f>SUMIFS('caseload data'!P:P,'caseload data'!$A:$A,$B30,'caseload data'!$B:$B,"custody")</f>
        <v>0</v>
      </c>
      <c r="O30" s="75">
        <f>SUMIFS('caseload data'!Q:Q,'caseload data'!$A:$A,$B30,'caseload data'!$B:$B,"custody")</f>
        <v>0</v>
      </c>
      <c r="P30" s="75">
        <f>SUMIFS('caseload data'!R:R,'caseload data'!$A:$A,$B30,'caseload data'!$B:$B,"custody")</f>
        <v>0</v>
      </c>
      <c r="Q30" s="75">
        <f>SUMIFS('caseload data'!S:S,'caseload data'!$A:$A,$B30,'caseload data'!$B:$B,"custody")</f>
        <v>0</v>
      </c>
      <c r="R30" s="75">
        <f>SUMIFS('caseload data'!T:T,'caseload data'!$A:$A,$B30,'caseload data'!$B:$B,"custody")</f>
        <v>0</v>
      </c>
      <c r="S30" s="75">
        <f>SUMIFS('caseload data'!V:V,'caseload data'!$A:$A,B30,'caseload data'!$B:$B,"custody")</f>
        <v>0</v>
      </c>
      <c r="T30" s="91"/>
      <c r="U30" s="141" t="s">
        <v>24</v>
      </c>
      <c r="V30" s="66" t="e">
        <f t="shared" ref="V30:AK30" si="147">C30/$S$30</f>
        <v>#DIV/0!</v>
      </c>
      <c r="W30" s="66" t="e">
        <f t="shared" si="147"/>
        <v>#DIV/0!</v>
      </c>
      <c r="X30" s="66" t="e">
        <f t="shared" si="147"/>
        <v>#DIV/0!</v>
      </c>
      <c r="Y30" s="66" t="e">
        <f t="shared" si="147"/>
        <v>#DIV/0!</v>
      </c>
      <c r="Z30" s="66" t="e">
        <f t="shared" si="147"/>
        <v>#DIV/0!</v>
      </c>
      <c r="AA30" s="66" t="e">
        <f t="shared" si="147"/>
        <v>#DIV/0!</v>
      </c>
      <c r="AB30" s="66" t="e">
        <f t="shared" si="147"/>
        <v>#DIV/0!</v>
      </c>
      <c r="AC30" s="66" t="e">
        <f t="shared" si="147"/>
        <v>#DIV/0!</v>
      </c>
      <c r="AD30" s="66" t="e">
        <f t="shared" si="147"/>
        <v>#DIV/0!</v>
      </c>
      <c r="AE30" s="66" t="e">
        <f t="shared" si="147"/>
        <v>#DIV/0!</v>
      </c>
      <c r="AF30" s="66" t="e">
        <f t="shared" si="147"/>
        <v>#DIV/0!</v>
      </c>
      <c r="AG30" s="66" t="e">
        <f t="shared" si="147"/>
        <v>#DIV/0!</v>
      </c>
      <c r="AH30" s="66" t="e">
        <f t="shared" si="147"/>
        <v>#DIV/0!</v>
      </c>
      <c r="AI30" s="66" t="e">
        <f t="shared" si="147"/>
        <v>#DIV/0!</v>
      </c>
      <c r="AJ30" s="66" t="e">
        <f t="shared" si="147"/>
        <v>#DIV/0!</v>
      </c>
      <c r="AK30" s="66" t="e">
        <f t="shared" si="147"/>
        <v>#DIV/0!</v>
      </c>
    </row>
    <row r="31" spans="2:37" x14ac:dyDescent="0.15">
      <c r="B31" s="141" t="s">
        <v>25</v>
      </c>
      <c r="C31" s="75">
        <f>SUMIFS('caseload data'!E:E,'caseload data'!$A:$A,$B31,'caseload data'!$B:$B,"custody")</f>
        <v>0</v>
      </c>
      <c r="D31" s="75">
        <f>SUMIFS('caseload data'!F:F,'caseload data'!$A:$A,$B31,'caseload data'!$B:$B,"custody")</f>
        <v>0</v>
      </c>
      <c r="E31" s="75">
        <f>SUMIFS('caseload data'!G:G,'caseload data'!$A:$A,$B31,'caseload data'!$B:$B,"custody")</f>
        <v>0</v>
      </c>
      <c r="F31" s="75">
        <f>SUMIFS('caseload data'!H:H,'caseload data'!$A:$A,$B31,'caseload data'!$B:$B,"custody")</f>
        <v>0</v>
      </c>
      <c r="G31" s="75">
        <f>SUMIFS('caseload data'!I:I,'caseload data'!$A:$A,$B31,'caseload data'!$B:$B,"custody")</f>
        <v>0</v>
      </c>
      <c r="H31" s="75">
        <f>SUMIFS('caseload data'!J:J,'caseload data'!$A:$A,$B31,'caseload data'!$B:$B,"custody")</f>
        <v>0</v>
      </c>
      <c r="I31" s="75">
        <f>SUMIFS('caseload data'!K:K,'caseload data'!$A:$A,$B31,'caseload data'!$B:$B,"custody")</f>
        <v>0</v>
      </c>
      <c r="J31" s="75">
        <f>SUMIFS('caseload data'!L:L,'caseload data'!$A:$A,$B31,'caseload data'!$B:$B,"custody")</f>
        <v>0</v>
      </c>
      <c r="K31" s="75">
        <f>SUMIFS('caseload data'!M:M,'caseload data'!$A:$A,$B31,'caseload data'!$B:$B,"custody")</f>
        <v>0</v>
      </c>
      <c r="L31" s="75">
        <f>SUMIFS('caseload data'!N:N,'caseload data'!$A:$A,$B31,'caseload data'!$B:$B,"custody")</f>
        <v>0</v>
      </c>
      <c r="M31" s="75">
        <f>SUMIFS('caseload data'!O:O,'caseload data'!$A:$A,$B31,'caseload data'!$B:$B,"custody")</f>
        <v>0</v>
      </c>
      <c r="N31" s="75">
        <f>SUMIFS('caseload data'!P:P,'caseload data'!$A:$A,$B31,'caseload data'!$B:$B,"custody")</f>
        <v>0</v>
      </c>
      <c r="O31" s="75">
        <f>SUMIFS('caseload data'!Q:Q,'caseload data'!$A:$A,$B31,'caseload data'!$B:$B,"custody")</f>
        <v>0</v>
      </c>
      <c r="P31" s="75">
        <f>SUMIFS('caseload data'!R:R,'caseload data'!$A:$A,$B31,'caseload data'!$B:$B,"custody")</f>
        <v>0</v>
      </c>
      <c r="Q31" s="75">
        <f>SUMIFS('caseload data'!S:S,'caseload data'!$A:$A,$B31,'caseload data'!$B:$B,"custody")</f>
        <v>0</v>
      </c>
      <c r="R31" s="75">
        <f>SUMIFS('caseload data'!T:T,'caseload data'!$A:$A,$B31,'caseload data'!$B:$B,"custody")</f>
        <v>0</v>
      </c>
      <c r="S31" s="75">
        <f>SUMIFS('caseload data'!V:V,'caseload data'!$A:$A,B31,'caseload data'!$B:$B,"custody")</f>
        <v>0</v>
      </c>
      <c r="T31" s="91"/>
      <c r="U31" s="141" t="s">
        <v>25</v>
      </c>
      <c r="V31" s="66" t="e">
        <f>C31/$S$31</f>
        <v>#DIV/0!</v>
      </c>
      <c r="W31" s="66" t="e">
        <f t="shared" ref="W31:AB31" si="148">D31/$S$31</f>
        <v>#DIV/0!</v>
      </c>
      <c r="X31" s="66" t="e">
        <f t="shared" si="148"/>
        <v>#DIV/0!</v>
      </c>
      <c r="Y31" s="66" t="e">
        <f t="shared" si="148"/>
        <v>#DIV/0!</v>
      </c>
      <c r="Z31" s="66" t="e">
        <f t="shared" si="148"/>
        <v>#DIV/0!</v>
      </c>
      <c r="AA31" s="66" t="e">
        <f t="shared" si="148"/>
        <v>#DIV/0!</v>
      </c>
      <c r="AB31" s="66" t="e">
        <f t="shared" si="148"/>
        <v>#DIV/0!</v>
      </c>
      <c r="AC31" s="66" t="e">
        <f t="shared" ref="AC31" si="149">J31/$S$31</f>
        <v>#DIV/0!</v>
      </c>
      <c r="AD31" s="66" t="e">
        <f t="shared" ref="AD31" si="150">K31/$S$31</f>
        <v>#DIV/0!</v>
      </c>
      <c r="AE31" s="66" t="e">
        <f t="shared" ref="AE31" si="151">L31/$S$31</f>
        <v>#DIV/0!</v>
      </c>
      <c r="AF31" s="66" t="e">
        <f t="shared" ref="AF31" si="152">M31/$S$31</f>
        <v>#DIV/0!</v>
      </c>
      <c r="AG31" s="66" t="e">
        <f t="shared" ref="AG31:AH31" si="153">N31/$S$31</f>
        <v>#DIV/0!</v>
      </c>
      <c r="AH31" s="66" t="e">
        <f t="shared" si="153"/>
        <v>#DIV/0!</v>
      </c>
      <c r="AI31" s="66" t="e">
        <f t="shared" ref="AI31" si="154">P31/$S$31</f>
        <v>#DIV/0!</v>
      </c>
      <c r="AJ31" s="66" t="e">
        <f t="shared" ref="AJ31" si="155">Q31/$S$31</f>
        <v>#DIV/0!</v>
      </c>
      <c r="AK31" s="66" t="e">
        <f t="shared" ref="AK31" si="156">R31/$S$31</f>
        <v>#DIV/0!</v>
      </c>
    </row>
    <row r="32" spans="2:37" x14ac:dyDescent="0.15">
      <c r="B32" s="141" t="s">
        <v>26</v>
      </c>
      <c r="C32" s="75">
        <f>SUMIFS('caseload data'!E:E,'caseload data'!$A:$A,$B32,'caseload data'!$B:$B,"custody")</f>
        <v>0</v>
      </c>
      <c r="D32" s="75">
        <f>SUMIFS('caseload data'!F:F,'caseload data'!$A:$A,$B32,'caseload data'!$B:$B,"custody")</f>
        <v>0</v>
      </c>
      <c r="E32" s="75">
        <f>SUMIFS('caseload data'!G:G,'caseload data'!$A:$A,$B32,'caseload data'!$B:$B,"custody")</f>
        <v>0</v>
      </c>
      <c r="F32" s="75">
        <f>SUMIFS('caseload data'!H:H,'caseload data'!$A:$A,$B32,'caseload data'!$B:$B,"custody")</f>
        <v>0</v>
      </c>
      <c r="G32" s="75">
        <f>SUMIFS('caseload data'!I:I,'caseload data'!$A:$A,$B32,'caseload data'!$B:$B,"custody")</f>
        <v>0</v>
      </c>
      <c r="H32" s="75">
        <f>SUMIFS('caseload data'!J:J,'caseload data'!$A:$A,$B32,'caseload data'!$B:$B,"custody")</f>
        <v>0</v>
      </c>
      <c r="I32" s="75">
        <f>SUMIFS('caseload data'!K:K,'caseload data'!$A:$A,$B32,'caseload data'!$B:$B,"custody")</f>
        <v>0</v>
      </c>
      <c r="J32" s="75">
        <f>SUMIFS('caseload data'!L:L,'caseload data'!$A:$A,$B32,'caseload data'!$B:$B,"custody")</f>
        <v>0</v>
      </c>
      <c r="K32" s="75">
        <f>SUMIFS('caseload data'!M:M,'caseload data'!$A:$A,$B32,'caseload data'!$B:$B,"custody")</f>
        <v>0</v>
      </c>
      <c r="L32" s="75">
        <f>SUMIFS('caseload data'!N:N,'caseload data'!$A:$A,$B32,'caseload data'!$B:$B,"custody")</f>
        <v>0</v>
      </c>
      <c r="M32" s="75">
        <f>SUMIFS('caseload data'!O:O,'caseload data'!$A:$A,$B32,'caseload data'!$B:$B,"custody")</f>
        <v>0</v>
      </c>
      <c r="N32" s="75">
        <f>SUMIFS('caseload data'!P:P,'caseload data'!$A:$A,$B32,'caseload data'!$B:$B,"custody")</f>
        <v>0</v>
      </c>
      <c r="O32" s="75">
        <f>SUMIFS('caseload data'!Q:Q,'caseload data'!$A:$A,$B32,'caseload data'!$B:$B,"custody")</f>
        <v>0</v>
      </c>
      <c r="P32" s="75">
        <f>SUMIFS('caseload data'!R:R,'caseload data'!$A:$A,$B32,'caseload data'!$B:$B,"custody")</f>
        <v>0</v>
      </c>
      <c r="Q32" s="75">
        <f>SUMIFS('caseload data'!S:S,'caseload data'!$A:$A,$B32,'caseload data'!$B:$B,"custody")</f>
        <v>0</v>
      </c>
      <c r="R32" s="75">
        <f>SUMIFS('caseload data'!T:T,'caseload data'!$A:$A,$B32,'caseload data'!$B:$B,"custody")</f>
        <v>0</v>
      </c>
      <c r="S32" s="75">
        <f>SUMIFS('caseload data'!V:V,'caseload data'!$A:$A,B32,'caseload data'!$B:$B,"custody")</f>
        <v>0</v>
      </c>
      <c r="T32" s="91"/>
      <c r="U32" s="141" t="s">
        <v>26</v>
      </c>
      <c r="V32" s="66" t="e">
        <f>C32/$S$32</f>
        <v>#DIV/0!</v>
      </c>
      <c r="W32" s="66" t="e">
        <f t="shared" ref="W32:AB32" si="157">D32/$S$32</f>
        <v>#DIV/0!</v>
      </c>
      <c r="X32" s="66" t="e">
        <f t="shared" si="157"/>
        <v>#DIV/0!</v>
      </c>
      <c r="Y32" s="66" t="e">
        <f t="shared" si="157"/>
        <v>#DIV/0!</v>
      </c>
      <c r="Z32" s="66" t="e">
        <f t="shared" si="157"/>
        <v>#DIV/0!</v>
      </c>
      <c r="AA32" s="66" t="e">
        <f t="shared" si="157"/>
        <v>#DIV/0!</v>
      </c>
      <c r="AB32" s="66" t="e">
        <f t="shared" si="157"/>
        <v>#DIV/0!</v>
      </c>
      <c r="AC32" s="66" t="e">
        <f t="shared" ref="AC32" si="158">J32/$S$32</f>
        <v>#DIV/0!</v>
      </c>
      <c r="AD32" s="66" t="e">
        <f t="shared" ref="AD32" si="159">K32/$S$32</f>
        <v>#DIV/0!</v>
      </c>
      <c r="AE32" s="66" t="e">
        <f t="shared" ref="AE32" si="160">L32/$S$32</f>
        <v>#DIV/0!</v>
      </c>
      <c r="AF32" s="66" t="e">
        <f t="shared" ref="AF32" si="161">M32/$S$32</f>
        <v>#DIV/0!</v>
      </c>
      <c r="AG32" s="66" t="e">
        <f t="shared" ref="AG32:AH32" si="162">N32/$S$32</f>
        <v>#DIV/0!</v>
      </c>
      <c r="AH32" s="66" t="e">
        <f t="shared" si="162"/>
        <v>#DIV/0!</v>
      </c>
      <c r="AI32" s="66" t="e">
        <f t="shared" ref="AI32" si="163">P32/$S$32</f>
        <v>#DIV/0!</v>
      </c>
      <c r="AJ32" s="66" t="e">
        <f t="shared" ref="AJ32" si="164">Q32/$S$32</f>
        <v>#DIV/0!</v>
      </c>
      <c r="AK32" s="66" t="e">
        <f t="shared" ref="AK32" si="165">R32/$S$32</f>
        <v>#DIV/0!</v>
      </c>
    </row>
    <row r="33" spans="2:37" x14ac:dyDescent="0.15">
      <c r="B33" s="141" t="s">
        <v>27</v>
      </c>
      <c r="C33" s="75">
        <f>SUMIFS('caseload data'!E:E,'caseload data'!$A:$A,$B33,'caseload data'!$B:$B,"custody")</f>
        <v>0</v>
      </c>
      <c r="D33" s="75">
        <f>SUMIFS('caseload data'!F:F,'caseload data'!$A:$A,$B33,'caseload data'!$B:$B,"custody")</f>
        <v>0</v>
      </c>
      <c r="E33" s="75">
        <f>SUMIFS('caseload data'!G:G,'caseload data'!$A:$A,$B33,'caseload data'!$B:$B,"custody")</f>
        <v>0</v>
      </c>
      <c r="F33" s="75">
        <f>SUMIFS('caseload data'!H:H,'caseload data'!$A:$A,$B33,'caseload data'!$B:$B,"custody")</f>
        <v>0</v>
      </c>
      <c r="G33" s="75">
        <f>SUMIFS('caseload data'!I:I,'caseload data'!$A:$A,$B33,'caseload data'!$B:$B,"custody")</f>
        <v>0</v>
      </c>
      <c r="H33" s="75">
        <f>SUMIFS('caseload data'!J:J,'caseload data'!$A:$A,$B33,'caseload data'!$B:$B,"custody")</f>
        <v>0</v>
      </c>
      <c r="I33" s="75">
        <f>SUMIFS('caseload data'!K:K,'caseload data'!$A:$A,$B33,'caseload data'!$B:$B,"custody")</f>
        <v>0</v>
      </c>
      <c r="J33" s="75">
        <f>SUMIFS('caseload data'!L:L,'caseload data'!$A:$A,$B33,'caseload data'!$B:$B,"custody")</f>
        <v>0</v>
      </c>
      <c r="K33" s="75">
        <f>SUMIFS('caseload data'!M:M,'caseload data'!$A:$A,$B33,'caseload data'!$B:$B,"custody")</f>
        <v>0</v>
      </c>
      <c r="L33" s="75">
        <f>SUMIFS('caseload data'!N:N,'caseload data'!$A:$A,$B33,'caseload data'!$B:$B,"custody")</f>
        <v>0</v>
      </c>
      <c r="M33" s="75">
        <f>SUMIFS('caseload data'!O:O,'caseload data'!$A:$A,$B33,'caseload data'!$B:$B,"custody")</f>
        <v>0</v>
      </c>
      <c r="N33" s="75">
        <f>SUMIFS('caseload data'!P:P,'caseload data'!$A:$A,$B33,'caseload data'!$B:$B,"custody")</f>
        <v>0</v>
      </c>
      <c r="O33" s="75">
        <f>SUMIFS('caseload data'!Q:Q,'caseload data'!$A:$A,$B33,'caseload data'!$B:$B,"custody")</f>
        <v>0</v>
      </c>
      <c r="P33" s="75">
        <f>SUMIFS('caseload data'!R:R,'caseload data'!$A:$A,$B33,'caseload data'!$B:$B,"custody")</f>
        <v>0</v>
      </c>
      <c r="Q33" s="75">
        <f>SUMIFS('caseload data'!S:S,'caseload data'!$A:$A,$B33,'caseload data'!$B:$B,"custody")</f>
        <v>0</v>
      </c>
      <c r="R33" s="75">
        <f>SUMIFS('caseload data'!T:T,'caseload data'!$A:$A,$B33,'caseload data'!$B:$B,"custody")</f>
        <v>0</v>
      </c>
      <c r="S33" s="75">
        <f>SUMIFS('caseload data'!V:V,'caseload data'!$A:$A,B33,'caseload data'!$B:$B,"custody")</f>
        <v>0</v>
      </c>
      <c r="T33" s="91"/>
      <c r="U33" s="141" t="s">
        <v>27</v>
      </c>
      <c r="V33" s="66" t="e">
        <f>C33/$S$33</f>
        <v>#DIV/0!</v>
      </c>
      <c r="W33" s="66" t="e">
        <f t="shared" ref="W33:AB33" si="166">D33/$S$33</f>
        <v>#DIV/0!</v>
      </c>
      <c r="X33" s="66" t="e">
        <f t="shared" si="166"/>
        <v>#DIV/0!</v>
      </c>
      <c r="Y33" s="66" t="e">
        <f t="shared" si="166"/>
        <v>#DIV/0!</v>
      </c>
      <c r="Z33" s="66" t="e">
        <f t="shared" si="166"/>
        <v>#DIV/0!</v>
      </c>
      <c r="AA33" s="66" t="e">
        <f t="shared" si="166"/>
        <v>#DIV/0!</v>
      </c>
      <c r="AB33" s="66" t="e">
        <f t="shared" si="166"/>
        <v>#DIV/0!</v>
      </c>
      <c r="AC33" s="66" t="e">
        <f t="shared" ref="AC33" si="167">J33/$S$33</f>
        <v>#DIV/0!</v>
      </c>
      <c r="AD33" s="66" t="e">
        <f t="shared" ref="AD33" si="168">K33/$S$33</f>
        <v>#DIV/0!</v>
      </c>
      <c r="AE33" s="66" t="e">
        <f t="shared" ref="AE33" si="169">L33/$S$33</f>
        <v>#DIV/0!</v>
      </c>
      <c r="AF33" s="66" t="e">
        <f t="shared" ref="AF33" si="170">M33/$S$33</f>
        <v>#DIV/0!</v>
      </c>
      <c r="AG33" s="66" t="e">
        <f t="shared" ref="AG33:AH33" si="171">N33/$S$33</f>
        <v>#DIV/0!</v>
      </c>
      <c r="AH33" s="66" t="e">
        <f t="shared" si="171"/>
        <v>#DIV/0!</v>
      </c>
      <c r="AI33" s="66" t="e">
        <f t="shared" ref="AI33" si="172">P33/$S$33</f>
        <v>#DIV/0!</v>
      </c>
      <c r="AJ33" s="66" t="e">
        <f t="shared" ref="AJ33" si="173">Q33/$S$33</f>
        <v>#DIV/0!</v>
      </c>
      <c r="AK33" s="66" t="e">
        <f t="shared" ref="AK33" si="174">R33/$S$33</f>
        <v>#DIV/0!</v>
      </c>
    </row>
    <row r="34" spans="2:37" x14ac:dyDescent="0.15">
      <c r="B34" s="141" t="s">
        <v>28</v>
      </c>
      <c r="C34" s="75">
        <f>SUMIFS('caseload data'!E:E,'caseload data'!$A:$A,$B34,'caseload data'!$B:$B,"custody")</f>
        <v>0</v>
      </c>
      <c r="D34" s="75">
        <f>SUMIFS('caseload data'!F:F,'caseload data'!$A:$A,$B34,'caseload data'!$B:$B,"custody")</f>
        <v>0</v>
      </c>
      <c r="E34" s="75">
        <f>SUMIFS('caseload data'!G:G,'caseload data'!$A:$A,$B34,'caseload data'!$B:$B,"custody")</f>
        <v>0</v>
      </c>
      <c r="F34" s="75">
        <f>SUMIFS('caseload data'!H:H,'caseload data'!$A:$A,$B34,'caseload data'!$B:$B,"custody")</f>
        <v>0</v>
      </c>
      <c r="G34" s="75">
        <f>SUMIFS('caseload data'!I:I,'caseload data'!$A:$A,$B34,'caseload data'!$B:$B,"custody")</f>
        <v>0</v>
      </c>
      <c r="H34" s="75">
        <f>SUMIFS('caseload data'!J:J,'caseload data'!$A:$A,$B34,'caseload data'!$B:$B,"custody")</f>
        <v>0</v>
      </c>
      <c r="I34" s="75">
        <f>SUMIFS('caseload data'!K:K,'caseload data'!$A:$A,$B34,'caseload data'!$B:$B,"custody")</f>
        <v>0</v>
      </c>
      <c r="J34" s="75">
        <f>SUMIFS('caseload data'!L:L,'caseload data'!$A:$A,$B34,'caseload data'!$B:$B,"custody")</f>
        <v>0</v>
      </c>
      <c r="K34" s="75">
        <f>SUMIFS('caseload data'!M:M,'caseload data'!$A:$A,$B34,'caseload data'!$B:$B,"custody")</f>
        <v>0</v>
      </c>
      <c r="L34" s="75">
        <f>SUMIFS('caseload data'!N:N,'caseload data'!$A:$A,$B34,'caseload data'!$B:$B,"custody")</f>
        <v>0</v>
      </c>
      <c r="M34" s="75">
        <f>SUMIFS('caseload data'!O:O,'caseload data'!$A:$A,$B34,'caseload data'!$B:$B,"custody")</f>
        <v>0</v>
      </c>
      <c r="N34" s="75">
        <f>SUMIFS('caseload data'!P:P,'caseload data'!$A:$A,$B34,'caseload data'!$B:$B,"custody")</f>
        <v>0</v>
      </c>
      <c r="O34" s="75">
        <f>SUMIFS('caseload data'!Q:Q,'caseload data'!$A:$A,$B34,'caseload data'!$B:$B,"custody")</f>
        <v>0</v>
      </c>
      <c r="P34" s="75">
        <f>SUMIFS('caseload data'!R:R,'caseload data'!$A:$A,$B34,'caseload data'!$B:$B,"custody")</f>
        <v>0</v>
      </c>
      <c r="Q34" s="75">
        <f>SUMIFS('caseload data'!S:S,'caseload data'!$A:$A,$B34,'caseload data'!$B:$B,"custody")</f>
        <v>0</v>
      </c>
      <c r="R34" s="75">
        <f>SUMIFS('caseload data'!T:T,'caseload data'!$A:$A,$B34,'caseload data'!$B:$B,"custody")</f>
        <v>0</v>
      </c>
      <c r="S34" s="75">
        <f>SUMIFS('caseload data'!V:V,'caseload data'!$A:$A,B34,'caseload data'!$B:$B,"custody")</f>
        <v>0</v>
      </c>
      <c r="T34" s="91"/>
      <c r="U34" s="141" t="s">
        <v>28</v>
      </c>
      <c r="V34" s="66" t="e">
        <f>C34/$S$34</f>
        <v>#DIV/0!</v>
      </c>
      <c r="W34" s="66" t="e">
        <f t="shared" ref="W34:AB34" si="175">D34/$S$34</f>
        <v>#DIV/0!</v>
      </c>
      <c r="X34" s="66" t="e">
        <f t="shared" si="175"/>
        <v>#DIV/0!</v>
      </c>
      <c r="Y34" s="66" t="e">
        <f t="shared" si="175"/>
        <v>#DIV/0!</v>
      </c>
      <c r="Z34" s="66" t="e">
        <f t="shared" si="175"/>
        <v>#DIV/0!</v>
      </c>
      <c r="AA34" s="66" t="e">
        <f t="shared" si="175"/>
        <v>#DIV/0!</v>
      </c>
      <c r="AB34" s="66" t="e">
        <f t="shared" si="175"/>
        <v>#DIV/0!</v>
      </c>
      <c r="AC34" s="66" t="e">
        <f t="shared" ref="AC34" si="176">J34/$S$34</f>
        <v>#DIV/0!</v>
      </c>
      <c r="AD34" s="66" t="e">
        <f t="shared" ref="AD34" si="177">K34/$S$34</f>
        <v>#DIV/0!</v>
      </c>
      <c r="AE34" s="66" t="e">
        <f t="shared" ref="AE34" si="178">L34/$S$34</f>
        <v>#DIV/0!</v>
      </c>
      <c r="AF34" s="66" t="e">
        <f t="shared" ref="AF34" si="179">M34/$S$34</f>
        <v>#DIV/0!</v>
      </c>
      <c r="AG34" s="66" t="e">
        <f t="shared" ref="AG34:AH34" si="180">N34/$S$34</f>
        <v>#DIV/0!</v>
      </c>
      <c r="AH34" s="66" t="e">
        <f t="shared" si="180"/>
        <v>#DIV/0!</v>
      </c>
      <c r="AI34" s="66" t="e">
        <f t="shared" ref="AI34" si="181">P34/$S$34</f>
        <v>#DIV/0!</v>
      </c>
      <c r="AJ34" s="66" t="e">
        <f t="shared" ref="AJ34" si="182">Q34/$S$34</f>
        <v>#DIV/0!</v>
      </c>
      <c r="AK34" s="66" t="e">
        <f t="shared" ref="AK34" si="183">R34/$S$34</f>
        <v>#DIV/0!</v>
      </c>
    </row>
    <row r="35" spans="2:37" x14ac:dyDescent="0.15">
      <c r="B35" s="110" t="s">
        <v>1088</v>
      </c>
      <c r="C35" s="110">
        <f>SUMIF('caseload data'!$B:$B,"custody",'caseload data'!E:E)</f>
        <v>0</v>
      </c>
      <c r="D35" s="110">
        <f>SUMIF('caseload data'!$B:$B,"custody",'caseload data'!F:F)</f>
        <v>0</v>
      </c>
      <c r="E35" s="110">
        <f>SUMIF('caseload data'!$B:$B,"custody",'caseload data'!G:G)</f>
        <v>0</v>
      </c>
      <c r="F35" s="110">
        <f>SUMIF('caseload data'!$B:$B,"custody",'caseload data'!H:H)</f>
        <v>0</v>
      </c>
      <c r="G35" s="110">
        <f>SUMIF('caseload data'!$B:$B,"custody",'caseload data'!I:I)</f>
        <v>0</v>
      </c>
      <c r="H35" s="110">
        <f>SUMIF('caseload data'!$B:$B,"custody",'caseload data'!J:J)</f>
        <v>0</v>
      </c>
      <c r="I35" s="110">
        <f>SUMIF('caseload data'!$B:$B,"custody",'caseload data'!K:K)</f>
        <v>0</v>
      </c>
      <c r="J35" s="110">
        <f>SUMIF('caseload data'!$B:$B,"custody",'caseload data'!L:L)</f>
        <v>0</v>
      </c>
      <c r="K35" s="110">
        <f>SUMIF('caseload data'!$B:$B,"custody",'caseload data'!M:M)</f>
        <v>0</v>
      </c>
      <c r="L35" s="110">
        <f>SUMIF('caseload data'!$B:$B,"custody",'caseload data'!N:N)</f>
        <v>0</v>
      </c>
      <c r="M35" s="110">
        <f>SUMIF('caseload data'!$B:$B,"custody",'caseload data'!O:O)</f>
        <v>0</v>
      </c>
      <c r="N35" s="110">
        <f>SUMIF('caseload data'!$B:$B,"custody",'caseload data'!P:P)</f>
        <v>0</v>
      </c>
      <c r="O35" s="110">
        <f>SUMIF('caseload data'!$B:$B,"custody",'caseload data'!Q:Q)</f>
        <v>0</v>
      </c>
      <c r="P35" s="110">
        <f>SUMIF('caseload data'!$B:$B,"custody",'caseload data'!R:R)</f>
        <v>0</v>
      </c>
      <c r="Q35" s="110">
        <f>SUMIF('caseload data'!$B:$B,"custody",'caseload data'!S:S)</f>
        <v>0</v>
      </c>
      <c r="R35" s="110">
        <f>SUMIF('caseload data'!$B:$B,"custody",'caseload data'!T:T)</f>
        <v>0</v>
      </c>
      <c r="S35" s="110">
        <f>SUMIF('caseload data'!$B:$B,"custody",'caseload data'!V:V)</f>
        <v>0</v>
      </c>
      <c r="T35" s="91"/>
      <c r="U35" s="110" t="s">
        <v>1088</v>
      </c>
      <c r="V35" s="115" t="e">
        <f>C35/$S$35</f>
        <v>#DIV/0!</v>
      </c>
      <c r="W35" s="115" t="e">
        <f t="shared" ref="W35:AB35" si="184">D35/$S$35</f>
        <v>#DIV/0!</v>
      </c>
      <c r="X35" s="115" t="e">
        <f t="shared" si="184"/>
        <v>#DIV/0!</v>
      </c>
      <c r="Y35" s="115" t="e">
        <f t="shared" si="184"/>
        <v>#DIV/0!</v>
      </c>
      <c r="Z35" s="115" t="e">
        <f t="shared" si="184"/>
        <v>#DIV/0!</v>
      </c>
      <c r="AA35" s="115" t="e">
        <f t="shared" si="184"/>
        <v>#DIV/0!</v>
      </c>
      <c r="AB35" s="115" t="e">
        <f t="shared" si="184"/>
        <v>#DIV/0!</v>
      </c>
      <c r="AC35" s="115" t="e">
        <f t="shared" ref="AC35" si="185">J35/$S$35</f>
        <v>#DIV/0!</v>
      </c>
      <c r="AD35" s="115" t="e">
        <f t="shared" ref="AD35" si="186">K35/$S$35</f>
        <v>#DIV/0!</v>
      </c>
      <c r="AE35" s="115" t="e">
        <f t="shared" ref="AE35" si="187">L35/$S$35</f>
        <v>#DIV/0!</v>
      </c>
      <c r="AF35" s="115" t="e">
        <f t="shared" ref="AF35" si="188">M35/$S$35</f>
        <v>#DIV/0!</v>
      </c>
      <c r="AG35" s="115" t="e">
        <f t="shared" ref="AG35:AH35" si="189">N35/$S$35</f>
        <v>#DIV/0!</v>
      </c>
      <c r="AH35" s="115" t="e">
        <f t="shared" si="189"/>
        <v>#DIV/0!</v>
      </c>
      <c r="AI35" s="115" t="e">
        <f t="shared" ref="AI35" si="190">P35/$S$35</f>
        <v>#DIV/0!</v>
      </c>
      <c r="AJ35" s="115" t="e">
        <f t="shared" ref="AJ35" si="191">Q35/$S$35</f>
        <v>#DIV/0!</v>
      </c>
      <c r="AK35" s="115" t="e">
        <f t="shared" ref="AK35" si="192">R35/$S$35</f>
        <v>#DIV/0!</v>
      </c>
    </row>
    <row r="38" spans="2:37" ht="18" x14ac:dyDescent="0.2">
      <c r="C38" s="503" t="s">
        <v>1091</v>
      </c>
      <c r="D38" s="504"/>
      <c r="E38" s="504"/>
      <c r="F38" s="504"/>
      <c r="G38" s="504"/>
      <c r="H38" s="504"/>
      <c r="I38" s="504"/>
      <c r="J38" s="504"/>
      <c r="K38" s="504"/>
      <c r="L38" s="504"/>
      <c r="M38" s="504"/>
      <c r="N38" s="504"/>
      <c r="O38" s="504"/>
      <c r="P38" s="504"/>
      <c r="Q38" s="504"/>
      <c r="R38" s="504"/>
      <c r="S38" s="505"/>
      <c r="T38" s="1"/>
      <c r="U38" s="1"/>
      <c r="V38" s="503" t="s">
        <v>1092</v>
      </c>
      <c r="W38" s="504"/>
      <c r="X38" s="504"/>
      <c r="Y38" s="504"/>
      <c r="Z38" s="504"/>
      <c r="AA38" s="504"/>
      <c r="AB38" s="504"/>
      <c r="AC38" s="504"/>
      <c r="AD38" s="504"/>
      <c r="AE38" s="504"/>
      <c r="AF38" s="504"/>
      <c r="AG38" s="504"/>
      <c r="AH38" s="504"/>
      <c r="AI38" s="504"/>
      <c r="AJ38" s="504"/>
      <c r="AK38" s="504"/>
    </row>
    <row r="39" spans="2:37" ht="18.75" customHeight="1" x14ac:dyDescent="0.15">
      <c r="B39" s="139"/>
      <c r="C39" s="38" t="s">
        <v>869</v>
      </c>
      <c r="D39" s="38" t="s">
        <v>870</v>
      </c>
      <c r="E39" s="38" t="s">
        <v>871</v>
      </c>
      <c r="F39" s="38" t="s">
        <v>872</v>
      </c>
      <c r="G39" s="38" t="s">
        <v>873</v>
      </c>
      <c r="H39" s="38" t="s">
        <v>874</v>
      </c>
      <c r="I39" s="38" t="s">
        <v>875</v>
      </c>
      <c r="J39" s="38" t="s">
        <v>876</v>
      </c>
      <c r="K39" s="38" t="s">
        <v>877</v>
      </c>
      <c r="L39" s="38" t="s">
        <v>878</v>
      </c>
      <c r="M39" s="38" t="s">
        <v>879</v>
      </c>
      <c r="N39" s="38" t="s">
        <v>880</v>
      </c>
      <c r="O39" s="38" t="s">
        <v>881</v>
      </c>
      <c r="P39" s="38" t="s">
        <v>882</v>
      </c>
      <c r="Q39" s="38" t="s">
        <v>883</v>
      </c>
      <c r="R39" s="38" t="s">
        <v>884</v>
      </c>
      <c r="S39" s="39" t="s">
        <v>886</v>
      </c>
      <c r="T39" s="91"/>
      <c r="U39" s="231"/>
      <c r="V39" s="38" t="s">
        <v>869</v>
      </c>
      <c r="W39" s="38" t="s">
        <v>870</v>
      </c>
      <c r="X39" s="38" t="s">
        <v>871</v>
      </c>
      <c r="Y39" s="38" t="s">
        <v>872</v>
      </c>
      <c r="Z39" s="38" t="s">
        <v>873</v>
      </c>
      <c r="AA39" s="38" t="s">
        <v>874</v>
      </c>
      <c r="AB39" s="38" t="s">
        <v>875</v>
      </c>
      <c r="AC39" s="38" t="s">
        <v>876</v>
      </c>
      <c r="AD39" s="38" t="s">
        <v>877</v>
      </c>
      <c r="AE39" s="38" t="s">
        <v>878</v>
      </c>
      <c r="AF39" s="38" t="s">
        <v>879</v>
      </c>
      <c r="AG39" s="38" t="s">
        <v>880</v>
      </c>
      <c r="AH39" s="38" t="s">
        <v>881</v>
      </c>
      <c r="AI39" s="38" t="s">
        <v>882</v>
      </c>
      <c r="AJ39" s="38" t="s">
        <v>883</v>
      </c>
      <c r="AK39" s="38" t="s">
        <v>884</v>
      </c>
    </row>
    <row r="40" spans="2:37" x14ac:dyDescent="0.15">
      <c r="B40" s="141" t="s">
        <v>17</v>
      </c>
      <c r="C40" s="75">
        <f>SUMIFS('caseload data'!E:E,'caseload data'!$A:$A,$B40,'caseload data'!$B:$B,"licence")</f>
        <v>0</v>
      </c>
      <c r="D40" s="75">
        <f>SUMIFS('caseload data'!F:F,'caseload data'!$A:$A,$B40,'caseload data'!$B:$B,"licence")</f>
        <v>0</v>
      </c>
      <c r="E40" s="75">
        <f>SUMIFS('caseload data'!G:G,'caseload data'!$A:$A,$B40,'caseload data'!$B:$B,"licence")</f>
        <v>0</v>
      </c>
      <c r="F40" s="75">
        <f>SUMIFS('caseload data'!H:H,'caseload data'!$A:$A,$B40,'caseload data'!$B:$B,"licence")</f>
        <v>0</v>
      </c>
      <c r="G40" s="75">
        <f>SUMIFS('caseload data'!I:I,'caseload data'!$A:$A,$B40,'caseload data'!$B:$B,"licence")</f>
        <v>0</v>
      </c>
      <c r="H40" s="75">
        <f>SUMIFS('caseload data'!J:J,'caseload data'!$A:$A,$B40,'caseload data'!$B:$B,"licence")</f>
        <v>0</v>
      </c>
      <c r="I40" s="75">
        <f>SUMIFS('caseload data'!K:K,'caseload data'!$A:$A,$B40,'caseload data'!$B:$B,"licence")</f>
        <v>0</v>
      </c>
      <c r="J40" s="75">
        <f>SUMIFS('caseload data'!L:L,'caseload data'!$A:$A,$B40,'caseload data'!$B:$B,"licence")</f>
        <v>0</v>
      </c>
      <c r="K40" s="75">
        <f>SUMIFS('caseload data'!M:M,'caseload data'!$A:$A,$B40,'caseload data'!$B:$B,"licence")</f>
        <v>0</v>
      </c>
      <c r="L40" s="75">
        <f>SUMIFS('caseload data'!N:N,'caseload data'!$A:$A,$B40,'caseload data'!$B:$B,"licence")</f>
        <v>0</v>
      </c>
      <c r="M40" s="75">
        <f>SUMIFS('caseload data'!O:O,'caseload data'!$A:$A,$B40,'caseload data'!$B:$B,"licence")</f>
        <v>0</v>
      </c>
      <c r="N40" s="75">
        <f>SUMIFS('caseload data'!P:P,'caseload data'!$A:$A,$B40,'caseload data'!$B:$B,"licence")</f>
        <v>0</v>
      </c>
      <c r="O40" s="75">
        <f>SUMIFS('caseload data'!Q:Q,'caseload data'!$A:$A,$B40,'caseload data'!$B:$B,"licence")</f>
        <v>0</v>
      </c>
      <c r="P40" s="75">
        <f>SUMIFS('caseload data'!R:R,'caseload data'!$A:$A,$B40,'caseload data'!$B:$B,"licence")</f>
        <v>0</v>
      </c>
      <c r="Q40" s="75">
        <f>SUMIFS('caseload data'!S:S,'caseload data'!$A:$A,$B40,'caseload data'!$B:$B,"licence")</f>
        <v>0</v>
      </c>
      <c r="R40" s="75">
        <f>SUMIFS('caseload data'!T:T,'caseload data'!$A:$A,$B40,'caseload data'!$B:$B,"licence")</f>
        <v>0</v>
      </c>
      <c r="S40" s="75">
        <f>SUMIFS('caseload data'!V:V,'caseload data'!$A:$A,B40,'caseload data'!$B:$B,"licence")</f>
        <v>0</v>
      </c>
      <c r="T40" s="91"/>
      <c r="U40" s="141" t="s">
        <v>17</v>
      </c>
      <c r="V40" s="66" t="e">
        <f>C40/$S$40</f>
        <v>#DIV/0!</v>
      </c>
      <c r="W40" s="66" t="e">
        <f t="shared" ref="W40:AK40" si="193">D40/$S$40</f>
        <v>#DIV/0!</v>
      </c>
      <c r="X40" s="66" t="e">
        <f t="shared" si="193"/>
        <v>#DIV/0!</v>
      </c>
      <c r="Y40" s="66" t="e">
        <f t="shared" si="193"/>
        <v>#DIV/0!</v>
      </c>
      <c r="Z40" s="66" t="e">
        <f t="shared" si="193"/>
        <v>#DIV/0!</v>
      </c>
      <c r="AA40" s="66" t="e">
        <f t="shared" si="193"/>
        <v>#DIV/0!</v>
      </c>
      <c r="AB40" s="66" t="e">
        <f t="shared" si="193"/>
        <v>#DIV/0!</v>
      </c>
      <c r="AC40" s="66" t="e">
        <f t="shared" si="193"/>
        <v>#DIV/0!</v>
      </c>
      <c r="AD40" s="66" t="e">
        <f t="shared" si="193"/>
        <v>#DIV/0!</v>
      </c>
      <c r="AE40" s="66" t="e">
        <f t="shared" si="193"/>
        <v>#DIV/0!</v>
      </c>
      <c r="AF40" s="66" t="e">
        <f t="shared" si="193"/>
        <v>#DIV/0!</v>
      </c>
      <c r="AG40" s="66" t="e">
        <f t="shared" si="193"/>
        <v>#DIV/0!</v>
      </c>
      <c r="AH40" s="66" t="e">
        <f t="shared" si="193"/>
        <v>#DIV/0!</v>
      </c>
      <c r="AI40" s="66" t="e">
        <f t="shared" si="193"/>
        <v>#DIV/0!</v>
      </c>
      <c r="AJ40" s="66" t="e">
        <f t="shared" si="193"/>
        <v>#DIV/0!</v>
      </c>
      <c r="AK40" s="66" t="e">
        <f t="shared" si="193"/>
        <v>#DIV/0!</v>
      </c>
    </row>
    <row r="41" spans="2:37" x14ac:dyDescent="0.15">
      <c r="B41" s="141" t="s">
        <v>18</v>
      </c>
      <c r="C41" s="75">
        <f>SUMIFS('caseload data'!E:E,'caseload data'!$A:$A,$B41,'caseload data'!$B:$B,"licence")</f>
        <v>0</v>
      </c>
      <c r="D41" s="75">
        <f>SUMIFS('caseload data'!F:F,'caseload data'!$A:$A,$B41,'caseload data'!$B:$B,"licence")</f>
        <v>0</v>
      </c>
      <c r="E41" s="75">
        <f>SUMIFS('caseload data'!G:G,'caseload data'!$A:$A,$B41,'caseload data'!$B:$B,"licence")</f>
        <v>0</v>
      </c>
      <c r="F41" s="75">
        <f>SUMIFS('caseload data'!H:H,'caseload data'!$A:$A,$B41,'caseload data'!$B:$B,"licence")</f>
        <v>0</v>
      </c>
      <c r="G41" s="75">
        <f>SUMIFS('caseload data'!I:I,'caseload data'!$A:$A,$B41,'caseload data'!$B:$B,"licence")</f>
        <v>0</v>
      </c>
      <c r="H41" s="75">
        <f>SUMIFS('caseload data'!J:J,'caseload data'!$A:$A,$B41,'caseload data'!$B:$B,"licence")</f>
        <v>0</v>
      </c>
      <c r="I41" s="75">
        <f>SUMIFS('caseload data'!K:K,'caseload data'!$A:$A,$B41,'caseload data'!$B:$B,"licence")</f>
        <v>0</v>
      </c>
      <c r="J41" s="75">
        <f>SUMIFS('caseload data'!L:L,'caseload data'!$A:$A,$B41,'caseload data'!$B:$B,"licence")</f>
        <v>0</v>
      </c>
      <c r="K41" s="75">
        <f>SUMIFS('caseload data'!M:M,'caseload data'!$A:$A,$B41,'caseload data'!$B:$B,"licence")</f>
        <v>0</v>
      </c>
      <c r="L41" s="75">
        <f>SUMIFS('caseload data'!N:N,'caseload data'!$A:$A,$B41,'caseload data'!$B:$B,"licence")</f>
        <v>0</v>
      </c>
      <c r="M41" s="75">
        <f>SUMIFS('caseload data'!O:O,'caseload data'!$A:$A,$B41,'caseload data'!$B:$B,"licence")</f>
        <v>0</v>
      </c>
      <c r="N41" s="75">
        <f>SUMIFS('caseload data'!P:P,'caseload data'!$A:$A,$B41,'caseload data'!$B:$B,"licence")</f>
        <v>0</v>
      </c>
      <c r="O41" s="75">
        <f>SUMIFS('caseload data'!Q:Q,'caseload data'!$A:$A,$B41,'caseload data'!$B:$B,"licence")</f>
        <v>0</v>
      </c>
      <c r="P41" s="75">
        <f>SUMIFS('caseload data'!R:R,'caseload data'!$A:$A,$B41,'caseload data'!$B:$B,"licence")</f>
        <v>0</v>
      </c>
      <c r="Q41" s="75">
        <f>SUMIFS('caseload data'!S:S,'caseload data'!$A:$A,$B41,'caseload data'!$B:$B,"licence")</f>
        <v>0</v>
      </c>
      <c r="R41" s="75">
        <f>SUMIFS('caseload data'!T:T,'caseload data'!$A:$A,$B41,'caseload data'!$B:$B,"licence")</f>
        <v>0</v>
      </c>
      <c r="S41" s="75">
        <f>SUMIFS('caseload data'!V:V,'caseload data'!$A:$A,B41,'caseload data'!$B:$B,"licence")</f>
        <v>0</v>
      </c>
      <c r="T41" s="91"/>
      <c r="U41" s="141" t="s">
        <v>18</v>
      </c>
      <c r="V41" s="66" t="e">
        <f>C41/$S$41</f>
        <v>#DIV/0!</v>
      </c>
      <c r="W41" s="66" t="e">
        <f t="shared" ref="W41:AK41" si="194">D41/$S$41</f>
        <v>#DIV/0!</v>
      </c>
      <c r="X41" s="66" t="e">
        <f t="shared" si="194"/>
        <v>#DIV/0!</v>
      </c>
      <c r="Y41" s="66" t="e">
        <f t="shared" si="194"/>
        <v>#DIV/0!</v>
      </c>
      <c r="Z41" s="66" t="e">
        <f t="shared" si="194"/>
        <v>#DIV/0!</v>
      </c>
      <c r="AA41" s="66" t="e">
        <f t="shared" si="194"/>
        <v>#DIV/0!</v>
      </c>
      <c r="AB41" s="66" t="e">
        <f t="shared" si="194"/>
        <v>#DIV/0!</v>
      </c>
      <c r="AC41" s="66" t="e">
        <f t="shared" si="194"/>
        <v>#DIV/0!</v>
      </c>
      <c r="AD41" s="66" t="e">
        <f t="shared" si="194"/>
        <v>#DIV/0!</v>
      </c>
      <c r="AE41" s="66" t="e">
        <f t="shared" si="194"/>
        <v>#DIV/0!</v>
      </c>
      <c r="AF41" s="66" t="e">
        <f t="shared" si="194"/>
        <v>#DIV/0!</v>
      </c>
      <c r="AG41" s="66" t="e">
        <f t="shared" si="194"/>
        <v>#DIV/0!</v>
      </c>
      <c r="AH41" s="66" t="e">
        <f t="shared" si="194"/>
        <v>#DIV/0!</v>
      </c>
      <c r="AI41" s="66" t="e">
        <f t="shared" si="194"/>
        <v>#DIV/0!</v>
      </c>
      <c r="AJ41" s="66" t="e">
        <f t="shared" si="194"/>
        <v>#DIV/0!</v>
      </c>
      <c r="AK41" s="66" t="e">
        <f t="shared" si="194"/>
        <v>#DIV/0!</v>
      </c>
    </row>
    <row r="42" spans="2:37" x14ac:dyDescent="0.15">
      <c r="B42" s="141" t="s">
        <v>19</v>
      </c>
      <c r="C42" s="75">
        <f>SUMIFS('caseload data'!E:E,'caseload data'!$A:$A,$B42,'caseload data'!$B:$B,"licence")</f>
        <v>0</v>
      </c>
      <c r="D42" s="75">
        <f>SUMIFS('caseload data'!F:F,'caseload data'!$A:$A,$B42,'caseload data'!$B:$B,"licence")</f>
        <v>0</v>
      </c>
      <c r="E42" s="75">
        <f>SUMIFS('caseload data'!G:G,'caseload data'!$A:$A,$B42,'caseload data'!$B:$B,"licence")</f>
        <v>0</v>
      </c>
      <c r="F42" s="75">
        <f>SUMIFS('caseload data'!H:H,'caseload data'!$A:$A,$B42,'caseload data'!$B:$B,"licence")</f>
        <v>0</v>
      </c>
      <c r="G42" s="75">
        <f>SUMIFS('caseload data'!I:I,'caseload data'!$A:$A,$B42,'caseload data'!$B:$B,"licence")</f>
        <v>0</v>
      </c>
      <c r="H42" s="75">
        <f>SUMIFS('caseload data'!J:J,'caseload data'!$A:$A,$B42,'caseload data'!$B:$B,"licence")</f>
        <v>0</v>
      </c>
      <c r="I42" s="75">
        <f>SUMIFS('caseload data'!K:K,'caseload data'!$A:$A,$B42,'caseload data'!$B:$B,"licence")</f>
        <v>0</v>
      </c>
      <c r="J42" s="75">
        <f>SUMIFS('caseload data'!L:L,'caseload data'!$A:$A,$B42,'caseload data'!$B:$B,"licence")</f>
        <v>0</v>
      </c>
      <c r="K42" s="75">
        <f>SUMIFS('caseload data'!M:M,'caseload data'!$A:$A,$B42,'caseload data'!$B:$B,"licence")</f>
        <v>0</v>
      </c>
      <c r="L42" s="75">
        <f>SUMIFS('caseload data'!N:N,'caseload data'!$A:$A,$B42,'caseload data'!$B:$B,"licence")</f>
        <v>0</v>
      </c>
      <c r="M42" s="75">
        <f>SUMIFS('caseload data'!O:O,'caseload data'!$A:$A,$B42,'caseload data'!$B:$B,"licence")</f>
        <v>0</v>
      </c>
      <c r="N42" s="75">
        <f>SUMIFS('caseload data'!P:P,'caseload data'!$A:$A,$B42,'caseload data'!$B:$B,"licence")</f>
        <v>0</v>
      </c>
      <c r="O42" s="75">
        <f>SUMIFS('caseload data'!Q:Q,'caseload data'!$A:$A,$B42,'caseload data'!$B:$B,"licence")</f>
        <v>0</v>
      </c>
      <c r="P42" s="75">
        <f>SUMIFS('caseload data'!R:R,'caseload data'!$A:$A,$B42,'caseload data'!$B:$B,"licence")</f>
        <v>0</v>
      </c>
      <c r="Q42" s="75">
        <f>SUMIFS('caseload data'!S:S,'caseload data'!$A:$A,$B42,'caseload data'!$B:$B,"licence")</f>
        <v>0</v>
      </c>
      <c r="R42" s="75">
        <f>SUMIFS('caseload data'!T:T,'caseload data'!$A:$A,$B42,'caseload data'!$B:$B,"licence")</f>
        <v>0</v>
      </c>
      <c r="S42" s="75">
        <f>SUMIFS('caseload data'!V:V,'caseload data'!$A:$A,B42,'caseload data'!$B:$B,"licence")</f>
        <v>0</v>
      </c>
      <c r="T42" s="91"/>
      <c r="U42" s="141" t="s">
        <v>19</v>
      </c>
      <c r="V42" s="66" t="e">
        <f>C42/$S$42</f>
        <v>#DIV/0!</v>
      </c>
      <c r="W42" s="66" t="e">
        <f t="shared" ref="W42:AK42" si="195">D42/$S$42</f>
        <v>#DIV/0!</v>
      </c>
      <c r="X42" s="66" t="e">
        <f t="shared" si="195"/>
        <v>#DIV/0!</v>
      </c>
      <c r="Y42" s="66" t="e">
        <f t="shared" si="195"/>
        <v>#DIV/0!</v>
      </c>
      <c r="Z42" s="66" t="e">
        <f t="shared" si="195"/>
        <v>#DIV/0!</v>
      </c>
      <c r="AA42" s="66" t="e">
        <f t="shared" si="195"/>
        <v>#DIV/0!</v>
      </c>
      <c r="AB42" s="66" t="e">
        <f t="shared" si="195"/>
        <v>#DIV/0!</v>
      </c>
      <c r="AC42" s="66" t="e">
        <f t="shared" si="195"/>
        <v>#DIV/0!</v>
      </c>
      <c r="AD42" s="66" t="e">
        <f t="shared" si="195"/>
        <v>#DIV/0!</v>
      </c>
      <c r="AE42" s="66" t="e">
        <f t="shared" si="195"/>
        <v>#DIV/0!</v>
      </c>
      <c r="AF42" s="66" t="e">
        <f t="shared" si="195"/>
        <v>#DIV/0!</v>
      </c>
      <c r="AG42" s="66" t="e">
        <f t="shared" si="195"/>
        <v>#DIV/0!</v>
      </c>
      <c r="AH42" s="66" t="e">
        <f t="shared" si="195"/>
        <v>#DIV/0!</v>
      </c>
      <c r="AI42" s="66" t="e">
        <f t="shared" si="195"/>
        <v>#DIV/0!</v>
      </c>
      <c r="AJ42" s="66" t="e">
        <f t="shared" si="195"/>
        <v>#DIV/0!</v>
      </c>
      <c r="AK42" s="66" t="e">
        <f t="shared" si="195"/>
        <v>#DIV/0!</v>
      </c>
    </row>
    <row r="43" spans="2:37" x14ac:dyDescent="0.15">
      <c r="B43" s="141" t="s">
        <v>20</v>
      </c>
      <c r="C43" s="75">
        <f>SUMIFS('caseload data'!E:E,'caseload data'!$A:$A,$B43,'caseload data'!$B:$B,"licence")</f>
        <v>0</v>
      </c>
      <c r="D43" s="75">
        <f>SUMIFS('caseload data'!F:F,'caseload data'!$A:$A,$B43,'caseload data'!$B:$B,"licence")</f>
        <v>0</v>
      </c>
      <c r="E43" s="75">
        <f>SUMIFS('caseload data'!G:G,'caseload data'!$A:$A,$B43,'caseload data'!$B:$B,"licence")</f>
        <v>0</v>
      </c>
      <c r="F43" s="75">
        <f>SUMIFS('caseload data'!H:H,'caseload data'!$A:$A,$B43,'caseload data'!$B:$B,"licence")</f>
        <v>0</v>
      </c>
      <c r="G43" s="75">
        <f>SUMIFS('caseload data'!I:I,'caseload data'!$A:$A,$B43,'caseload data'!$B:$B,"licence")</f>
        <v>0</v>
      </c>
      <c r="H43" s="75">
        <f>SUMIFS('caseload data'!J:J,'caseload data'!$A:$A,$B43,'caseload data'!$B:$B,"licence")</f>
        <v>0</v>
      </c>
      <c r="I43" s="75">
        <f>SUMIFS('caseload data'!K:K,'caseload data'!$A:$A,$B43,'caseload data'!$B:$B,"licence")</f>
        <v>0</v>
      </c>
      <c r="J43" s="75">
        <f>SUMIFS('caseload data'!L:L,'caseload data'!$A:$A,$B43,'caseload data'!$B:$B,"licence")</f>
        <v>0</v>
      </c>
      <c r="K43" s="75">
        <f>SUMIFS('caseload data'!M:M,'caseload data'!$A:$A,$B43,'caseload data'!$B:$B,"licence")</f>
        <v>0</v>
      </c>
      <c r="L43" s="75">
        <f>SUMIFS('caseload data'!N:N,'caseload data'!$A:$A,$B43,'caseload data'!$B:$B,"licence")</f>
        <v>0</v>
      </c>
      <c r="M43" s="75">
        <f>SUMIFS('caseload data'!O:O,'caseload data'!$A:$A,$B43,'caseload data'!$B:$B,"licence")</f>
        <v>0</v>
      </c>
      <c r="N43" s="75">
        <f>SUMIFS('caseload data'!P:P,'caseload data'!$A:$A,$B43,'caseload data'!$B:$B,"licence")</f>
        <v>0</v>
      </c>
      <c r="O43" s="75">
        <f>SUMIFS('caseload data'!Q:Q,'caseload data'!$A:$A,$B43,'caseload data'!$B:$B,"licence")</f>
        <v>0</v>
      </c>
      <c r="P43" s="75">
        <f>SUMIFS('caseload data'!R:R,'caseload data'!$A:$A,$B43,'caseload data'!$B:$B,"licence")</f>
        <v>0</v>
      </c>
      <c r="Q43" s="75">
        <f>SUMIFS('caseload data'!S:S,'caseload data'!$A:$A,$B43,'caseload data'!$B:$B,"licence")</f>
        <v>0</v>
      </c>
      <c r="R43" s="75">
        <f>SUMIFS('caseload data'!T:T,'caseload data'!$A:$A,$B43,'caseload data'!$B:$B,"licence")</f>
        <v>0</v>
      </c>
      <c r="S43" s="75">
        <f>SUMIFS('caseload data'!V:V,'caseload data'!$A:$A,B43,'caseload data'!$B:$B,"licence")</f>
        <v>0</v>
      </c>
      <c r="T43" s="91"/>
      <c r="U43" s="141" t="s">
        <v>20</v>
      </c>
      <c r="V43" s="66" t="e">
        <f>C43/$S$43</f>
        <v>#DIV/0!</v>
      </c>
      <c r="W43" s="66" t="e">
        <f t="shared" ref="W43:AK43" si="196">D43/$S$43</f>
        <v>#DIV/0!</v>
      </c>
      <c r="X43" s="66" t="e">
        <f t="shared" si="196"/>
        <v>#DIV/0!</v>
      </c>
      <c r="Y43" s="66" t="e">
        <f t="shared" si="196"/>
        <v>#DIV/0!</v>
      </c>
      <c r="Z43" s="66" t="e">
        <f t="shared" si="196"/>
        <v>#DIV/0!</v>
      </c>
      <c r="AA43" s="66" t="e">
        <f t="shared" si="196"/>
        <v>#DIV/0!</v>
      </c>
      <c r="AB43" s="66" t="e">
        <f t="shared" si="196"/>
        <v>#DIV/0!</v>
      </c>
      <c r="AC43" s="66" t="e">
        <f t="shared" si="196"/>
        <v>#DIV/0!</v>
      </c>
      <c r="AD43" s="66" t="e">
        <f t="shared" si="196"/>
        <v>#DIV/0!</v>
      </c>
      <c r="AE43" s="66" t="e">
        <f t="shared" si="196"/>
        <v>#DIV/0!</v>
      </c>
      <c r="AF43" s="66" t="e">
        <f t="shared" si="196"/>
        <v>#DIV/0!</v>
      </c>
      <c r="AG43" s="66" t="e">
        <f t="shared" si="196"/>
        <v>#DIV/0!</v>
      </c>
      <c r="AH43" s="66" t="e">
        <f t="shared" si="196"/>
        <v>#DIV/0!</v>
      </c>
      <c r="AI43" s="66" t="e">
        <f t="shared" si="196"/>
        <v>#DIV/0!</v>
      </c>
      <c r="AJ43" s="66" t="e">
        <f t="shared" si="196"/>
        <v>#DIV/0!</v>
      </c>
      <c r="AK43" s="66" t="e">
        <f t="shared" si="196"/>
        <v>#DIV/0!</v>
      </c>
    </row>
    <row r="44" spans="2:37" x14ac:dyDescent="0.15">
      <c r="B44" s="141" t="s">
        <v>21</v>
      </c>
      <c r="C44" s="75">
        <f>SUMIFS('caseload data'!E:E,'caseload data'!$A:$A,$B44,'caseload data'!$B:$B,"licence")</f>
        <v>0</v>
      </c>
      <c r="D44" s="75">
        <f>SUMIFS('caseload data'!F:F,'caseload data'!$A:$A,$B44,'caseload data'!$B:$B,"licence")</f>
        <v>0</v>
      </c>
      <c r="E44" s="75">
        <f>SUMIFS('caseload data'!G:G,'caseload data'!$A:$A,$B44,'caseload data'!$B:$B,"licence")</f>
        <v>0</v>
      </c>
      <c r="F44" s="75">
        <f>SUMIFS('caseload data'!H:H,'caseload data'!$A:$A,$B44,'caseload data'!$B:$B,"licence")</f>
        <v>0</v>
      </c>
      <c r="G44" s="75">
        <f>SUMIFS('caseload data'!I:I,'caseload data'!$A:$A,$B44,'caseload data'!$B:$B,"licence")</f>
        <v>0</v>
      </c>
      <c r="H44" s="75">
        <f>SUMIFS('caseload data'!J:J,'caseload data'!$A:$A,$B44,'caseload data'!$B:$B,"licence")</f>
        <v>0</v>
      </c>
      <c r="I44" s="75">
        <f>SUMIFS('caseload data'!K:K,'caseload data'!$A:$A,$B44,'caseload data'!$B:$B,"licence")</f>
        <v>0</v>
      </c>
      <c r="J44" s="75">
        <f>SUMIFS('caseload data'!L:L,'caseload data'!$A:$A,$B44,'caseload data'!$B:$B,"licence")</f>
        <v>0</v>
      </c>
      <c r="K44" s="75">
        <f>SUMIFS('caseload data'!M:M,'caseload data'!$A:$A,$B44,'caseload data'!$B:$B,"licence")</f>
        <v>0</v>
      </c>
      <c r="L44" s="75">
        <f>SUMIFS('caseload data'!N:N,'caseload data'!$A:$A,$B44,'caseload data'!$B:$B,"licence")</f>
        <v>0</v>
      </c>
      <c r="M44" s="75">
        <f>SUMIFS('caseload data'!O:O,'caseload data'!$A:$A,$B44,'caseload data'!$B:$B,"licence")</f>
        <v>0</v>
      </c>
      <c r="N44" s="75">
        <f>SUMIFS('caseload data'!P:P,'caseload data'!$A:$A,$B44,'caseload data'!$B:$B,"licence")</f>
        <v>0</v>
      </c>
      <c r="O44" s="75">
        <f>SUMIFS('caseload data'!Q:Q,'caseload data'!$A:$A,$B44,'caseload data'!$B:$B,"licence")</f>
        <v>0</v>
      </c>
      <c r="P44" s="75">
        <f>SUMIFS('caseload data'!R:R,'caseload data'!$A:$A,$B44,'caseload data'!$B:$B,"licence")</f>
        <v>0</v>
      </c>
      <c r="Q44" s="75">
        <f>SUMIFS('caseload data'!S:S,'caseload data'!$A:$A,$B44,'caseload data'!$B:$B,"licence")</f>
        <v>0</v>
      </c>
      <c r="R44" s="75">
        <f>SUMIFS('caseload data'!T:T,'caseload data'!$A:$A,$B44,'caseload data'!$B:$B,"licence")</f>
        <v>0</v>
      </c>
      <c r="S44" s="75">
        <f>SUMIFS('caseload data'!V:V,'caseload data'!$A:$A,B44,'caseload data'!$B:$B,"licence")</f>
        <v>0</v>
      </c>
      <c r="T44" s="91"/>
      <c r="U44" s="141" t="s">
        <v>21</v>
      </c>
      <c r="V44" s="66" t="e">
        <f>C44/$S$44</f>
        <v>#DIV/0!</v>
      </c>
      <c r="W44" s="66" t="e">
        <f t="shared" ref="W44:AK44" si="197">D44/$S$44</f>
        <v>#DIV/0!</v>
      </c>
      <c r="X44" s="66" t="e">
        <f t="shared" si="197"/>
        <v>#DIV/0!</v>
      </c>
      <c r="Y44" s="66" t="e">
        <f t="shared" si="197"/>
        <v>#DIV/0!</v>
      </c>
      <c r="Z44" s="66" t="e">
        <f t="shared" si="197"/>
        <v>#DIV/0!</v>
      </c>
      <c r="AA44" s="66" t="e">
        <f t="shared" si="197"/>
        <v>#DIV/0!</v>
      </c>
      <c r="AB44" s="66" t="e">
        <f t="shared" si="197"/>
        <v>#DIV/0!</v>
      </c>
      <c r="AC44" s="66" t="e">
        <f t="shared" si="197"/>
        <v>#DIV/0!</v>
      </c>
      <c r="AD44" s="66" t="e">
        <f t="shared" si="197"/>
        <v>#DIV/0!</v>
      </c>
      <c r="AE44" s="66" t="e">
        <f t="shared" si="197"/>
        <v>#DIV/0!</v>
      </c>
      <c r="AF44" s="66" t="e">
        <f t="shared" si="197"/>
        <v>#DIV/0!</v>
      </c>
      <c r="AG44" s="66" t="e">
        <f t="shared" si="197"/>
        <v>#DIV/0!</v>
      </c>
      <c r="AH44" s="66" t="e">
        <f t="shared" si="197"/>
        <v>#DIV/0!</v>
      </c>
      <c r="AI44" s="66" t="e">
        <f t="shared" si="197"/>
        <v>#DIV/0!</v>
      </c>
      <c r="AJ44" s="66" t="e">
        <f t="shared" si="197"/>
        <v>#DIV/0!</v>
      </c>
      <c r="AK44" s="66" t="e">
        <f t="shared" si="197"/>
        <v>#DIV/0!</v>
      </c>
    </row>
    <row r="45" spans="2:37" x14ac:dyDescent="0.15">
      <c r="B45" s="141" t="s">
        <v>22</v>
      </c>
      <c r="C45" s="75">
        <f>SUMIFS('caseload data'!E:E,'caseload data'!$A:$A,$B45,'caseload data'!$B:$B,"licence")</f>
        <v>0</v>
      </c>
      <c r="D45" s="75">
        <f>SUMIFS('caseload data'!F:F,'caseload data'!$A:$A,$B45,'caseload data'!$B:$B,"licence")</f>
        <v>0</v>
      </c>
      <c r="E45" s="75">
        <f>SUMIFS('caseload data'!G:G,'caseload data'!$A:$A,$B45,'caseload data'!$B:$B,"licence")</f>
        <v>0</v>
      </c>
      <c r="F45" s="75">
        <f>SUMIFS('caseload data'!H:H,'caseload data'!$A:$A,$B45,'caseload data'!$B:$B,"licence")</f>
        <v>0</v>
      </c>
      <c r="G45" s="75">
        <f>SUMIFS('caseload data'!I:I,'caseload data'!$A:$A,$B45,'caseload data'!$B:$B,"licence")</f>
        <v>0</v>
      </c>
      <c r="H45" s="75">
        <f>SUMIFS('caseload data'!J:J,'caseload data'!$A:$A,$B45,'caseload data'!$B:$B,"licence")</f>
        <v>0</v>
      </c>
      <c r="I45" s="75">
        <f>SUMIFS('caseload data'!K:K,'caseload data'!$A:$A,$B45,'caseload data'!$B:$B,"licence")</f>
        <v>0</v>
      </c>
      <c r="J45" s="75">
        <f>SUMIFS('caseload data'!L:L,'caseload data'!$A:$A,$B45,'caseload data'!$B:$B,"licence")</f>
        <v>0</v>
      </c>
      <c r="K45" s="75">
        <f>SUMIFS('caseload data'!M:M,'caseload data'!$A:$A,$B45,'caseload data'!$B:$B,"licence")</f>
        <v>0</v>
      </c>
      <c r="L45" s="75">
        <f>SUMIFS('caseload data'!N:N,'caseload data'!$A:$A,$B45,'caseload data'!$B:$B,"licence")</f>
        <v>0</v>
      </c>
      <c r="M45" s="75">
        <f>SUMIFS('caseload data'!O:O,'caseload data'!$A:$A,$B45,'caseload data'!$B:$B,"licence")</f>
        <v>0</v>
      </c>
      <c r="N45" s="75">
        <f>SUMIFS('caseload data'!P:P,'caseload data'!$A:$A,$B45,'caseload data'!$B:$B,"licence")</f>
        <v>0</v>
      </c>
      <c r="O45" s="75">
        <f>SUMIFS('caseload data'!Q:Q,'caseload data'!$A:$A,$B45,'caseload data'!$B:$B,"licence")</f>
        <v>0</v>
      </c>
      <c r="P45" s="75">
        <f>SUMIFS('caseload data'!R:R,'caseload data'!$A:$A,$B45,'caseload data'!$B:$B,"licence")</f>
        <v>0</v>
      </c>
      <c r="Q45" s="75">
        <f>SUMIFS('caseload data'!S:S,'caseload data'!$A:$A,$B45,'caseload data'!$B:$B,"licence")</f>
        <v>0</v>
      </c>
      <c r="R45" s="75">
        <f>SUMIFS('caseload data'!T:T,'caseload data'!$A:$A,$B45,'caseload data'!$B:$B,"licence")</f>
        <v>0</v>
      </c>
      <c r="S45" s="75">
        <f>SUMIFS('caseload data'!V:V,'caseload data'!$A:$A,B45,'caseload data'!$B:$B,"licence")</f>
        <v>0</v>
      </c>
      <c r="T45" s="91"/>
      <c r="U45" s="141" t="s">
        <v>22</v>
      </c>
      <c r="V45" s="66" t="e">
        <f>C45/$S$45</f>
        <v>#DIV/0!</v>
      </c>
      <c r="W45" s="66" t="e">
        <f t="shared" ref="W45:AK45" si="198">D45/$S$45</f>
        <v>#DIV/0!</v>
      </c>
      <c r="X45" s="66" t="e">
        <f t="shared" si="198"/>
        <v>#DIV/0!</v>
      </c>
      <c r="Y45" s="66" t="e">
        <f t="shared" si="198"/>
        <v>#DIV/0!</v>
      </c>
      <c r="Z45" s="66" t="e">
        <f t="shared" si="198"/>
        <v>#DIV/0!</v>
      </c>
      <c r="AA45" s="66" t="e">
        <f t="shared" si="198"/>
        <v>#DIV/0!</v>
      </c>
      <c r="AB45" s="66" t="e">
        <f t="shared" si="198"/>
        <v>#DIV/0!</v>
      </c>
      <c r="AC45" s="66" t="e">
        <f t="shared" si="198"/>
        <v>#DIV/0!</v>
      </c>
      <c r="AD45" s="66" t="e">
        <f t="shared" si="198"/>
        <v>#DIV/0!</v>
      </c>
      <c r="AE45" s="66" t="e">
        <f t="shared" si="198"/>
        <v>#DIV/0!</v>
      </c>
      <c r="AF45" s="66" t="e">
        <f t="shared" si="198"/>
        <v>#DIV/0!</v>
      </c>
      <c r="AG45" s="66" t="e">
        <f t="shared" si="198"/>
        <v>#DIV/0!</v>
      </c>
      <c r="AH45" s="66" t="e">
        <f t="shared" si="198"/>
        <v>#DIV/0!</v>
      </c>
      <c r="AI45" s="66" t="e">
        <f t="shared" si="198"/>
        <v>#DIV/0!</v>
      </c>
      <c r="AJ45" s="66" t="e">
        <f t="shared" si="198"/>
        <v>#DIV/0!</v>
      </c>
      <c r="AK45" s="66" t="e">
        <f t="shared" si="198"/>
        <v>#DIV/0!</v>
      </c>
    </row>
    <row r="46" spans="2:37" x14ac:dyDescent="0.15">
      <c r="B46" s="141" t="s">
        <v>23</v>
      </c>
      <c r="C46" s="75">
        <f>SUMIFS('caseload data'!E:E,'caseload data'!$A:$A,$B46,'caseload data'!$B:$B,"licence")</f>
        <v>0</v>
      </c>
      <c r="D46" s="75">
        <f>SUMIFS('caseload data'!F:F,'caseload data'!$A:$A,$B46,'caseload data'!$B:$B,"licence")</f>
        <v>0</v>
      </c>
      <c r="E46" s="75">
        <f>SUMIFS('caseload data'!G:G,'caseload data'!$A:$A,$B46,'caseload data'!$B:$B,"licence")</f>
        <v>0</v>
      </c>
      <c r="F46" s="75">
        <f>SUMIFS('caseload data'!H:H,'caseload data'!$A:$A,$B46,'caseload data'!$B:$B,"licence")</f>
        <v>0</v>
      </c>
      <c r="G46" s="75">
        <f>SUMIFS('caseload data'!I:I,'caseload data'!$A:$A,$B46,'caseload data'!$B:$B,"licence")</f>
        <v>0</v>
      </c>
      <c r="H46" s="75">
        <f>SUMIFS('caseload data'!J:J,'caseload data'!$A:$A,$B46,'caseload data'!$B:$B,"licence")</f>
        <v>0</v>
      </c>
      <c r="I46" s="75">
        <f>SUMIFS('caseload data'!K:K,'caseload data'!$A:$A,$B46,'caseload data'!$B:$B,"licence")</f>
        <v>0</v>
      </c>
      <c r="J46" s="75">
        <f>SUMIFS('caseload data'!L:L,'caseload data'!$A:$A,$B46,'caseload data'!$B:$B,"licence")</f>
        <v>0</v>
      </c>
      <c r="K46" s="75">
        <f>SUMIFS('caseload data'!M:M,'caseload data'!$A:$A,$B46,'caseload data'!$B:$B,"licence")</f>
        <v>0</v>
      </c>
      <c r="L46" s="75">
        <f>SUMIFS('caseload data'!N:N,'caseload data'!$A:$A,$B46,'caseload data'!$B:$B,"licence")</f>
        <v>0</v>
      </c>
      <c r="M46" s="75">
        <f>SUMIFS('caseload data'!O:O,'caseload data'!$A:$A,$B46,'caseload data'!$B:$B,"licence")</f>
        <v>0</v>
      </c>
      <c r="N46" s="75">
        <f>SUMIFS('caseload data'!P:P,'caseload data'!$A:$A,$B46,'caseload data'!$B:$B,"licence")</f>
        <v>0</v>
      </c>
      <c r="O46" s="75">
        <f>SUMIFS('caseload data'!Q:Q,'caseload data'!$A:$A,$B46,'caseload data'!$B:$B,"licence")</f>
        <v>0</v>
      </c>
      <c r="P46" s="75">
        <f>SUMIFS('caseload data'!R:R,'caseload data'!$A:$A,$B46,'caseload data'!$B:$B,"licence")</f>
        <v>0</v>
      </c>
      <c r="Q46" s="75">
        <f>SUMIFS('caseload data'!S:S,'caseload data'!$A:$A,$B46,'caseload data'!$B:$B,"licence")</f>
        <v>0</v>
      </c>
      <c r="R46" s="75">
        <f>SUMIFS('caseload data'!T:T,'caseload data'!$A:$A,$B46,'caseload data'!$B:$B,"licence")</f>
        <v>0</v>
      </c>
      <c r="S46" s="75">
        <f>SUMIFS('caseload data'!V:V,'caseload data'!$A:$A,B46,'caseload data'!$B:$B,"licence")</f>
        <v>0</v>
      </c>
      <c r="T46" s="91"/>
      <c r="U46" s="141" t="s">
        <v>23</v>
      </c>
      <c r="V46" s="66" t="e">
        <f>C46/$S$46</f>
        <v>#DIV/0!</v>
      </c>
      <c r="W46" s="66" t="e">
        <f t="shared" ref="W46:AK46" si="199">D46/$S$46</f>
        <v>#DIV/0!</v>
      </c>
      <c r="X46" s="66" t="e">
        <f t="shared" si="199"/>
        <v>#DIV/0!</v>
      </c>
      <c r="Y46" s="66" t="e">
        <f t="shared" si="199"/>
        <v>#DIV/0!</v>
      </c>
      <c r="Z46" s="66" t="e">
        <f t="shared" si="199"/>
        <v>#DIV/0!</v>
      </c>
      <c r="AA46" s="66" t="e">
        <f t="shared" si="199"/>
        <v>#DIV/0!</v>
      </c>
      <c r="AB46" s="66" t="e">
        <f t="shared" si="199"/>
        <v>#DIV/0!</v>
      </c>
      <c r="AC46" s="66" t="e">
        <f t="shared" si="199"/>
        <v>#DIV/0!</v>
      </c>
      <c r="AD46" s="66" t="e">
        <f t="shared" si="199"/>
        <v>#DIV/0!</v>
      </c>
      <c r="AE46" s="66" t="e">
        <f t="shared" si="199"/>
        <v>#DIV/0!</v>
      </c>
      <c r="AF46" s="66" t="e">
        <f t="shared" si="199"/>
        <v>#DIV/0!</v>
      </c>
      <c r="AG46" s="66" t="e">
        <f t="shared" si="199"/>
        <v>#DIV/0!</v>
      </c>
      <c r="AH46" s="66" t="e">
        <f t="shared" si="199"/>
        <v>#DIV/0!</v>
      </c>
      <c r="AI46" s="66" t="e">
        <f t="shared" si="199"/>
        <v>#DIV/0!</v>
      </c>
      <c r="AJ46" s="66" t="e">
        <f t="shared" si="199"/>
        <v>#DIV/0!</v>
      </c>
      <c r="AK46" s="66" t="e">
        <f t="shared" si="199"/>
        <v>#DIV/0!</v>
      </c>
    </row>
    <row r="47" spans="2:37" x14ac:dyDescent="0.15">
      <c r="B47" s="141" t="s">
        <v>24</v>
      </c>
      <c r="C47" s="75">
        <f>SUMIFS('caseload data'!E:E,'caseload data'!$A:$A,$B47,'caseload data'!$B:$B,"licence")</f>
        <v>0</v>
      </c>
      <c r="D47" s="75">
        <f>SUMIFS('caseload data'!F:F,'caseload data'!$A:$A,$B47,'caseload data'!$B:$B,"licence")</f>
        <v>0</v>
      </c>
      <c r="E47" s="75">
        <f>SUMIFS('caseload data'!G:G,'caseload data'!$A:$A,$B47,'caseload data'!$B:$B,"licence")</f>
        <v>0</v>
      </c>
      <c r="F47" s="75">
        <f>SUMIFS('caseload data'!H:H,'caseload data'!$A:$A,$B47,'caseload data'!$B:$B,"licence")</f>
        <v>0</v>
      </c>
      <c r="G47" s="75">
        <f>SUMIFS('caseload data'!I:I,'caseload data'!$A:$A,$B47,'caseload data'!$B:$B,"licence")</f>
        <v>0</v>
      </c>
      <c r="H47" s="75">
        <f>SUMIFS('caseload data'!J:J,'caseload data'!$A:$A,$B47,'caseload data'!$B:$B,"licence")</f>
        <v>0</v>
      </c>
      <c r="I47" s="75">
        <f>SUMIFS('caseload data'!K:K,'caseload data'!$A:$A,$B47,'caseload data'!$B:$B,"licence")</f>
        <v>0</v>
      </c>
      <c r="J47" s="75">
        <f>SUMIFS('caseload data'!L:L,'caseload data'!$A:$A,$B47,'caseload data'!$B:$B,"licence")</f>
        <v>0</v>
      </c>
      <c r="K47" s="75">
        <f>SUMIFS('caseload data'!M:M,'caseload data'!$A:$A,$B47,'caseload data'!$B:$B,"licence")</f>
        <v>0</v>
      </c>
      <c r="L47" s="75">
        <f>SUMIFS('caseload data'!N:N,'caseload data'!$A:$A,$B47,'caseload data'!$B:$B,"licence")</f>
        <v>0</v>
      </c>
      <c r="M47" s="75">
        <f>SUMIFS('caseload data'!O:O,'caseload data'!$A:$A,$B47,'caseload data'!$B:$B,"licence")</f>
        <v>0</v>
      </c>
      <c r="N47" s="75">
        <f>SUMIFS('caseload data'!P:P,'caseload data'!$A:$A,$B47,'caseload data'!$B:$B,"licence")</f>
        <v>0</v>
      </c>
      <c r="O47" s="75">
        <f>SUMIFS('caseload data'!Q:Q,'caseload data'!$A:$A,$B47,'caseload data'!$B:$B,"licence")</f>
        <v>0</v>
      </c>
      <c r="P47" s="75">
        <f>SUMIFS('caseload data'!R:R,'caseload data'!$A:$A,$B47,'caseload data'!$B:$B,"licence")</f>
        <v>0</v>
      </c>
      <c r="Q47" s="75">
        <f>SUMIFS('caseload data'!S:S,'caseload data'!$A:$A,$B47,'caseload data'!$B:$B,"licence")</f>
        <v>0</v>
      </c>
      <c r="R47" s="75">
        <f>SUMIFS('caseload data'!T:T,'caseload data'!$A:$A,$B47,'caseload data'!$B:$B,"licence")</f>
        <v>0</v>
      </c>
      <c r="S47" s="75">
        <f>SUMIFS('caseload data'!V:V,'caseload data'!$A:$A,B47,'caseload data'!$B:$B,"licence")</f>
        <v>0</v>
      </c>
      <c r="T47" s="91"/>
      <c r="U47" s="141" t="s">
        <v>24</v>
      </c>
      <c r="V47" s="66" t="e">
        <f t="shared" ref="V47:AK47" si="200">C47/$S$47</f>
        <v>#DIV/0!</v>
      </c>
      <c r="W47" s="66" t="e">
        <f t="shared" si="200"/>
        <v>#DIV/0!</v>
      </c>
      <c r="X47" s="66" t="e">
        <f t="shared" si="200"/>
        <v>#DIV/0!</v>
      </c>
      <c r="Y47" s="66" t="e">
        <f t="shared" si="200"/>
        <v>#DIV/0!</v>
      </c>
      <c r="Z47" s="66" t="e">
        <f t="shared" si="200"/>
        <v>#DIV/0!</v>
      </c>
      <c r="AA47" s="66" t="e">
        <f t="shared" si="200"/>
        <v>#DIV/0!</v>
      </c>
      <c r="AB47" s="66" t="e">
        <f t="shared" si="200"/>
        <v>#DIV/0!</v>
      </c>
      <c r="AC47" s="66" t="e">
        <f t="shared" si="200"/>
        <v>#DIV/0!</v>
      </c>
      <c r="AD47" s="66" t="e">
        <f t="shared" si="200"/>
        <v>#DIV/0!</v>
      </c>
      <c r="AE47" s="66" t="e">
        <f t="shared" si="200"/>
        <v>#DIV/0!</v>
      </c>
      <c r="AF47" s="66" t="e">
        <f t="shared" si="200"/>
        <v>#DIV/0!</v>
      </c>
      <c r="AG47" s="66" t="e">
        <f t="shared" si="200"/>
        <v>#DIV/0!</v>
      </c>
      <c r="AH47" s="66" t="e">
        <f t="shared" si="200"/>
        <v>#DIV/0!</v>
      </c>
      <c r="AI47" s="66" t="e">
        <f t="shared" si="200"/>
        <v>#DIV/0!</v>
      </c>
      <c r="AJ47" s="66" t="e">
        <f t="shared" si="200"/>
        <v>#DIV/0!</v>
      </c>
      <c r="AK47" s="66" t="e">
        <f t="shared" si="200"/>
        <v>#DIV/0!</v>
      </c>
    </row>
    <row r="48" spans="2:37" x14ac:dyDescent="0.15">
      <c r="B48" s="141" t="s">
        <v>25</v>
      </c>
      <c r="C48" s="75">
        <f>SUMIFS('caseload data'!E:E,'caseload data'!$A:$A,$B48,'caseload data'!$B:$B,"licence")</f>
        <v>0</v>
      </c>
      <c r="D48" s="75">
        <f>SUMIFS('caseload data'!F:F,'caseload data'!$A:$A,$B48,'caseload data'!$B:$B,"licence")</f>
        <v>0</v>
      </c>
      <c r="E48" s="75">
        <f>SUMIFS('caseload data'!G:G,'caseload data'!$A:$A,$B48,'caseload data'!$B:$B,"licence")</f>
        <v>0</v>
      </c>
      <c r="F48" s="75">
        <f>SUMIFS('caseload data'!H:H,'caseload data'!$A:$A,$B48,'caseload data'!$B:$B,"licence")</f>
        <v>0</v>
      </c>
      <c r="G48" s="75">
        <f>SUMIFS('caseload data'!I:I,'caseload data'!$A:$A,$B48,'caseload data'!$B:$B,"licence")</f>
        <v>0</v>
      </c>
      <c r="H48" s="75">
        <f>SUMIFS('caseload data'!J:J,'caseload data'!$A:$A,$B48,'caseload data'!$B:$B,"licence")</f>
        <v>0</v>
      </c>
      <c r="I48" s="75">
        <f>SUMIFS('caseload data'!K:K,'caseload data'!$A:$A,$B48,'caseload data'!$B:$B,"licence")</f>
        <v>0</v>
      </c>
      <c r="J48" s="75">
        <f>SUMIFS('caseload data'!L:L,'caseload data'!$A:$A,$B48,'caseload data'!$B:$B,"licence")</f>
        <v>0</v>
      </c>
      <c r="K48" s="75">
        <f>SUMIFS('caseload data'!M:M,'caseload data'!$A:$A,$B48,'caseload data'!$B:$B,"licence")</f>
        <v>0</v>
      </c>
      <c r="L48" s="75">
        <f>SUMIFS('caseload data'!N:N,'caseload data'!$A:$A,$B48,'caseload data'!$B:$B,"licence")</f>
        <v>0</v>
      </c>
      <c r="M48" s="75">
        <f>SUMIFS('caseload data'!O:O,'caseload data'!$A:$A,$B48,'caseload data'!$B:$B,"licence")</f>
        <v>0</v>
      </c>
      <c r="N48" s="75">
        <f>SUMIFS('caseload data'!P:P,'caseload data'!$A:$A,$B48,'caseload data'!$B:$B,"licence")</f>
        <v>0</v>
      </c>
      <c r="O48" s="75">
        <f>SUMIFS('caseload data'!Q:Q,'caseload data'!$A:$A,$B48,'caseload data'!$B:$B,"licence")</f>
        <v>0</v>
      </c>
      <c r="P48" s="75">
        <f>SUMIFS('caseload data'!R:R,'caseload data'!$A:$A,$B48,'caseload data'!$B:$B,"licence")</f>
        <v>0</v>
      </c>
      <c r="Q48" s="75">
        <f>SUMIFS('caseload data'!S:S,'caseload data'!$A:$A,$B48,'caseload data'!$B:$B,"licence")</f>
        <v>0</v>
      </c>
      <c r="R48" s="75">
        <f>SUMIFS('caseload data'!T:T,'caseload data'!$A:$A,$B48,'caseload data'!$B:$B,"licence")</f>
        <v>0</v>
      </c>
      <c r="S48" s="75">
        <f>SUMIFS('caseload data'!V:V,'caseload data'!$A:$A,B48,'caseload data'!$B:$B,"licence")</f>
        <v>0</v>
      </c>
      <c r="T48" s="91"/>
      <c r="U48" s="141" t="s">
        <v>1093</v>
      </c>
      <c r="V48" s="66" t="e">
        <f t="shared" ref="V48:AK48" si="201">C48/$S$48</f>
        <v>#DIV/0!</v>
      </c>
      <c r="W48" s="66" t="e">
        <f t="shared" si="201"/>
        <v>#DIV/0!</v>
      </c>
      <c r="X48" s="66" t="e">
        <f t="shared" si="201"/>
        <v>#DIV/0!</v>
      </c>
      <c r="Y48" s="66" t="e">
        <f t="shared" si="201"/>
        <v>#DIV/0!</v>
      </c>
      <c r="Z48" s="66" t="e">
        <f t="shared" si="201"/>
        <v>#DIV/0!</v>
      </c>
      <c r="AA48" s="66" t="e">
        <f t="shared" si="201"/>
        <v>#DIV/0!</v>
      </c>
      <c r="AB48" s="66" t="e">
        <f t="shared" si="201"/>
        <v>#DIV/0!</v>
      </c>
      <c r="AC48" s="66" t="e">
        <f t="shared" si="201"/>
        <v>#DIV/0!</v>
      </c>
      <c r="AD48" s="66" t="e">
        <f t="shared" si="201"/>
        <v>#DIV/0!</v>
      </c>
      <c r="AE48" s="66" t="e">
        <f t="shared" si="201"/>
        <v>#DIV/0!</v>
      </c>
      <c r="AF48" s="66" t="e">
        <f t="shared" si="201"/>
        <v>#DIV/0!</v>
      </c>
      <c r="AG48" s="66" t="e">
        <f t="shared" si="201"/>
        <v>#DIV/0!</v>
      </c>
      <c r="AH48" s="66" t="e">
        <f t="shared" si="201"/>
        <v>#DIV/0!</v>
      </c>
      <c r="AI48" s="66" t="e">
        <f t="shared" si="201"/>
        <v>#DIV/0!</v>
      </c>
      <c r="AJ48" s="66" t="e">
        <f t="shared" si="201"/>
        <v>#DIV/0!</v>
      </c>
      <c r="AK48" s="66" t="e">
        <f t="shared" si="201"/>
        <v>#DIV/0!</v>
      </c>
    </row>
    <row r="49" spans="2:37" x14ac:dyDescent="0.15">
      <c r="B49" s="141" t="s">
        <v>26</v>
      </c>
      <c r="C49" s="75">
        <f>SUMIFS('caseload data'!E:E,'caseload data'!$A:$A,$B49,'caseload data'!$B:$B,"licence")</f>
        <v>0</v>
      </c>
      <c r="D49" s="75">
        <f>SUMIFS('caseload data'!F:F,'caseload data'!$A:$A,$B49,'caseload data'!$B:$B,"licence")</f>
        <v>0</v>
      </c>
      <c r="E49" s="75">
        <f>SUMIFS('caseload data'!G:G,'caseload data'!$A:$A,$B49,'caseload data'!$B:$B,"licence")</f>
        <v>0</v>
      </c>
      <c r="F49" s="75">
        <f>SUMIFS('caseload data'!H:H,'caseload data'!$A:$A,$B49,'caseload data'!$B:$B,"licence")</f>
        <v>0</v>
      </c>
      <c r="G49" s="75">
        <f>SUMIFS('caseload data'!I:I,'caseload data'!$A:$A,$B49,'caseload data'!$B:$B,"licence")</f>
        <v>0</v>
      </c>
      <c r="H49" s="75">
        <f>SUMIFS('caseload data'!J:J,'caseload data'!$A:$A,$B49,'caseload data'!$B:$B,"licence")</f>
        <v>0</v>
      </c>
      <c r="I49" s="75">
        <f>SUMIFS('caseload data'!K:K,'caseload data'!$A:$A,$B49,'caseload data'!$B:$B,"licence")</f>
        <v>0</v>
      </c>
      <c r="J49" s="75">
        <f>SUMIFS('caseload data'!L:L,'caseload data'!$A:$A,$B49,'caseload data'!$B:$B,"licence")</f>
        <v>0</v>
      </c>
      <c r="K49" s="75">
        <f>SUMIFS('caseload data'!M:M,'caseload data'!$A:$A,$B49,'caseload data'!$B:$B,"licence")</f>
        <v>0</v>
      </c>
      <c r="L49" s="75">
        <f>SUMIFS('caseload data'!N:N,'caseload data'!$A:$A,$B49,'caseload data'!$B:$B,"licence")</f>
        <v>0</v>
      </c>
      <c r="M49" s="75">
        <f>SUMIFS('caseload data'!O:O,'caseload data'!$A:$A,$B49,'caseload data'!$B:$B,"licence")</f>
        <v>0</v>
      </c>
      <c r="N49" s="75">
        <f>SUMIFS('caseload data'!P:P,'caseload data'!$A:$A,$B49,'caseload data'!$B:$B,"licence")</f>
        <v>0</v>
      </c>
      <c r="O49" s="75">
        <f>SUMIFS('caseload data'!Q:Q,'caseload data'!$A:$A,$B49,'caseload data'!$B:$B,"licence")</f>
        <v>0</v>
      </c>
      <c r="P49" s="75">
        <f>SUMIFS('caseload data'!R:R,'caseload data'!$A:$A,$B49,'caseload data'!$B:$B,"licence")</f>
        <v>0</v>
      </c>
      <c r="Q49" s="75">
        <f>SUMIFS('caseload data'!S:S,'caseload data'!$A:$A,$B49,'caseload data'!$B:$B,"licence")</f>
        <v>0</v>
      </c>
      <c r="R49" s="75">
        <f>SUMIFS('caseload data'!T:T,'caseload data'!$A:$A,$B49,'caseload data'!$B:$B,"licence")</f>
        <v>0</v>
      </c>
      <c r="S49" s="75">
        <f>SUMIFS('caseload data'!V:V,'caseload data'!$A:$A,B49,'caseload data'!$B:$B,"licence")</f>
        <v>0</v>
      </c>
      <c r="T49" s="91"/>
      <c r="U49" s="141" t="s">
        <v>26</v>
      </c>
      <c r="V49" s="66" t="e">
        <f>C49/$S$49</f>
        <v>#DIV/0!</v>
      </c>
      <c r="W49" s="66" t="e">
        <f t="shared" ref="W49:AK49" si="202">D49/$S$49</f>
        <v>#DIV/0!</v>
      </c>
      <c r="X49" s="66" t="e">
        <f t="shared" si="202"/>
        <v>#DIV/0!</v>
      </c>
      <c r="Y49" s="66" t="e">
        <f t="shared" si="202"/>
        <v>#DIV/0!</v>
      </c>
      <c r="Z49" s="66" t="e">
        <f t="shared" si="202"/>
        <v>#DIV/0!</v>
      </c>
      <c r="AA49" s="66" t="e">
        <f t="shared" si="202"/>
        <v>#DIV/0!</v>
      </c>
      <c r="AB49" s="66" t="e">
        <f t="shared" si="202"/>
        <v>#DIV/0!</v>
      </c>
      <c r="AC49" s="66" t="e">
        <f t="shared" si="202"/>
        <v>#DIV/0!</v>
      </c>
      <c r="AD49" s="66" t="e">
        <f t="shared" si="202"/>
        <v>#DIV/0!</v>
      </c>
      <c r="AE49" s="66" t="e">
        <f t="shared" si="202"/>
        <v>#DIV/0!</v>
      </c>
      <c r="AF49" s="66" t="e">
        <f t="shared" si="202"/>
        <v>#DIV/0!</v>
      </c>
      <c r="AG49" s="66" t="e">
        <f t="shared" si="202"/>
        <v>#DIV/0!</v>
      </c>
      <c r="AH49" s="66" t="e">
        <f t="shared" si="202"/>
        <v>#DIV/0!</v>
      </c>
      <c r="AI49" s="66" t="e">
        <f t="shared" si="202"/>
        <v>#DIV/0!</v>
      </c>
      <c r="AJ49" s="66" t="e">
        <f t="shared" si="202"/>
        <v>#DIV/0!</v>
      </c>
      <c r="AK49" s="66" t="e">
        <f t="shared" si="202"/>
        <v>#DIV/0!</v>
      </c>
    </row>
    <row r="50" spans="2:37" x14ac:dyDescent="0.15">
      <c r="B50" s="141" t="s">
        <v>27</v>
      </c>
      <c r="C50" s="75">
        <f>SUMIFS('caseload data'!E:E,'caseload data'!$A:$A,$B50,'caseload data'!$B:$B,"licence")</f>
        <v>0</v>
      </c>
      <c r="D50" s="75">
        <f>SUMIFS('caseload data'!F:F,'caseload data'!$A:$A,$B50,'caseload data'!$B:$B,"licence")</f>
        <v>0</v>
      </c>
      <c r="E50" s="75">
        <f>SUMIFS('caseload data'!G:G,'caseload data'!$A:$A,$B50,'caseload data'!$B:$B,"licence")</f>
        <v>0</v>
      </c>
      <c r="F50" s="75">
        <f>SUMIFS('caseload data'!H:H,'caseload data'!$A:$A,$B50,'caseload data'!$B:$B,"licence")</f>
        <v>0</v>
      </c>
      <c r="G50" s="75">
        <f>SUMIFS('caseload data'!I:I,'caseload data'!$A:$A,$B50,'caseload data'!$B:$B,"licence")</f>
        <v>0</v>
      </c>
      <c r="H50" s="75">
        <f>SUMIFS('caseload data'!J:J,'caseload data'!$A:$A,$B50,'caseload data'!$B:$B,"licence")</f>
        <v>0</v>
      </c>
      <c r="I50" s="75">
        <f>SUMIFS('caseload data'!K:K,'caseload data'!$A:$A,$B50,'caseload data'!$B:$B,"licence")</f>
        <v>0</v>
      </c>
      <c r="J50" s="75">
        <f>SUMIFS('caseload data'!L:L,'caseload data'!$A:$A,$B50,'caseload data'!$B:$B,"licence")</f>
        <v>0</v>
      </c>
      <c r="K50" s="75">
        <f>SUMIFS('caseload data'!M:M,'caseload data'!$A:$A,$B50,'caseload data'!$B:$B,"licence")</f>
        <v>0</v>
      </c>
      <c r="L50" s="75">
        <f>SUMIFS('caseload data'!N:N,'caseload data'!$A:$A,$B50,'caseload data'!$B:$B,"licence")</f>
        <v>0</v>
      </c>
      <c r="M50" s="75">
        <f>SUMIFS('caseload data'!O:O,'caseload data'!$A:$A,$B50,'caseload data'!$B:$B,"licence")</f>
        <v>0</v>
      </c>
      <c r="N50" s="75">
        <f>SUMIFS('caseload data'!P:P,'caseload data'!$A:$A,$B50,'caseload data'!$B:$B,"licence")</f>
        <v>0</v>
      </c>
      <c r="O50" s="75">
        <f>SUMIFS('caseload data'!Q:Q,'caseload data'!$A:$A,$B50,'caseload data'!$B:$B,"licence")</f>
        <v>0</v>
      </c>
      <c r="P50" s="75">
        <f>SUMIFS('caseload data'!R:R,'caseload data'!$A:$A,$B50,'caseload data'!$B:$B,"licence")</f>
        <v>0</v>
      </c>
      <c r="Q50" s="75">
        <f>SUMIFS('caseload data'!S:S,'caseload data'!$A:$A,$B50,'caseload data'!$B:$B,"licence")</f>
        <v>0</v>
      </c>
      <c r="R50" s="75">
        <f>SUMIFS('caseload data'!T:T,'caseload data'!$A:$A,$B50,'caseload data'!$B:$B,"licence")</f>
        <v>0</v>
      </c>
      <c r="S50" s="75">
        <f>SUMIFS('caseload data'!V:V,'caseload data'!$A:$A,B50,'caseload data'!$B:$B,"licence")</f>
        <v>0</v>
      </c>
      <c r="T50" s="91"/>
      <c r="U50" s="141" t="s">
        <v>27</v>
      </c>
      <c r="V50" s="66" t="e">
        <f>C50/$S$50</f>
        <v>#DIV/0!</v>
      </c>
      <c r="W50" s="66" t="e">
        <f t="shared" ref="W50:AK50" si="203">D50/$S$50</f>
        <v>#DIV/0!</v>
      </c>
      <c r="X50" s="66" t="e">
        <f t="shared" si="203"/>
        <v>#DIV/0!</v>
      </c>
      <c r="Y50" s="66" t="e">
        <f t="shared" si="203"/>
        <v>#DIV/0!</v>
      </c>
      <c r="Z50" s="66" t="e">
        <f t="shared" si="203"/>
        <v>#DIV/0!</v>
      </c>
      <c r="AA50" s="66" t="e">
        <f t="shared" si="203"/>
        <v>#DIV/0!</v>
      </c>
      <c r="AB50" s="66" t="e">
        <f t="shared" si="203"/>
        <v>#DIV/0!</v>
      </c>
      <c r="AC50" s="66" t="e">
        <f t="shared" si="203"/>
        <v>#DIV/0!</v>
      </c>
      <c r="AD50" s="66" t="e">
        <f t="shared" si="203"/>
        <v>#DIV/0!</v>
      </c>
      <c r="AE50" s="66" t="e">
        <f t="shared" si="203"/>
        <v>#DIV/0!</v>
      </c>
      <c r="AF50" s="66" t="e">
        <f t="shared" si="203"/>
        <v>#DIV/0!</v>
      </c>
      <c r="AG50" s="66" t="e">
        <f t="shared" si="203"/>
        <v>#DIV/0!</v>
      </c>
      <c r="AH50" s="66" t="e">
        <f t="shared" si="203"/>
        <v>#DIV/0!</v>
      </c>
      <c r="AI50" s="66" t="e">
        <f t="shared" si="203"/>
        <v>#DIV/0!</v>
      </c>
      <c r="AJ50" s="66" t="e">
        <f t="shared" si="203"/>
        <v>#DIV/0!</v>
      </c>
      <c r="AK50" s="66" t="e">
        <f t="shared" si="203"/>
        <v>#DIV/0!</v>
      </c>
    </row>
    <row r="51" spans="2:37" x14ac:dyDescent="0.15">
      <c r="B51" s="141" t="s">
        <v>28</v>
      </c>
      <c r="C51" s="75">
        <f>SUMIFS('caseload data'!E:E,'caseload data'!$A:$A,$B51,'caseload data'!$B:$B,"licence")</f>
        <v>0</v>
      </c>
      <c r="D51" s="75">
        <f>SUMIFS('caseload data'!F:F,'caseload data'!$A:$A,$B51,'caseload data'!$B:$B,"licence")</f>
        <v>0</v>
      </c>
      <c r="E51" s="75">
        <f>SUMIFS('caseload data'!G:G,'caseload data'!$A:$A,$B51,'caseload data'!$B:$B,"licence")</f>
        <v>0</v>
      </c>
      <c r="F51" s="75">
        <f>SUMIFS('caseload data'!H:H,'caseload data'!$A:$A,$B51,'caseload data'!$B:$B,"licence")</f>
        <v>0</v>
      </c>
      <c r="G51" s="75">
        <f>SUMIFS('caseload data'!I:I,'caseload data'!$A:$A,$B51,'caseload data'!$B:$B,"licence")</f>
        <v>0</v>
      </c>
      <c r="H51" s="75">
        <f>SUMIFS('caseload data'!J:J,'caseload data'!$A:$A,$B51,'caseload data'!$B:$B,"licence")</f>
        <v>0</v>
      </c>
      <c r="I51" s="75">
        <f>SUMIFS('caseload data'!K:K,'caseload data'!$A:$A,$B51,'caseload data'!$B:$B,"licence")</f>
        <v>0</v>
      </c>
      <c r="J51" s="75">
        <f>SUMIFS('caseload data'!L:L,'caseload data'!$A:$A,$B51,'caseload data'!$B:$B,"licence")</f>
        <v>0</v>
      </c>
      <c r="K51" s="75">
        <f>SUMIFS('caseload data'!M:M,'caseload data'!$A:$A,$B51,'caseload data'!$B:$B,"licence")</f>
        <v>0</v>
      </c>
      <c r="L51" s="75">
        <f>SUMIFS('caseload data'!N:N,'caseload data'!$A:$A,$B51,'caseload data'!$B:$B,"licence")</f>
        <v>0</v>
      </c>
      <c r="M51" s="75">
        <f>SUMIFS('caseload data'!O:O,'caseload data'!$A:$A,$B51,'caseload data'!$B:$B,"licence")</f>
        <v>0</v>
      </c>
      <c r="N51" s="75">
        <f>SUMIFS('caseload data'!P:P,'caseload data'!$A:$A,$B51,'caseload data'!$B:$B,"licence")</f>
        <v>0</v>
      </c>
      <c r="O51" s="75">
        <f>SUMIFS('caseload data'!Q:Q,'caseload data'!$A:$A,$B51,'caseload data'!$B:$B,"licence")</f>
        <v>0</v>
      </c>
      <c r="P51" s="75">
        <f>SUMIFS('caseload data'!R:R,'caseload data'!$A:$A,$B51,'caseload data'!$B:$B,"licence")</f>
        <v>0</v>
      </c>
      <c r="Q51" s="75">
        <f>SUMIFS('caseload data'!S:S,'caseload data'!$A:$A,$B51,'caseload data'!$B:$B,"licence")</f>
        <v>0</v>
      </c>
      <c r="R51" s="75">
        <f>SUMIFS('caseload data'!T:T,'caseload data'!$A:$A,$B51,'caseload data'!$B:$B,"licence")</f>
        <v>0</v>
      </c>
      <c r="S51" s="75">
        <f>SUMIFS('caseload data'!V:V,'caseload data'!$A:$A,B51,'caseload data'!$B:$B,"licence")</f>
        <v>0</v>
      </c>
      <c r="T51" s="91"/>
      <c r="U51" s="141" t="s">
        <v>28</v>
      </c>
      <c r="V51" s="66" t="e">
        <f>C51/$S$51</f>
        <v>#DIV/0!</v>
      </c>
      <c r="W51" s="66" t="e">
        <f t="shared" ref="W51:AK51" si="204">D51/$S$51</f>
        <v>#DIV/0!</v>
      </c>
      <c r="X51" s="66" t="e">
        <f t="shared" si="204"/>
        <v>#DIV/0!</v>
      </c>
      <c r="Y51" s="66" t="e">
        <f t="shared" si="204"/>
        <v>#DIV/0!</v>
      </c>
      <c r="Z51" s="66" t="e">
        <f t="shared" si="204"/>
        <v>#DIV/0!</v>
      </c>
      <c r="AA51" s="66" t="e">
        <f t="shared" si="204"/>
        <v>#DIV/0!</v>
      </c>
      <c r="AB51" s="66" t="e">
        <f t="shared" si="204"/>
        <v>#DIV/0!</v>
      </c>
      <c r="AC51" s="66" t="e">
        <f t="shared" si="204"/>
        <v>#DIV/0!</v>
      </c>
      <c r="AD51" s="66" t="e">
        <f t="shared" si="204"/>
        <v>#DIV/0!</v>
      </c>
      <c r="AE51" s="66" t="e">
        <f t="shared" si="204"/>
        <v>#DIV/0!</v>
      </c>
      <c r="AF51" s="66" t="e">
        <f t="shared" si="204"/>
        <v>#DIV/0!</v>
      </c>
      <c r="AG51" s="66" t="e">
        <f t="shared" si="204"/>
        <v>#DIV/0!</v>
      </c>
      <c r="AH51" s="66" t="e">
        <f t="shared" si="204"/>
        <v>#DIV/0!</v>
      </c>
      <c r="AI51" s="66" t="e">
        <f t="shared" si="204"/>
        <v>#DIV/0!</v>
      </c>
      <c r="AJ51" s="66" t="e">
        <f t="shared" si="204"/>
        <v>#DIV/0!</v>
      </c>
      <c r="AK51" s="66" t="e">
        <f t="shared" si="204"/>
        <v>#DIV/0!</v>
      </c>
    </row>
    <row r="52" spans="2:37" x14ac:dyDescent="0.15">
      <c r="B52" s="110" t="s">
        <v>1088</v>
      </c>
      <c r="C52" s="110">
        <f>SUMIF('caseload data'!$B:$B,"licence",'caseload data'!E:E)</f>
        <v>0</v>
      </c>
      <c r="D52" s="110">
        <f>SUMIF('caseload data'!$B:$B,"licence",'caseload data'!F:F)</f>
        <v>0</v>
      </c>
      <c r="E52" s="110">
        <f>SUMIF('caseload data'!$B:$B,"licence",'caseload data'!G:G)</f>
        <v>0</v>
      </c>
      <c r="F52" s="110">
        <f>SUMIF('caseload data'!$B:$B,"licence",'caseload data'!H:H)</f>
        <v>0</v>
      </c>
      <c r="G52" s="110">
        <f>SUMIF('caseload data'!$B:$B,"licence",'caseload data'!I:I)</f>
        <v>0</v>
      </c>
      <c r="H52" s="110">
        <f>SUMIF('caseload data'!$B:$B,"licence",'caseload data'!J:J)</f>
        <v>0</v>
      </c>
      <c r="I52" s="110">
        <f>SUMIF('caseload data'!$B:$B,"licence",'caseload data'!K:K)</f>
        <v>0</v>
      </c>
      <c r="J52" s="110">
        <f>SUMIF('caseload data'!$B:$B,"licence",'caseload data'!L:L)</f>
        <v>0</v>
      </c>
      <c r="K52" s="110">
        <f>SUMIF('caseload data'!$B:$B,"licence",'caseload data'!M:M)</f>
        <v>0</v>
      </c>
      <c r="L52" s="110">
        <f>SUMIF('caseload data'!$B:$B,"licence",'caseload data'!N:N)</f>
        <v>0</v>
      </c>
      <c r="M52" s="110">
        <f>SUMIF('caseload data'!$B:$B,"licence",'caseload data'!O:O)</f>
        <v>0</v>
      </c>
      <c r="N52" s="110">
        <f>SUMIF('caseload data'!$B:$B,"licence",'caseload data'!P:P)</f>
        <v>0</v>
      </c>
      <c r="O52" s="110">
        <f>SUMIF('caseload data'!$B:$B,"licence",'caseload data'!Q:Q)</f>
        <v>0</v>
      </c>
      <c r="P52" s="110">
        <f>SUMIF('caseload data'!$B:$B,"licence",'caseload data'!R:R)</f>
        <v>0</v>
      </c>
      <c r="Q52" s="110">
        <f>SUMIF('caseload data'!$B:$B,"licence",'caseload data'!S:S)</f>
        <v>0</v>
      </c>
      <c r="R52" s="110">
        <f>SUMIF('caseload data'!$B:$B,"licence",'caseload data'!T:T)</f>
        <v>0</v>
      </c>
      <c r="S52" s="110">
        <f>SUMIF('caseload data'!$B:$B,"licence",'caseload data'!V:V)</f>
        <v>0</v>
      </c>
      <c r="T52" s="91"/>
      <c r="U52" s="110" t="s">
        <v>1088</v>
      </c>
      <c r="V52" s="115" t="e">
        <f>C52/$S$52</f>
        <v>#DIV/0!</v>
      </c>
      <c r="W52" s="115" t="e">
        <f t="shared" ref="W52:AK52" si="205">D52/$S$52</f>
        <v>#DIV/0!</v>
      </c>
      <c r="X52" s="115" t="e">
        <f t="shared" si="205"/>
        <v>#DIV/0!</v>
      </c>
      <c r="Y52" s="115" t="e">
        <f t="shared" si="205"/>
        <v>#DIV/0!</v>
      </c>
      <c r="Z52" s="115" t="e">
        <f t="shared" si="205"/>
        <v>#DIV/0!</v>
      </c>
      <c r="AA52" s="115" t="e">
        <f t="shared" si="205"/>
        <v>#DIV/0!</v>
      </c>
      <c r="AB52" s="115" t="e">
        <f t="shared" si="205"/>
        <v>#DIV/0!</v>
      </c>
      <c r="AC52" s="115" t="e">
        <f t="shared" si="205"/>
        <v>#DIV/0!</v>
      </c>
      <c r="AD52" s="115" t="e">
        <f t="shared" si="205"/>
        <v>#DIV/0!</v>
      </c>
      <c r="AE52" s="115" t="e">
        <f t="shared" si="205"/>
        <v>#DIV/0!</v>
      </c>
      <c r="AF52" s="115" t="e">
        <f t="shared" si="205"/>
        <v>#DIV/0!</v>
      </c>
      <c r="AG52" s="115" t="e">
        <f t="shared" si="205"/>
        <v>#DIV/0!</v>
      </c>
      <c r="AH52" s="115" t="e">
        <f t="shared" si="205"/>
        <v>#DIV/0!</v>
      </c>
      <c r="AI52" s="115" t="e">
        <f t="shared" si="205"/>
        <v>#DIV/0!</v>
      </c>
      <c r="AJ52" s="115" t="e">
        <f t="shared" si="205"/>
        <v>#DIV/0!</v>
      </c>
      <c r="AK52" s="115" t="e">
        <f t="shared" si="205"/>
        <v>#DIV/0!</v>
      </c>
    </row>
    <row r="54" spans="2:37" ht="22.5" customHeight="1" x14ac:dyDescent="0.2">
      <c r="C54" s="503" t="s">
        <v>1094</v>
      </c>
      <c r="D54" s="504"/>
      <c r="E54" s="504"/>
      <c r="F54" s="504"/>
      <c r="G54" s="504"/>
      <c r="H54" s="504"/>
      <c r="I54" s="504"/>
      <c r="J54" s="504"/>
      <c r="K54" s="504"/>
      <c r="L54" s="504"/>
      <c r="M54" s="504"/>
      <c r="N54" s="504"/>
      <c r="O54" s="504"/>
      <c r="P54" s="504"/>
      <c r="Q54" s="504"/>
      <c r="R54" s="504"/>
      <c r="S54" s="505"/>
      <c r="V54" s="503" t="s">
        <v>1095</v>
      </c>
      <c r="W54" s="504"/>
      <c r="X54" s="504"/>
      <c r="Y54" s="504"/>
      <c r="Z54" s="504"/>
      <c r="AA54" s="504"/>
      <c r="AB54" s="504"/>
      <c r="AC54" s="504"/>
      <c r="AD54" s="504"/>
      <c r="AE54" s="504"/>
      <c r="AF54" s="504"/>
      <c r="AG54" s="504"/>
      <c r="AH54" s="504"/>
      <c r="AI54" s="504"/>
      <c r="AJ54" s="504"/>
      <c r="AK54" s="504"/>
    </row>
    <row r="55" spans="2:37" ht="15.75" customHeight="1" x14ac:dyDescent="0.15">
      <c r="B55" s="139"/>
      <c r="C55" s="38" t="s">
        <v>869</v>
      </c>
      <c r="D55" s="38" t="s">
        <v>870</v>
      </c>
      <c r="E55" s="38" t="s">
        <v>871</v>
      </c>
      <c r="F55" s="38" t="s">
        <v>872</v>
      </c>
      <c r="G55" s="38" t="s">
        <v>873</v>
      </c>
      <c r="H55" s="38" t="s">
        <v>874</v>
      </c>
      <c r="I55" s="38" t="s">
        <v>875</v>
      </c>
      <c r="J55" s="38" t="s">
        <v>876</v>
      </c>
      <c r="K55" s="38" t="s">
        <v>877</v>
      </c>
      <c r="L55" s="38" t="s">
        <v>878</v>
      </c>
      <c r="M55" s="38" t="s">
        <v>879</v>
      </c>
      <c r="N55" s="38" t="s">
        <v>880</v>
      </c>
      <c r="O55" s="38" t="s">
        <v>881</v>
      </c>
      <c r="P55" s="38" t="s">
        <v>882</v>
      </c>
      <c r="Q55" s="38" t="s">
        <v>883</v>
      </c>
      <c r="R55" s="38" t="s">
        <v>884</v>
      </c>
      <c r="S55" s="39" t="s">
        <v>886</v>
      </c>
      <c r="T55" s="91"/>
      <c r="U55" s="231"/>
      <c r="V55" s="38" t="s">
        <v>869</v>
      </c>
      <c r="W55" s="38" t="s">
        <v>870</v>
      </c>
      <c r="X55" s="38" t="s">
        <v>871</v>
      </c>
      <c r="Y55" s="38" t="s">
        <v>872</v>
      </c>
      <c r="Z55" s="38" t="s">
        <v>873</v>
      </c>
      <c r="AA55" s="38" t="s">
        <v>874</v>
      </c>
      <c r="AB55" s="38" t="s">
        <v>875</v>
      </c>
      <c r="AC55" s="38" t="s">
        <v>876</v>
      </c>
      <c r="AD55" s="38" t="s">
        <v>877</v>
      </c>
      <c r="AE55" s="38" t="s">
        <v>878</v>
      </c>
      <c r="AF55" s="38" t="s">
        <v>879</v>
      </c>
      <c r="AG55" s="38" t="s">
        <v>880</v>
      </c>
      <c r="AH55" s="38" t="s">
        <v>881</v>
      </c>
      <c r="AI55" s="38" t="s">
        <v>882</v>
      </c>
      <c r="AJ55" s="38" t="s">
        <v>883</v>
      </c>
      <c r="AK55" s="38" t="s">
        <v>884</v>
      </c>
    </row>
    <row r="56" spans="2:37" x14ac:dyDescent="0.15">
      <c r="B56" s="141" t="s">
        <v>17</v>
      </c>
      <c r="C56" s="75">
        <f>SUMIFS('caseload data'!E:E,'caseload data'!$A:$A,$B56,'caseload data'!$B:$B,"community")</f>
        <v>0</v>
      </c>
      <c r="D56" s="75">
        <f>SUMIFS('caseload data'!F:F,'caseload data'!$A:$A,$B56,'caseload data'!$B:$B,"community")</f>
        <v>0</v>
      </c>
      <c r="E56" s="75">
        <f>SUMIFS('caseload data'!G:G,'caseload data'!$A:$A,$B56,'caseload data'!$B:$B,"community")</f>
        <v>0</v>
      </c>
      <c r="F56" s="75">
        <f>SUMIFS('caseload data'!H:H,'caseload data'!$A:$A,$B56,'caseload data'!$B:$B,"community")</f>
        <v>0</v>
      </c>
      <c r="G56" s="75">
        <f>SUMIFS('caseload data'!I:I,'caseload data'!$A:$A,$B56,'caseload data'!$B:$B,"community")</f>
        <v>0</v>
      </c>
      <c r="H56" s="75">
        <f>SUMIFS('caseload data'!J:J,'caseload data'!$A:$A,$B56,'caseload data'!$B:$B,"community")</f>
        <v>0</v>
      </c>
      <c r="I56" s="75">
        <f>SUMIFS('caseload data'!K:K,'caseload data'!$A:$A,$B56,'caseload data'!$B:$B,"community")</f>
        <v>0</v>
      </c>
      <c r="J56" s="75">
        <f>SUMIFS('caseload data'!L:L,'caseload data'!$A:$A,$B56,'caseload data'!$B:$B,"community")</f>
        <v>0</v>
      </c>
      <c r="K56" s="75">
        <f>SUMIFS('caseload data'!M:M,'caseload data'!$A:$A,$B56,'caseload data'!$B:$B,"community")</f>
        <v>0</v>
      </c>
      <c r="L56" s="75">
        <f>SUMIFS('caseload data'!N:N,'caseload data'!$A:$A,$B56,'caseload data'!$B:$B,"community")</f>
        <v>0</v>
      </c>
      <c r="M56" s="75">
        <f>SUMIFS('caseload data'!O:O,'caseload data'!$A:$A,$B56,'caseload data'!$B:$B,"community")</f>
        <v>0</v>
      </c>
      <c r="N56" s="75">
        <f>SUMIFS('caseload data'!P:P,'caseload data'!$A:$A,$B56,'caseload data'!$B:$B,"community")</f>
        <v>0</v>
      </c>
      <c r="O56" s="75">
        <f>SUMIFS('caseload data'!Q:Q,'caseload data'!$A:$A,$B56,'caseload data'!$B:$B,"community")</f>
        <v>0</v>
      </c>
      <c r="P56" s="75">
        <f>SUMIFS('caseload data'!R:R,'caseload data'!$A:$A,$B56,'caseload data'!$B:$B,"community")</f>
        <v>0</v>
      </c>
      <c r="Q56" s="75">
        <f>SUMIFS('caseload data'!S:S,'caseload data'!$A:$A,$B56,'caseload data'!$B:$B,"community")</f>
        <v>0</v>
      </c>
      <c r="R56" s="75">
        <f>SUMIFS('caseload data'!T:T,'caseload data'!$A:$A,$B56,'caseload data'!$B:$B,"community")</f>
        <v>0</v>
      </c>
      <c r="S56" s="75">
        <f>SUMIFS('caseload data'!V:V,'caseload data'!$A:$A,B56,'caseload data'!$B:$B,"community")</f>
        <v>0</v>
      </c>
      <c r="T56" s="91"/>
      <c r="U56" s="141" t="s">
        <v>17</v>
      </c>
      <c r="V56" s="66" t="e">
        <f>C56/$S$56</f>
        <v>#DIV/0!</v>
      </c>
      <c r="W56" s="66" t="e">
        <f t="shared" ref="W56:AK56" si="206">D56/$S$56</f>
        <v>#DIV/0!</v>
      </c>
      <c r="X56" s="66" t="e">
        <f t="shared" si="206"/>
        <v>#DIV/0!</v>
      </c>
      <c r="Y56" s="66" t="e">
        <f t="shared" si="206"/>
        <v>#DIV/0!</v>
      </c>
      <c r="Z56" s="66" t="e">
        <f t="shared" si="206"/>
        <v>#DIV/0!</v>
      </c>
      <c r="AA56" s="66" t="e">
        <f t="shared" si="206"/>
        <v>#DIV/0!</v>
      </c>
      <c r="AB56" s="66" t="e">
        <f t="shared" si="206"/>
        <v>#DIV/0!</v>
      </c>
      <c r="AC56" s="66" t="e">
        <f t="shared" si="206"/>
        <v>#DIV/0!</v>
      </c>
      <c r="AD56" s="66" t="e">
        <f t="shared" si="206"/>
        <v>#DIV/0!</v>
      </c>
      <c r="AE56" s="66" t="e">
        <f t="shared" si="206"/>
        <v>#DIV/0!</v>
      </c>
      <c r="AF56" s="66" t="e">
        <f t="shared" si="206"/>
        <v>#DIV/0!</v>
      </c>
      <c r="AG56" s="66" t="e">
        <f t="shared" si="206"/>
        <v>#DIV/0!</v>
      </c>
      <c r="AH56" s="66" t="e">
        <f t="shared" si="206"/>
        <v>#DIV/0!</v>
      </c>
      <c r="AI56" s="66" t="e">
        <f t="shared" si="206"/>
        <v>#DIV/0!</v>
      </c>
      <c r="AJ56" s="66" t="e">
        <f t="shared" si="206"/>
        <v>#DIV/0!</v>
      </c>
      <c r="AK56" s="66" t="e">
        <f t="shared" si="206"/>
        <v>#DIV/0!</v>
      </c>
    </row>
    <row r="57" spans="2:37" x14ac:dyDescent="0.15">
      <c r="B57" s="141" t="s">
        <v>18</v>
      </c>
      <c r="C57" s="75">
        <f>SUMIFS('caseload data'!E:E,'caseload data'!$A:$A,$B57,'caseload data'!$B:$B,"community")</f>
        <v>0</v>
      </c>
      <c r="D57" s="75">
        <f>SUMIFS('caseload data'!F:F,'caseload data'!$A:$A,$B57,'caseload data'!$B:$B,"community")</f>
        <v>0</v>
      </c>
      <c r="E57" s="75">
        <f>SUMIFS('caseload data'!G:G,'caseload data'!$A:$A,$B57,'caseload data'!$B:$B,"community")</f>
        <v>0</v>
      </c>
      <c r="F57" s="75">
        <f>SUMIFS('caseload data'!H:H,'caseload data'!$A:$A,$B57,'caseload data'!$B:$B,"community")</f>
        <v>0</v>
      </c>
      <c r="G57" s="75">
        <f>SUMIFS('caseload data'!I:I,'caseload data'!$A:$A,$B57,'caseload data'!$B:$B,"community")</f>
        <v>0</v>
      </c>
      <c r="H57" s="75">
        <f>SUMIFS('caseload data'!J:J,'caseload data'!$A:$A,$B57,'caseload data'!$B:$B,"community")</f>
        <v>0</v>
      </c>
      <c r="I57" s="75">
        <f>SUMIFS('caseload data'!K:K,'caseload data'!$A:$A,$B57,'caseload data'!$B:$B,"community")</f>
        <v>0</v>
      </c>
      <c r="J57" s="75">
        <f>SUMIFS('caseload data'!L:L,'caseload data'!$A:$A,$B57,'caseload data'!$B:$B,"community")</f>
        <v>0</v>
      </c>
      <c r="K57" s="75">
        <f>SUMIFS('caseload data'!M:M,'caseload data'!$A:$A,$B57,'caseload data'!$B:$B,"community")</f>
        <v>0</v>
      </c>
      <c r="L57" s="75">
        <f>SUMIFS('caseload data'!N:N,'caseload data'!$A:$A,$B57,'caseload data'!$B:$B,"community")</f>
        <v>0</v>
      </c>
      <c r="M57" s="75">
        <f>SUMIFS('caseload data'!O:O,'caseload data'!$A:$A,$B57,'caseload data'!$B:$B,"community")</f>
        <v>0</v>
      </c>
      <c r="N57" s="75">
        <f>SUMIFS('caseload data'!P:P,'caseload data'!$A:$A,$B57,'caseload data'!$B:$B,"community")</f>
        <v>0</v>
      </c>
      <c r="O57" s="75">
        <f>SUMIFS('caseload data'!Q:Q,'caseload data'!$A:$A,$B57,'caseload data'!$B:$B,"community")</f>
        <v>0</v>
      </c>
      <c r="P57" s="75">
        <f>SUMIFS('caseload data'!R:R,'caseload data'!$A:$A,$B57,'caseload data'!$B:$B,"community")</f>
        <v>0</v>
      </c>
      <c r="Q57" s="75">
        <f>SUMIFS('caseload data'!S:S,'caseload data'!$A:$A,$B57,'caseload data'!$B:$B,"community")</f>
        <v>0</v>
      </c>
      <c r="R57" s="75">
        <f>SUMIFS('caseload data'!T:T,'caseload data'!$A:$A,$B57,'caseload data'!$B:$B,"community")</f>
        <v>0</v>
      </c>
      <c r="S57" s="75">
        <f>SUMIFS('caseload data'!V:V,'caseload data'!$A:$A,B57,'caseload data'!$B:$B,"community")</f>
        <v>0</v>
      </c>
      <c r="T57" s="91"/>
      <c r="U57" s="141" t="s">
        <v>18</v>
      </c>
      <c r="V57" s="66" t="e">
        <f>C57/$S$57</f>
        <v>#DIV/0!</v>
      </c>
      <c r="W57" s="66" t="e">
        <f t="shared" ref="W57:AK57" si="207">D57/$S$57</f>
        <v>#DIV/0!</v>
      </c>
      <c r="X57" s="66" t="e">
        <f t="shared" si="207"/>
        <v>#DIV/0!</v>
      </c>
      <c r="Y57" s="66" t="e">
        <f t="shared" si="207"/>
        <v>#DIV/0!</v>
      </c>
      <c r="Z57" s="66" t="e">
        <f t="shared" si="207"/>
        <v>#DIV/0!</v>
      </c>
      <c r="AA57" s="66" t="e">
        <f t="shared" si="207"/>
        <v>#DIV/0!</v>
      </c>
      <c r="AB57" s="66" t="e">
        <f t="shared" si="207"/>
        <v>#DIV/0!</v>
      </c>
      <c r="AC57" s="66" t="e">
        <f t="shared" si="207"/>
        <v>#DIV/0!</v>
      </c>
      <c r="AD57" s="66" t="e">
        <f t="shared" si="207"/>
        <v>#DIV/0!</v>
      </c>
      <c r="AE57" s="66" t="e">
        <f t="shared" si="207"/>
        <v>#DIV/0!</v>
      </c>
      <c r="AF57" s="66" t="e">
        <f t="shared" si="207"/>
        <v>#DIV/0!</v>
      </c>
      <c r="AG57" s="66" t="e">
        <f t="shared" si="207"/>
        <v>#DIV/0!</v>
      </c>
      <c r="AH57" s="66" t="e">
        <f t="shared" si="207"/>
        <v>#DIV/0!</v>
      </c>
      <c r="AI57" s="66" t="e">
        <f t="shared" si="207"/>
        <v>#DIV/0!</v>
      </c>
      <c r="AJ57" s="66" t="e">
        <f t="shared" si="207"/>
        <v>#DIV/0!</v>
      </c>
      <c r="AK57" s="66" t="e">
        <f t="shared" si="207"/>
        <v>#DIV/0!</v>
      </c>
    </row>
    <row r="58" spans="2:37" x14ac:dyDescent="0.15">
      <c r="B58" s="141" t="s">
        <v>19</v>
      </c>
      <c r="C58" s="75">
        <f>SUMIFS('caseload data'!E:E,'caseload data'!$A:$A,$B58,'caseload data'!$B:$B,"community")</f>
        <v>0</v>
      </c>
      <c r="D58" s="75">
        <f>SUMIFS('caseload data'!F:F,'caseload data'!$A:$A,$B58,'caseload data'!$B:$B,"community")</f>
        <v>0</v>
      </c>
      <c r="E58" s="75">
        <f>SUMIFS('caseload data'!G:G,'caseload data'!$A:$A,$B58,'caseload data'!$B:$B,"community")</f>
        <v>0</v>
      </c>
      <c r="F58" s="75">
        <f>SUMIFS('caseload data'!H:H,'caseload data'!$A:$A,$B58,'caseload data'!$B:$B,"community")</f>
        <v>0</v>
      </c>
      <c r="G58" s="75">
        <f>SUMIFS('caseload data'!I:I,'caseload data'!$A:$A,$B58,'caseload data'!$B:$B,"community")</f>
        <v>0</v>
      </c>
      <c r="H58" s="75">
        <f>SUMIFS('caseload data'!J:J,'caseload data'!$A:$A,$B58,'caseload data'!$B:$B,"community")</f>
        <v>0</v>
      </c>
      <c r="I58" s="75">
        <f>SUMIFS('caseload data'!K:K,'caseload data'!$A:$A,$B58,'caseload data'!$B:$B,"community")</f>
        <v>0</v>
      </c>
      <c r="J58" s="75">
        <f>SUMIFS('caseload data'!L:L,'caseload data'!$A:$A,$B58,'caseload data'!$B:$B,"community")</f>
        <v>0</v>
      </c>
      <c r="K58" s="75">
        <f>SUMIFS('caseload data'!M:M,'caseload data'!$A:$A,$B58,'caseload data'!$B:$B,"community")</f>
        <v>0</v>
      </c>
      <c r="L58" s="75">
        <f>SUMIFS('caseload data'!N:N,'caseload data'!$A:$A,$B58,'caseload data'!$B:$B,"community")</f>
        <v>0</v>
      </c>
      <c r="M58" s="75">
        <f>SUMIFS('caseload data'!O:O,'caseload data'!$A:$A,$B58,'caseload data'!$B:$B,"community")</f>
        <v>0</v>
      </c>
      <c r="N58" s="75">
        <f>SUMIFS('caseload data'!P:P,'caseload data'!$A:$A,$B58,'caseload data'!$B:$B,"community")</f>
        <v>0</v>
      </c>
      <c r="O58" s="75">
        <f>SUMIFS('caseload data'!Q:Q,'caseload data'!$A:$A,$B58,'caseload data'!$B:$B,"community")</f>
        <v>0</v>
      </c>
      <c r="P58" s="75">
        <f>SUMIFS('caseload data'!R:R,'caseload data'!$A:$A,$B58,'caseload data'!$B:$B,"community")</f>
        <v>0</v>
      </c>
      <c r="Q58" s="75">
        <f>SUMIFS('caseload data'!S:S,'caseload data'!$A:$A,$B58,'caseload data'!$B:$B,"community")</f>
        <v>0</v>
      </c>
      <c r="R58" s="75">
        <f>SUMIFS('caseload data'!T:T,'caseload data'!$A:$A,$B58,'caseload data'!$B:$B,"community")</f>
        <v>0</v>
      </c>
      <c r="S58" s="75">
        <f>SUMIFS('caseload data'!V:V,'caseload data'!$A:$A,B58,'caseload data'!$B:$B,"community")</f>
        <v>0</v>
      </c>
      <c r="T58" s="91"/>
      <c r="U58" s="141" t="s">
        <v>19</v>
      </c>
      <c r="V58" s="66" t="e">
        <f>C58/$S$58</f>
        <v>#DIV/0!</v>
      </c>
      <c r="W58" s="66" t="e">
        <f t="shared" ref="W58:AK58" si="208">D58/$S$58</f>
        <v>#DIV/0!</v>
      </c>
      <c r="X58" s="66" t="e">
        <f t="shared" si="208"/>
        <v>#DIV/0!</v>
      </c>
      <c r="Y58" s="66" t="e">
        <f t="shared" si="208"/>
        <v>#DIV/0!</v>
      </c>
      <c r="Z58" s="66" t="e">
        <f t="shared" si="208"/>
        <v>#DIV/0!</v>
      </c>
      <c r="AA58" s="66" t="e">
        <f t="shared" si="208"/>
        <v>#DIV/0!</v>
      </c>
      <c r="AB58" s="66" t="e">
        <f t="shared" si="208"/>
        <v>#DIV/0!</v>
      </c>
      <c r="AC58" s="66" t="e">
        <f t="shared" si="208"/>
        <v>#DIV/0!</v>
      </c>
      <c r="AD58" s="66" t="e">
        <f t="shared" si="208"/>
        <v>#DIV/0!</v>
      </c>
      <c r="AE58" s="66" t="e">
        <f t="shared" si="208"/>
        <v>#DIV/0!</v>
      </c>
      <c r="AF58" s="66" t="e">
        <f t="shared" si="208"/>
        <v>#DIV/0!</v>
      </c>
      <c r="AG58" s="66" t="e">
        <f t="shared" si="208"/>
        <v>#DIV/0!</v>
      </c>
      <c r="AH58" s="66" t="e">
        <f t="shared" si="208"/>
        <v>#DIV/0!</v>
      </c>
      <c r="AI58" s="66" t="e">
        <f t="shared" si="208"/>
        <v>#DIV/0!</v>
      </c>
      <c r="AJ58" s="66" t="e">
        <f t="shared" si="208"/>
        <v>#DIV/0!</v>
      </c>
      <c r="AK58" s="66" t="e">
        <f t="shared" si="208"/>
        <v>#DIV/0!</v>
      </c>
    </row>
    <row r="59" spans="2:37" x14ac:dyDescent="0.15">
      <c r="B59" s="141" t="s">
        <v>20</v>
      </c>
      <c r="C59" s="75">
        <f>SUMIFS('caseload data'!E:E,'caseload data'!$A:$A,$B59,'caseload data'!$B:$B,"community")</f>
        <v>0</v>
      </c>
      <c r="D59" s="75">
        <f>SUMIFS('caseload data'!F:F,'caseload data'!$A:$A,$B59,'caseload data'!$B:$B,"community")</f>
        <v>0</v>
      </c>
      <c r="E59" s="75">
        <f>SUMIFS('caseload data'!G:G,'caseload data'!$A:$A,$B59,'caseload data'!$B:$B,"community")</f>
        <v>0</v>
      </c>
      <c r="F59" s="75">
        <f>SUMIFS('caseload data'!H:H,'caseload data'!$A:$A,$B59,'caseload data'!$B:$B,"community")</f>
        <v>0</v>
      </c>
      <c r="G59" s="75">
        <f>SUMIFS('caseload data'!I:I,'caseload data'!$A:$A,$B59,'caseload data'!$B:$B,"community")</f>
        <v>0</v>
      </c>
      <c r="H59" s="75">
        <f>SUMIFS('caseload data'!J:J,'caseload data'!$A:$A,$B59,'caseload data'!$B:$B,"community")</f>
        <v>0</v>
      </c>
      <c r="I59" s="75">
        <f>SUMIFS('caseload data'!K:K,'caseload data'!$A:$A,$B59,'caseload data'!$B:$B,"community")</f>
        <v>0</v>
      </c>
      <c r="J59" s="75">
        <f>SUMIFS('caseload data'!L:L,'caseload data'!$A:$A,$B59,'caseload data'!$B:$B,"community")</f>
        <v>0</v>
      </c>
      <c r="K59" s="75">
        <f>SUMIFS('caseload data'!M:M,'caseload data'!$A:$A,$B59,'caseload data'!$B:$B,"community")</f>
        <v>0</v>
      </c>
      <c r="L59" s="75">
        <f>SUMIFS('caseload data'!N:N,'caseload data'!$A:$A,$B59,'caseload data'!$B:$B,"community")</f>
        <v>0</v>
      </c>
      <c r="M59" s="75">
        <f>SUMIFS('caseload data'!O:O,'caseload data'!$A:$A,$B59,'caseload data'!$B:$B,"community")</f>
        <v>0</v>
      </c>
      <c r="N59" s="75">
        <f>SUMIFS('caseload data'!P:P,'caseload data'!$A:$A,$B59,'caseload data'!$B:$B,"community")</f>
        <v>0</v>
      </c>
      <c r="O59" s="75">
        <f>SUMIFS('caseload data'!Q:Q,'caseload data'!$A:$A,$B59,'caseload data'!$B:$B,"community")</f>
        <v>0</v>
      </c>
      <c r="P59" s="75">
        <f>SUMIFS('caseload data'!R:R,'caseload data'!$A:$A,$B59,'caseload data'!$B:$B,"community")</f>
        <v>0</v>
      </c>
      <c r="Q59" s="75">
        <f>SUMIFS('caseload data'!S:S,'caseload data'!$A:$A,$B59,'caseload data'!$B:$B,"community")</f>
        <v>0</v>
      </c>
      <c r="R59" s="75">
        <f>SUMIFS('caseload data'!T:T,'caseload data'!$A:$A,$B59,'caseload data'!$B:$B,"community")</f>
        <v>0</v>
      </c>
      <c r="S59" s="75">
        <f>SUMIFS('caseload data'!V:V,'caseload data'!$A:$A,B59,'caseload data'!$B:$B,"community")</f>
        <v>0</v>
      </c>
      <c r="T59" s="91"/>
      <c r="U59" s="141" t="s">
        <v>20</v>
      </c>
      <c r="V59" s="66" t="e">
        <f>C59/$S$59</f>
        <v>#DIV/0!</v>
      </c>
      <c r="W59" s="66" t="e">
        <f t="shared" ref="W59:AK59" si="209">D59/$S$59</f>
        <v>#DIV/0!</v>
      </c>
      <c r="X59" s="66" t="e">
        <f t="shared" si="209"/>
        <v>#DIV/0!</v>
      </c>
      <c r="Y59" s="66" t="e">
        <f t="shared" si="209"/>
        <v>#DIV/0!</v>
      </c>
      <c r="Z59" s="66" t="e">
        <f t="shared" si="209"/>
        <v>#DIV/0!</v>
      </c>
      <c r="AA59" s="66" t="e">
        <f t="shared" si="209"/>
        <v>#DIV/0!</v>
      </c>
      <c r="AB59" s="66" t="e">
        <f t="shared" si="209"/>
        <v>#DIV/0!</v>
      </c>
      <c r="AC59" s="66" t="e">
        <f t="shared" si="209"/>
        <v>#DIV/0!</v>
      </c>
      <c r="AD59" s="66" t="e">
        <f t="shared" si="209"/>
        <v>#DIV/0!</v>
      </c>
      <c r="AE59" s="66" t="e">
        <f t="shared" si="209"/>
        <v>#DIV/0!</v>
      </c>
      <c r="AF59" s="66" t="e">
        <f t="shared" si="209"/>
        <v>#DIV/0!</v>
      </c>
      <c r="AG59" s="66" t="e">
        <f t="shared" si="209"/>
        <v>#DIV/0!</v>
      </c>
      <c r="AH59" s="66" t="e">
        <f t="shared" si="209"/>
        <v>#DIV/0!</v>
      </c>
      <c r="AI59" s="66" t="e">
        <f t="shared" si="209"/>
        <v>#DIV/0!</v>
      </c>
      <c r="AJ59" s="66" t="e">
        <f t="shared" si="209"/>
        <v>#DIV/0!</v>
      </c>
      <c r="AK59" s="66" t="e">
        <f t="shared" si="209"/>
        <v>#DIV/0!</v>
      </c>
    </row>
    <row r="60" spans="2:37" x14ac:dyDescent="0.15">
      <c r="B60" s="141" t="s">
        <v>21</v>
      </c>
      <c r="C60" s="75">
        <f>SUMIFS('caseload data'!E:E,'caseload data'!$A:$A,$B60,'caseload data'!$B:$B,"community")</f>
        <v>0</v>
      </c>
      <c r="D60" s="75">
        <f>SUMIFS('caseload data'!F:F,'caseload data'!$A:$A,$B60,'caseload data'!$B:$B,"community")</f>
        <v>0</v>
      </c>
      <c r="E60" s="75">
        <f>SUMIFS('caseload data'!G:G,'caseload data'!$A:$A,$B60,'caseload data'!$B:$B,"community")</f>
        <v>0</v>
      </c>
      <c r="F60" s="75">
        <f>SUMIFS('caseload data'!H:H,'caseload data'!$A:$A,$B60,'caseload data'!$B:$B,"community")</f>
        <v>0</v>
      </c>
      <c r="G60" s="75">
        <f>SUMIFS('caseload data'!I:I,'caseload data'!$A:$A,$B60,'caseload data'!$B:$B,"community")</f>
        <v>0</v>
      </c>
      <c r="H60" s="75">
        <f>SUMIFS('caseload data'!J:J,'caseload data'!$A:$A,$B60,'caseload data'!$B:$B,"community")</f>
        <v>0</v>
      </c>
      <c r="I60" s="75">
        <f>SUMIFS('caseload data'!K:K,'caseload data'!$A:$A,$B60,'caseload data'!$B:$B,"community")</f>
        <v>0</v>
      </c>
      <c r="J60" s="75">
        <f>SUMIFS('caseload data'!L:L,'caseload data'!$A:$A,$B60,'caseload data'!$B:$B,"community")</f>
        <v>0</v>
      </c>
      <c r="K60" s="75">
        <f>SUMIFS('caseload data'!M:M,'caseload data'!$A:$A,$B60,'caseload data'!$B:$B,"community")</f>
        <v>0</v>
      </c>
      <c r="L60" s="75">
        <f>SUMIFS('caseload data'!N:N,'caseload data'!$A:$A,$B60,'caseload data'!$B:$B,"community")</f>
        <v>0</v>
      </c>
      <c r="M60" s="75">
        <f>SUMIFS('caseload data'!O:O,'caseload data'!$A:$A,$B60,'caseload data'!$B:$B,"community")</f>
        <v>0</v>
      </c>
      <c r="N60" s="75">
        <f>SUMIFS('caseload data'!P:P,'caseload data'!$A:$A,$B60,'caseload data'!$B:$B,"community")</f>
        <v>0</v>
      </c>
      <c r="O60" s="75">
        <f>SUMIFS('caseload data'!Q:Q,'caseload data'!$A:$A,$B60,'caseload data'!$B:$B,"community")</f>
        <v>0</v>
      </c>
      <c r="P60" s="75">
        <f>SUMIFS('caseload data'!R:R,'caseload data'!$A:$A,$B60,'caseload data'!$B:$B,"community")</f>
        <v>0</v>
      </c>
      <c r="Q60" s="75">
        <f>SUMIFS('caseload data'!S:S,'caseload data'!$A:$A,$B60,'caseload data'!$B:$B,"community")</f>
        <v>0</v>
      </c>
      <c r="R60" s="75">
        <f>SUMIFS('caseload data'!T:T,'caseload data'!$A:$A,$B60,'caseload data'!$B:$B,"community")</f>
        <v>0</v>
      </c>
      <c r="S60" s="75">
        <f>SUMIFS('caseload data'!V:V,'caseload data'!$A:$A,B60,'caseload data'!$B:$B,"community")</f>
        <v>0</v>
      </c>
      <c r="T60" s="91"/>
      <c r="U60" s="141" t="s">
        <v>21</v>
      </c>
      <c r="V60" s="66" t="e">
        <f>C60/$S$60</f>
        <v>#DIV/0!</v>
      </c>
      <c r="W60" s="66" t="e">
        <f t="shared" ref="W60:AK60" si="210">D60/$S$60</f>
        <v>#DIV/0!</v>
      </c>
      <c r="X60" s="66" t="e">
        <f t="shared" si="210"/>
        <v>#DIV/0!</v>
      </c>
      <c r="Y60" s="66" t="e">
        <f t="shared" si="210"/>
        <v>#DIV/0!</v>
      </c>
      <c r="Z60" s="66" t="e">
        <f t="shared" si="210"/>
        <v>#DIV/0!</v>
      </c>
      <c r="AA60" s="66" t="e">
        <f t="shared" si="210"/>
        <v>#DIV/0!</v>
      </c>
      <c r="AB60" s="66" t="e">
        <f t="shared" si="210"/>
        <v>#DIV/0!</v>
      </c>
      <c r="AC60" s="66" t="e">
        <f t="shared" si="210"/>
        <v>#DIV/0!</v>
      </c>
      <c r="AD60" s="66" t="e">
        <f t="shared" si="210"/>
        <v>#DIV/0!</v>
      </c>
      <c r="AE60" s="66" t="e">
        <f t="shared" si="210"/>
        <v>#DIV/0!</v>
      </c>
      <c r="AF60" s="66" t="e">
        <f t="shared" si="210"/>
        <v>#DIV/0!</v>
      </c>
      <c r="AG60" s="66" t="e">
        <f t="shared" si="210"/>
        <v>#DIV/0!</v>
      </c>
      <c r="AH60" s="66" t="e">
        <f t="shared" si="210"/>
        <v>#DIV/0!</v>
      </c>
      <c r="AI60" s="66" t="e">
        <f t="shared" si="210"/>
        <v>#DIV/0!</v>
      </c>
      <c r="AJ60" s="66" t="e">
        <f t="shared" si="210"/>
        <v>#DIV/0!</v>
      </c>
      <c r="AK60" s="66" t="e">
        <f t="shared" si="210"/>
        <v>#DIV/0!</v>
      </c>
    </row>
    <row r="61" spans="2:37" x14ac:dyDescent="0.15">
      <c r="B61" s="141" t="s">
        <v>22</v>
      </c>
      <c r="C61" s="75">
        <f>SUMIFS('caseload data'!E:E,'caseload data'!$A:$A,$B61,'caseload data'!$B:$B,"community")</f>
        <v>0</v>
      </c>
      <c r="D61" s="75">
        <f>SUMIFS('caseload data'!F:F,'caseload data'!$A:$A,$B61,'caseload data'!$B:$B,"community")</f>
        <v>0</v>
      </c>
      <c r="E61" s="75">
        <f>SUMIFS('caseload data'!G:G,'caseload data'!$A:$A,$B61,'caseload data'!$B:$B,"community")</f>
        <v>0</v>
      </c>
      <c r="F61" s="75">
        <f>SUMIFS('caseload data'!H:H,'caseload data'!$A:$A,$B61,'caseload data'!$B:$B,"community")</f>
        <v>0</v>
      </c>
      <c r="G61" s="75">
        <f>SUMIFS('caseload data'!I:I,'caseload data'!$A:$A,$B61,'caseload data'!$B:$B,"community")</f>
        <v>0</v>
      </c>
      <c r="H61" s="75">
        <f>SUMIFS('caseload data'!J:J,'caseload data'!$A:$A,$B61,'caseload data'!$B:$B,"community")</f>
        <v>0</v>
      </c>
      <c r="I61" s="75">
        <f>SUMIFS('caseload data'!K:K,'caseload data'!$A:$A,$B61,'caseload data'!$B:$B,"community")</f>
        <v>0</v>
      </c>
      <c r="J61" s="75">
        <f>SUMIFS('caseload data'!L:L,'caseload data'!$A:$A,$B61,'caseload data'!$B:$B,"community")</f>
        <v>0</v>
      </c>
      <c r="K61" s="75">
        <f>SUMIFS('caseload data'!M:M,'caseload data'!$A:$A,$B61,'caseload data'!$B:$B,"community")</f>
        <v>0</v>
      </c>
      <c r="L61" s="75">
        <f>SUMIFS('caseload data'!N:N,'caseload data'!$A:$A,$B61,'caseload data'!$B:$B,"community")</f>
        <v>0</v>
      </c>
      <c r="M61" s="75">
        <f>SUMIFS('caseload data'!O:O,'caseload data'!$A:$A,$B61,'caseload data'!$B:$B,"community")</f>
        <v>0</v>
      </c>
      <c r="N61" s="75">
        <f>SUMIFS('caseload data'!P:P,'caseload data'!$A:$A,$B61,'caseload data'!$B:$B,"community")</f>
        <v>0</v>
      </c>
      <c r="O61" s="75">
        <f>SUMIFS('caseload data'!Q:Q,'caseload data'!$A:$A,$B61,'caseload data'!$B:$B,"community")</f>
        <v>0</v>
      </c>
      <c r="P61" s="75">
        <f>SUMIFS('caseload data'!R:R,'caseload data'!$A:$A,$B61,'caseload data'!$B:$B,"community")</f>
        <v>0</v>
      </c>
      <c r="Q61" s="75">
        <f>SUMIFS('caseload data'!S:S,'caseload data'!$A:$A,$B61,'caseload data'!$B:$B,"community")</f>
        <v>0</v>
      </c>
      <c r="R61" s="75">
        <f>SUMIFS('caseload data'!T:T,'caseload data'!$A:$A,$B61,'caseload data'!$B:$B,"community")</f>
        <v>0</v>
      </c>
      <c r="S61" s="75">
        <f>SUMIFS('caseload data'!V:V,'caseload data'!$A:$A,B61,'caseload data'!$B:$B,"community")</f>
        <v>0</v>
      </c>
      <c r="T61" s="91"/>
      <c r="U61" s="141" t="s">
        <v>22</v>
      </c>
      <c r="V61" s="66" t="e">
        <f>C61/$S$61</f>
        <v>#DIV/0!</v>
      </c>
      <c r="W61" s="66" t="e">
        <f t="shared" ref="W61:AK61" si="211">D61/$S$61</f>
        <v>#DIV/0!</v>
      </c>
      <c r="X61" s="66" t="e">
        <f t="shared" si="211"/>
        <v>#DIV/0!</v>
      </c>
      <c r="Y61" s="66" t="e">
        <f t="shared" si="211"/>
        <v>#DIV/0!</v>
      </c>
      <c r="Z61" s="66" t="e">
        <f t="shared" si="211"/>
        <v>#DIV/0!</v>
      </c>
      <c r="AA61" s="66" t="e">
        <f t="shared" si="211"/>
        <v>#DIV/0!</v>
      </c>
      <c r="AB61" s="66" t="e">
        <f t="shared" si="211"/>
        <v>#DIV/0!</v>
      </c>
      <c r="AC61" s="66" t="e">
        <f t="shared" si="211"/>
        <v>#DIV/0!</v>
      </c>
      <c r="AD61" s="66" t="e">
        <f t="shared" si="211"/>
        <v>#DIV/0!</v>
      </c>
      <c r="AE61" s="66" t="e">
        <f t="shared" si="211"/>
        <v>#DIV/0!</v>
      </c>
      <c r="AF61" s="66" t="e">
        <f t="shared" si="211"/>
        <v>#DIV/0!</v>
      </c>
      <c r="AG61" s="66" t="e">
        <f t="shared" si="211"/>
        <v>#DIV/0!</v>
      </c>
      <c r="AH61" s="66" t="e">
        <f t="shared" si="211"/>
        <v>#DIV/0!</v>
      </c>
      <c r="AI61" s="66" t="e">
        <f t="shared" si="211"/>
        <v>#DIV/0!</v>
      </c>
      <c r="AJ61" s="66" t="e">
        <f t="shared" si="211"/>
        <v>#DIV/0!</v>
      </c>
      <c r="AK61" s="66" t="e">
        <f t="shared" si="211"/>
        <v>#DIV/0!</v>
      </c>
    </row>
    <row r="62" spans="2:37" x14ac:dyDescent="0.15">
      <c r="B62" s="141" t="s">
        <v>23</v>
      </c>
      <c r="C62" s="75">
        <f>SUMIFS('caseload data'!E:E,'caseload data'!$A:$A,$B62,'caseload data'!$B:$B,"community")</f>
        <v>0</v>
      </c>
      <c r="D62" s="75">
        <f>SUMIFS('caseload data'!F:F,'caseload data'!$A:$A,$B62,'caseload data'!$B:$B,"community")</f>
        <v>0</v>
      </c>
      <c r="E62" s="75">
        <f>SUMIFS('caseload data'!G:G,'caseload data'!$A:$A,$B62,'caseload data'!$B:$B,"community")</f>
        <v>0</v>
      </c>
      <c r="F62" s="75">
        <f>SUMIFS('caseload data'!H:H,'caseload data'!$A:$A,$B62,'caseload data'!$B:$B,"community")</f>
        <v>0</v>
      </c>
      <c r="G62" s="75">
        <f>SUMIFS('caseload data'!I:I,'caseload data'!$A:$A,$B62,'caseload data'!$B:$B,"community")</f>
        <v>0</v>
      </c>
      <c r="H62" s="75">
        <f>SUMIFS('caseload data'!J:J,'caseload data'!$A:$A,$B62,'caseload data'!$B:$B,"community")</f>
        <v>0</v>
      </c>
      <c r="I62" s="75">
        <f>SUMIFS('caseload data'!K:K,'caseload data'!$A:$A,$B62,'caseload data'!$B:$B,"community")</f>
        <v>0</v>
      </c>
      <c r="J62" s="75">
        <f>SUMIFS('caseload data'!L:L,'caseload data'!$A:$A,$B62,'caseload data'!$B:$B,"community")</f>
        <v>0</v>
      </c>
      <c r="K62" s="75">
        <f>SUMIFS('caseload data'!M:M,'caseload data'!$A:$A,$B62,'caseload data'!$B:$B,"community")</f>
        <v>0</v>
      </c>
      <c r="L62" s="75">
        <f>SUMIFS('caseload data'!N:N,'caseload data'!$A:$A,$B62,'caseload data'!$B:$B,"community")</f>
        <v>0</v>
      </c>
      <c r="M62" s="75">
        <f>SUMIFS('caseload data'!O:O,'caseload data'!$A:$A,$B62,'caseload data'!$B:$B,"community")</f>
        <v>0</v>
      </c>
      <c r="N62" s="75">
        <f>SUMIFS('caseload data'!P:P,'caseload data'!$A:$A,$B62,'caseload data'!$B:$B,"community")</f>
        <v>0</v>
      </c>
      <c r="O62" s="75">
        <f>SUMIFS('caseload data'!Q:Q,'caseload data'!$A:$A,$B62,'caseload data'!$B:$B,"community")</f>
        <v>0</v>
      </c>
      <c r="P62" s="75">
        <f>SUMIFS('caseload data'!R:R,'caseload data'!$A:$A,$B62,'caseload data'!$B:$B,"community")</f>
        <v>0</v>
      </c>
      <c r="Q62" s="75">
        <f>SUMIFS('caseload data'!S:S,'caseload data'!$A:$A,$B62,'caseload data'!$B:$B,"community")</f>
        <v>0</v>
      </c>
      <c r="R62" s="75">
        <f>SUMIFS('caseload data'!T:T,'caseload data'!$A:$A,$B62,'caseload data'!$B:$B,"community")</f>
        <v>0</v>
      </c>
      <c r="S62" s="75">
        <f>SUMIFS('caseload data'!V:V,'caseload data'!$A:$A,B62,'caseload data'!$B:$B,"community")</f>
        <v>0</v>
      </c>
      <c r="T62" s="91"/>
      <c r="U62" s="141" t="s">
        <v>23</v>
      </c>
      <c r="V62" s="66" t="e">
        <f>C62/$S$62</f>
        <v>#DIV/0!</v>
      </c>
      <c r="W62" s="66" t="e">
        <f t="shared" ref="W62:AK62" si="212">D62/$S$62</f>
        <v>#DIV/0!</v>
      </c>
      <c r="X62" s="66" t="e">
        <f t="shared" si="212"/>
        <v>#DIV/0!</v>
      </c>
      <c r="Y62" s="66" t="e">
        <f t="shared" si="212"/>
        <v>#DIV/0!</v>
      </c>
      <c r="Z62" s="66" t="e">
        <f t="shared" si="212"/>
        <v>#DIV/0!</v>
      </c>
      <c r="AA62" s="66" t="e">
        <f t="shared" si="212"/>
        <v>#DIV/0!</v>
      </c>
      <c r="AB62" s="66" t="e">
        <f t="shared" si="212"/>
        <v>#DIV/0!</v>
      </c>
      <c r="AC62" s="66" t="e">
        <f t="shared" si="212"/>
        <v>#DIV/0!</v>
      </c>
      <c r="AD62" s="66" t="e">
        <f t="shared" si="212"/>
        <v>#DIV/0!</v>
      </c>
      <c r="AE62" s="66" t="e">
        <f t="shared" si="212"/>
        <v>#DIV/0!</v>
      </c>
      <c r="AF62" s="66" t="e">
        <f t="shared" si="212"/>
        <v>#DIV/0!</v>
      </c>
      <c r="AG62" s="66" t="e">
        <f t="shared" si="212"/>
        <v>#DIV/0!</v>
      </c>
      <c r="AH62" s="66" t="e">
        <f t="shared" si="212"/>
        <v>#DIV/0!</v>
      </c>
      <c r="AI62" s="66" t="e">
        <f t="shared" si="212"/>
        <v>#DIV/0!</v>
      </c>
      <c r="AJ62" s="66" t="e">
        <f t="shared" si="212"/>
        <v>#DIV/0!</v>
      </c>
      <c r="AK62" s="66" t="e">
        <f t="shared" si="212"/>
        <v>#DIV/0!</v>
      </c>
    </row>
    <row r="63" spans="2:37" x14ac:dyDescent="0.15">
      <c r="B63" s="141" t="s">
        <v>24</v>
      </c>
      <c r="C63" s="75">
        <f>SUMIFS('caseload data'!E:E,'caseload data'!$A:$A,$B63,'caseload data'!$B:$B,"community")</f>
        <v>0</v>
      </c>
      <c r="D63" s="75">
        <f>SUMIFS('caseload data'!F:F,'caseload data'!$A:$A,$B63,'caseload data'!$B:$B,"community")</f>
        <v>0</v>
      </c>
      <c r="E63" s="75">
        <f>SUMIFS('caseload data'!G:G,'caseload data'!$A:$A,$B63,'caseload data'!$B:$B,"community")</f>
        <v>0</v>
      </c>
      <c r="F63" s="75">
        <f>SUMIFS('caseload data'!H:H,'caseload data'!$A:$A,$B63,'caseload data'!$B:$B,"community")</f>
        <v>0</v>
      </c>
      <c r="G63" s="75">
        <f>SUMIFS('caseload data'!I:I,'caseload data'!$A:$A,$B63,'caseload data'!$B:$B,"community")</f>
        <v>0</v>
      </c>
      <c r="H63" s="75">
        <f>SUMIFS('caseload data'!J:J,'caseload data'!$A:$A,$B63,'caseload data'!$B:$B,"community")</f>
        <v>0</v>
      </c>
      <c r="I63" s="75">
        <f>SUMIFS('caseload data'!K:K,'caseload data'!$A:$A,$B63,'caseload data'!$B:$B,"community")</f>
        <v>0</v>
      </c>
      <c r="J63" s="75">
        <f>SUMIFS('caseload data'!L:L,'caseload data'!$A:$A,$B63,'caseload data'!$B:$B,"community")</f>
        <v>0</v>
      </c>
      <c r="K63" s="75">
        <f>SUMIFS('caseload data'!M:M,'caseload data'!$A:$A,$B63,'caseload data'!$B:$B,"community")</f>
        <v>0</v>
      </c>
      <c r="L63" s="75">
        <f>SUMIFS('caseload data'!N:N,'caseload data'!$A:$A,$B63,'caseload data'!$B:$B,"community")</f>
        <v>0</v>
      </c>
      <c r="M63" s="75">
        <f>SUMIFS('caseload data'!O:O,'caseload data'!$A:$A,$B63,'caseload data'!$B:$B,"community")</f>
        <v>0</v>
      </c>
      <c r="N63" s="75">
        <f>SUMIFS('caseload data'!P:P,'caseload data'!$A:$A,$B63,'caseload data'!$B:$B,"community")</f>
        <v>0</v>
      </c>
      <c r="O63" s="75">
        <f>SUMIFS('caseload data'!Q:Q,'caseload data'!$A:$A,$B63,'caseload data'!$B:$B,"community")</f>
        <v>0</v>
      </c>
      <c r="P63" s="75">
        <f>SUMIFS('caseload data'!R:R,'caseload data'!$A:$A,$B63,'caseload data'!$B:$B,"community")</f>
        <v>0</v>
      </c>
      <c r="Q63" s="75">
        <f>SUMIFS('caseload data'!S:S,'caseload data'!$A:$A,$B63,'caseload data'!$B:$B,"community")</f>
        <v>0</v>
      </c>
      <c r="R63" s="75">
        <f>SUMIFS('caseload data'!T:T,'caseload data'!$A:$A,$B63,'caseload data'!$B:$B,"community")</f>
        <v>0</v>
      </c>
      <c r="S63" s="75">
        <f>SUMIFS('caseload data'!V:V,'caseload data'!$A:$A,B63,'caseload data'!$B:$B,"community")</f>
        <v>0</v>
      </c>
      <c r="T63" s="91"/>
      <c r="U63" s="141" t="s">
        <v>24</v>
      </c>
      <c r="V63" s="66" t="e">
        <f t="shared" ref="V63:AK63" si="213">C63/$S$63</f>
        <v>#DIV/0!</v>
      </c>
      <c r="W63" s="66" t="e">
        <f t="shared" si="213"/>
        <v>#DIV/0!</v>
      </c>
      <c r="X63" s="66" t="e">
        <f t="shared" si="213"/>
        <v>#DIV/0!</v>
      </c>
      <c r="Y63" s="66" t="e">
        <f t="shared" si="213"/>
        <v>#DIV/0!</v>
      </c>
      <c r="Z63" s="66" t="e">
        <f t="shared" si="213"/>
        <v>#DIV/0!</v>
      </c>
      <c r="AA63" s="66" t="e">
        <f t="shared" si="213"/>
        <v>#DIV/0!</v>
      </c>
      <c r="AB63" s="66" t="e">
        <f t="shared" si="213"/>
        <v>#DIV/0!</v>
      </c>
      <c r="AC63" s="66" t="e">
        <f t="shared" si="213"/>
        <v>#DIV/0!</v>
      </c>
      <c r="AD63" s="66" t="e">
        <f t="shared" si="213"/>
        <v>#DIV/0!</v>
      </c>
      <c r="AE63" s="66" t="e">
        <f t="shared" si="213"/>
        <v>#DIV/0!</v>
      </c>
      <c r="AF63" s="66" t="e">
        <f t="shared" si="213"/>
        <v>#DIV/0!</v>
      </c>
      <c r="AG63" s="66" t="e">
        <f t="shared" si="213"/>
        <v>#DIV/0!</v>
      </c>
      <c r="AH63" s="66" t="e">
        <f t="shared" si="213"/>
        <v>#DIV/0!</v>
      </c>
      <c r="AI63" s="66" t="e">
        <f t="shared" si="213"/>
        <v>#DIV/0!</v>
      </c>
      <c r="AJ63" s="66" t="e">
        <f t="shared" si="213"/>
        <v>#DIV/0!</v>
      </c>
      <c r="AK63" s="66" t="e">
        <f t="shared" si="213"/>
        <v>#DIV/0!</v>
      </c>
    </row>
    <row r="64" spans="2:37" x14ac:dyDescent="0.15">
      <c r="B64" s="141" t="s">
        <v>25</v>
      </c>
      <c r="C64" s="75">
        <f>SUMIFS('caseload data'!E:E,'caseload data'!$A:$A,$B64,'caseload data'!$B:$B,"community")</f>
        <v>0</v>
      </c>
      <c r="D64" s="75">
        <f>SUMIFS('caseload data'!F:F,'caseload data'!$A:$A,$B64,'caseload data'!$B:$B,"community")</f>
        <v>0</v>
      </c>
      <c r="E64" s="75">
        <f>SUMIFS('caseload data'!G:G,'caseload data'!$A:$A,$B64,'caseload data'!$B:$B,"community")</f>
        <v>0</v>
      </c>
      <c r="F64" s="75">
        <f>SUMIFS('caseload data'!H:H,'caseload data'!$A:$A,$B64,'caseload data'!$B:$B,"community")</f>
        <v>0</v>
      </c>
      <c r="G64" s="75">
        <f>SUMIFS('caseload data'!I:I,'caseload data'!$A:$A,$B64,'caseload data'!$B:$B,"community")</f>
        <v>0</v>
      </c>
      <c r="H64" s="75">
        <f>SUMIFS('caseload data'!J:J,'caseload data'!$A:$A,$B64,'caseload data'!$B:$B,"community")</f>
        <v>0</v>
      </c>
      <c r="I64" s="75">
        <f>SUMIFS('caseload data'!K:K,'caseload data'!$A:$A,$B64,'caseload data'!$B:$B,"community")</f>
        <v>0</v>
      </c>
      <c r="J64" s="75">
        <f>SUMIFS('caseload data'!L:L,'caseload data'!$A:$A,$B64,'caseload data'!$B:$B,"community")</f>
        <v>0</v>
      </c>
      <c r="K64" s="75">
        <f>SUMIFS('caseload data'!M:M,'caseload data'!$A:$A,$B64,'caseload data'!$B:$B,"community")</f>
        <v>0</v>
      </c>
      <c r="L64" s="75">
        <f>SUMIFS('caseload data'!N:N,'caseload data'!$A:$A,$B64,'caseload data'!$B:$B,"community")</f>
        <v>0</v>
      </c>
      <c r="M64" s="75">
        <f>SUMIFS('caseload data'!O:O,'caseload data'!$A:$A,$B64,'caseload data'!$B:$B,"community")</f>
        <v>0</v>
      </c>
      <c r="N64" s="75">
        <f>SUMIFS('caseload data'!P:P,'caseload data'!$A:$A,$B64,'caseload data'!$B:$B,"community")</f>
        <v>0</v>
      </c>
      <c r="O64" s="75">
        <f>SUMIFS('caseload data'!Q:Q,'caseload data'!$A:$A,$B64,'caseload data'!$B:$B,"community")</f>
        <v>0</v>
      </c>
      <c r="P64" s="75">
        <f>SUMIFS('caseload data'!R:R,'caseload data'!$A:$A,$B64,'caseload data'!$B:$B,"community")</f>
        <v>0</v>
      </c>
      <c r="Q64" s="75">
        <f>SUMIFS('caseload data'!S:S,'caseload data'!$A:$A,$B64,'caseload data'!$B:$B,"community")</f>
        <v>0</v>
      </c>
      <c r="R64" s="75">
        <f>SUMIFS('caseload data'!T:T,'caseload data'!$A:$A,$B64,'caseload data'!$B:$B,"community")</f>
        <v>0</v>
      </c>
      <c r="S64" s="75">
        <f>SUMIFS('caseload data'!V:V,'caseload data'!$A:$A,B64,'caseload data'!$B:$B,"community")</f>
        <v>0</v>
      </c>
      <c r="T64" s="91"/>
      <c r="U64" s="141" t="s">
        <v>25</v>
      </c>
      <c r="V64" s="66" t="e">
        <f t="shared" ref="V64:AK64" si="214">C64/$S$64</f>
        <v>#DIV/0!</v>
      </c>
      <c r="W64" s="66" t="e">
        <f t="shared" si="214"/>
        <v>#DIV/0!</v>
      </c>
      <c r="X64" s="66" t="e">
        <f t="shared" si="214"/>
        <v>#DIV/0!</v>
      </c>
      <c r="Y64" s="66" t="e">
        <f t="shared" si="214"/>
        <v>#DIV/0!</v>
      </c>
      <c r="Z64" s="66" t="e">
        <f t="shared" si="214"/>
        <v>#DIV/0!</v>
      </c>
      <c r="AA64" s="66" t="e">
        <f t="shared" si="214"/>
        <v>#DIV/0!</v>
      </c>
      <c r="AB64" s="66" t="e">
        <f t="shared" si="214"/>
        <v>#DIV/0!</v>
      </c>
      <c r="AC64" s="66" t="e">
        <f t="shared" si="214"/>
        <v>#DIV/0!</v>
      </c>
      <c r="AD64" s="66" t="e">
        <f t="shared" si="214"/>
        <v>#DIV/0!</v>
      </c>
      <c r="AE64" s="66" t="e">
        <f t="shared" si="214"/>
        <v>#DIV/0!</v>
      </c>
      <c r="AF64" s="66" t="e">
        <f t="shared" si="214"/>
        <v>#DIV/0!</v>
      </c>
      <c r="AG64" s="66" t="e">
        <f t="shared" si="214"/>
        <v>#DIV/0!</v>
      </c>
      <c r="AH64" s="66" t="e">
        <f t="shared" si="214"/>
        <v>#DIV/0!</v>
      </c>
      <c r="AI64" s="66" t="e">
        <f t="shared" si="214"/>
        <v>#DIV/0!</v>
      </c>
      <c r="AJ64" s="66" t="e">
        <f t="shared" si="214"/>
        <v>#DIV/0!</v>
      </c>
      <c r="AK64" s="66" t="e">
        <f t="shared" si="214"/>
        <v>#DIV/0!</v>
      </c>
    </row>
    <row r="65" spans="2:37" x14ac:dyDescent="0.15">
      <c r="B65" s="141" t="s">
        <v>26</v>
      </c>
      <c r="C65" s="75">
        <f>SUMIFS('caseload data'!E:E,'caseload data'!$A:$A,$B65,'caseload data'!$B:$B,"community")</f>
        <v>0</v>
      </c>
      <c r="D65" s="75">
        <f>SUMIFS('caseload data'!F:F,'caseload data'!$A:$A,$B65,'caseload data'!$B:$B,"community")</f>
        <v>0</v>
      </c>
      <c r="E65" s="75">
        <f>SUMIFS('caseload data'!G:G,'caseload data'!$A:$A,$B65,'caseload data'!$B:$B,"community")</f>
        <v>0</v>
      </c>
      <c r="F65" s="75">
        <f>SUMIFS('caseload data'!H:H,'caseload data'!$A:$A,$B65,'caseload data'!$B:$B,"community")</f>
        <v>0</v>
      </c>
      <c r="G65" s="75">
        <f>SUMIFS('caseload data'!I:I,'caseload data'!$A:$A,$B65,'caseload data'!$B:$B,"community")</f>
        <v>0</v>
      </c>
      <c r="H65" s="75">
        <f>SUMIFS('caseload data'!J:J,'caseload data'!$A:$A,$B65,'caseload data'!$B:$B,"community")</f>
        <v>0</v>
      </c>
      <c r="I65" s="75">
        <f>SUMIFS('caseload data'!K:K,'caseload data'!$A:$A,$B65,'caseload data'!$B:$B,"community")</f>
        <v>0</v>
      </c>
      <c r="J65" s="75">
        <f>SUMIFS('caseload data'!L:L,'caseload data'!$A:$A,$B65,'caseload data'!$B:$B,"community")</f>
        <v>0</v>
      </c>
      <c r="K65" s="75">
        <f>SUMIFS('caseload data'!M:M,'caseload data'!$A:$A,$B65,'caseload data'!$B:$B,"community")</f>
        <v>0</v>
      </c>
      <c r="L65" s="75">
        <f>SUMIFS('caseload data'!N:N,'caseload data'!$A:$A,$B65,'caseload data'!$B:$B,"community")</f>
        <v>0</v>
      </c>
      <c r="M65" s="75">
        <f>SUMIFS('caseload data'!O:O,'caseload data'!$A:$A,$B65,'caseload data'!$B:$B,"community")</f>
        <v>0</v>
      </c>
      <c r="N65" s="75">
        <f>SUMIFS('caseload data'!P:P,'caseload data'!$A:$A,$B65,'caseload data'!$B:$B,"community")</f>
        <v>0</v>
      </c>
      <c r="O65" s="75">
        <f>SUMIFS('caseload data'!Q:Q,'caseload data'!$A:$A,$B65,'caseload data'!$B:$B,"community")</f>
        <v>0</v>
      </c>
      <c r="P65" s="75">
        <f>SUMIFS('caseload data'!R:R,'caseload data'!$A:$A,$B65,'caseload data'!$B:$B,"community")</f>
        <v>0</v>
      </c>
      <c r="Q65" s="75">
        <f>SUMIFS('caseload data'!S:S,'caseload data'!$A:$A,$B65,'caseload data'!$B:$B,"community")</f>
        <v>0</v>
      </c>
      <c r="R65" s="75">
        <f>SUMIFS('caseload data'!T:T,'caseload data'!$A:$A,$B65,'caseload data'!$B:$B,"community")</f>
        <v>0</v>
      </c>
      <c r="S65" s="75">
        <f>SUMIFS('caseload data'!V:V,'caseload data'!$A:$A,B65,'caseload data'!$B:$B,"community")</f>
        <v>0</v>
      </c>
      <c r="T65" s="91"/>
      <c r="U65" s="141" t="s">
        <v>26</v>
      </c>
      <c r="V65" s="66" t="e">
        <f>C65/$S$65</f>
        <v>#DIV/0!</v>
      </c>
      <c r="W65" s="66" t="e">
        <f t="shared" ref="W65:AK65" si="215">D65/$S$65</f>
        <v>#DIV/0!</v>
      </c>
      <c r="X65" s="66" t="e">
        <f t="shared" si="215"/>
        <v>#DIV/0!</v>
      </c>
      <c r="Y65" s="66" t="e">
        <f t="shared" si="215"/>
        <v>#DIV/0!</v>
      </c>
      <c r="Z65" s="66" t="e">
        <f t="shared" si="215"/>
        <v>#DIV/0!</v>
      </c>
      <c r="AA65" s="66" t="e">
        <f t="shared" si="215"/>
        <v>#DIV/0!</v>
      </c>
      <c r="AB65" s="66" t="e">
        <f t="shared" si="215"/>
        <v>#DIV/0!</v>
      </c>
      <c r="AC65" s="66" t="e">
        <f t="shared" si="215"/>
        <v>#DIV/0!</v>
      </c>
      <c r="AD65" s="66" t="e">
        <f t="shared" si="215"/>
        <v>#DIV/0!</v>
      </c>
      <c r="AE65" s="66" t="e">
        <f t="shared" si="215"/>
        <v>#DIV/0!</v>
      </c>
      <c r="AF65" s="66" t="e">
        <f t="shared" si="215"/>
        <v>#DIV/0!</v>
      </c>
      <c r="AG65" s="66" t="e">
        <f t="shared" si="215"/>
        <v>#DIV/0!</v>
      </c>
      <c r="AH65" s="66" t="e">
        <f t="shared" si="215"/>
        <v>#DIV/0!</v>
      </c>
      <c r="AI65" s="66" t="e">
        <f t="shared" si="215"/>
        <v>#DIV/0!</v>
      </c>
      <c r="AJ65" s="66" t="e">
        <f t="shared" si="215"/>
        <v>#DIV/0!</v>
      </c>
      <c r="AK65" s="66" t="e">
        <f t="shared" si="215"/>
        <v>#DIV/0!</v>
      </c>
    </row>
    <row r="66" spans="2:37" x14ac:dyDescent="0.15">
      <c r="B66" s="141" t="s">
        <v>27</v>
      </c>
      <c r="C66" s="75">
        <f>SUMIFS('caseload data'!E:E,'caseload data'!$A:$A,$B66,'caseload data'!$B:$B,"community")</f>
        <v>0</v>
      </c>
      <c r="D66" s="75">
        <f>SUMIFS('caseload data'!F:F,'caseload data'!$A:$A,$B66,'caseload data'!$B:$B,"community")</f>
        <v>0</v>
      </c>
      <c r="E66" s="75">
        <f>SUMIFS('caseload data'!G:G,'caseload data'!$A:$A,$B66,'caseload data'!$B:$B,"community")</f>
        <v>0</v>
      </c>
      <c r="F66" s="75">
        <f>SUMIFS('caseload data'!H:H,'caseload data'!$A:$A,$B66,'caseload data'!$B:$B,"community")</f>
        <v>0</v>
      </c>
      <c r="G66" s="75">
        <f>SUMIFS('caseload data'!I:I,'caseload data'!$A:$A,$B66,'caseload data'!$B:$B,"community")</f>
        <v>0</v>
      </c>
      <c r="H66" s="75">
        <f>SUMIFS('caseload data'!J:J,'caseload data'!$A:$A,$B66,'caseload data'!$B:$B,"community")</f>
        <v>0</v>
      </c>
      <c r="I66" s="75">
        <f>SUMIFS('caseload data'!K:K,'caseload data'!$A:$A,$B66,'caseload data'!$B:$B,"community")</f>
        <v>0</v>
      </c>
      <c r="J66" s="75">
        <f>SUMIFS('caseload data'!L:L,'caseload data'!$A:$A,$B66,'caseload data'!$B:$B,"community")</f>
        <v>0</v>
      </c>
      <c r="K66" s="75">
        <f>SUMIFS('caseload data'!M:M,'caseload data'!$A:$A,$B66,'caseload data'!$B:$B,"community")</f>
        <v>0</v>
      </c>
      <c r="L66" s="75">
        <f>SUMIFS('caseload data'!N:N,'caseload data'!$A:$A,$B66,'caseload data'!$B:$B,"community")</f>
        <v>0</v>
      </c>
      <c r="M66" s="75">
        <f>SUMIFS('caseload data'!O:O,'caseload data'!$A:$A,$B66,'caseload data'!$B:$B,"community")</f>
        <v>0</v>
      </c>
      <c r="N66" s="75">
        <f>SUMIFS('caseload data'!P:P,'caseload data'!$A:$A,$B66,'caseload data'!$B:$B,"community")</f>
        <v>0</v>
      </c>
      <c r="O66" s="75">
        <f>SUMIFS('caseload data'!Q:Q,'caseload data'!$A:$A,$B66,'caseload data'!$B:$B,"community")</f>
        <v>0</v>
      </c>
      <c r="P66" s="75">
        <f>SUMIFS('caseload data'!R:R,'caseload data'!$A:$A,$B66,'caseload data'!$B:$B,"community")</f>
        <v>0</v>
      </c>
      <c r="Q66" s="75">
        <f>SUMIFS('caseload data'!S:S,'caseload data'!$A:$A,$B66,'caseload data'!$B:$B,"community")</f>
        <v>0</v>
      </c>
      <c r="R66" s="75">
        <f>SUMIFS('caseload data'!T:T,'caseload data'!$A:$A,$B66,'caseload data'!$B:$B,"community")</f>
        <v>0</v>
      </c>
      <c r="S66" s="75">
        <f>SUMIFS('caseload data'!V:V,'caseload data'!$A:$A,B66,'caseload data'!$B:$B,"community")</f>
        <v>0</v>
      </c>
      <c r="T66" s="91"/>
      <c r="U66" s="141" t="s">
        <v>27</v>
      </c>
      <c r="V66" s="66" t="e">
        <f>C66/$S$66</f>
        <v>#DIV/0!</v>
      </c>
      <c r="W66" s="66" t="e">
        <f t="shared" ref="W66:AK66" si="216">D66/$S$66</f>
        <v>#DIV/0!</v>
      </c>
      <c r="X66" s="66" t="e">
        <f t="shared" si="216"/>
        <v>#DIV/0!</v>
      </c>
      <c r="Y66" s="66" t="e">
        <f t="shared" si="216"/>
        <v>#DIV/0!</v>
      </c>
      <c r="Z66" s="66" t="e">
        <f t="shared" si="216"/>
        <v>#DIV/0!</v>
      </c>
      <c r="AA66" s="66" t="e">
        <f t="shared" si="216"/>
        <v>#DIV/0!</v>
      </c>
      <c r="AB66" s="66" t="e">
        <f t="shared" si="216"/>
        <v>#DIV/0!</v>
      </c>
      <c r="AC66" s="66" t="e">
        <f t="shared" si="216"/>
        <v>#DIV/0!</v>
      </c>
      <c r="AD66" s="66" t="e">
        <f t="shared" si="216"/>
        <v>#DIV/0!</v>
      </c>
      <c r="AE66" s="66" t="e">
        <f t="shared" si="216"/>
        <v>#DIV/0!</v>
      </c>
      <c r="AF66" s="66" t="e">
        <f t="shared" si="216"/>
        <v>#DIV/0!</v>
      </c>
      <c r="AG66" s="66" t="e">
        <f t="shared" si="216"/>
        <v>#DIV/0!</v>
      </c>
      <c r="AH66" s="66" t="e">
        <f t="shared" si="216"/>
        <v>#DIV/0!</v>
      </c>
      <c r="AI66" s="66" t="e">
        <f t="shared" si="216"/>
        <v>#DIV/0!</v>
      </c>
      <c r="AJ66" s="66" t="e">
        <f t="shared" si="216"/>
        <v>#DIV/0!</v>
      </c>
      <c r="AK66" s="66" t="e">
        <f t="shared" si="216"/>
        <v>#DIV/0!</v>
      </c>
    </row>
    <row r="67" spans="2:37" x14ac:dyDescent="0.15">
      <c r="B67" s="141" t="s">
        <v>28</v>
      </c>
      <c r="C67" s="75">
        <f>SUMIFS('caseload data'!E:E,'caseload data'!$A:$A,$B67,'caseload data'!$B:$B,"community")</f>
        <v>0</v>
      </c>
      <c r="D67" s="75">
        <f>SUMIFS('caseload data'!F:F,'caseload data'!$A:$A,$B67,'caseload data'!$B:$B,"community")</f>
        <v>0</v>
      </c>
      <c r="E67" s="75">
        <f>SUMIFS('caseload data'!G:G,'caseload data'!$A:$A,$B67,'caseload data'!$B:$B,"community")</f>
        <v>0</v>
      </c>
      <c r="F67" s="75">
        <f>SUMIFS('caseload data'!H:H,'caseload data'!$A:$A,$B67,'caseload data'!$B:$B,"community")</f>
        <v>0</v>
      </c>
      <c r="G67" s="75">
        <f>SUMIFS('caseload data'!I:I,'caseload data'!$A:$A,$B67,'caseload data'!$B:$B,"community")</f>
        <v>0</v>
      </c>
      <c r="H67" s="75">
        <f>SUMIFS('caseload data'!J:J,'caseload data'!$A:$A,$B67,'caseload data'!$B:$B,"community")</f>
        <v>0</v>
      </c>
      <c r="I67" s="75">
        <f>SUMIFS('caseload data'!K:K,'caseload data'!$A:$A,$B67,'caseload data'!$B:$B,"community")</f>
        <v>0</v>
      </c>
      <c r="J67" s="75">
        <f>SUMIFS('caseload data'!L:L,'caseload data'!$A:$A,$B67,'caseload data'!$B:$B,"community")</f>
        <v>0</v>
      </c>
      <c r="K67" s="75">
        <f>SUMIFS('caseload data'!M:M,'caseload data'!$A:$A,$B67,'caseload data'!$B:$B,"community")</f>
        <v>0</v>
      </c>
      <c r="L67" s="75">
        <f>SUMIFS('caseload data'!N:N,'caseload data'!$A:$A,$B67,'caseload data'!$B:$B,"community")</f>
        <v>0</v>
      </c>
      <c r="M67" s="75">
        <f>SUMIFS('caseload data'!O:O,'caseload data'!$A:$A,$B67,'caseload data'!$B:$B,"community")</f>
        <v>0</v>
      </c>
      <c r="N67" s="75">
        <f>SUMIFS('caseload data'!P:P,'caseload data'!$A:$A,$B67,'caseload data'!$B:$B,"community")</f>
        <v>0</v>
      </c>
      <c r="O67" s="75">
        <f>SUMIFS('caseload data'!Q:Q,'caseload data'!$A:$A,$B67,'caseload data'!$B:$B,"community")</f>
        <v>0</v>
      </c>
      <c r="P67" s="75">
        <f>SUMIFS('caseload data'!R:R,'caseload data'!$A:$A,$B67,'caseload data'!$B:$B,"community")</f>
        <v>0</v>
      </c>
      <c r="Q67" s="75">
        <f>SUMIFS('caseload data'!S:S,'caseload data'!$A:$A,$B67,'caseload data'!$B:$B,"community")</f>
        <v>0</v>
      </c>
      <c r="R67" s="75">
        <f>SUMIFS('caseload data'!T:T,'caseload data'!$A:$A,$B67,'caseload data'!$B:$B,"community")</f>
        <v>0</v>
      </c>
      <c r="S67" s="75">
        <f>SUMIFS('caseload data'!V:V,'caseload data'!$A:$A,B67,'caseload data'!$B:$B,"community")</f>
        <v>0</v>
      </c>
      <c r="T67" s="91"/>
      <c r="U67" s="141" t="s">
        <v>28</v>
      </c>
      <c r="V67" s="66" t="e">
        <f>C67/$S$67</f>
        <v>#DIV/0!</v>
      </c>
      <c r="W67" s="66" t="e">
        <f t="shared" ref="W67:AK67" si="217">D67/$S$67</f>
        <v>#DIV/0!</v>
      </c>
      <c r="X67" s="66" t="e">
        <f t="shared" si="217"/>
        <v>#DIV/0!</v>
      </c>
      <c r="Y67" s="66" t="e">
        <f t="shared" si="217"/>
        <v>#DIV/0!</v>
      </c>
      <c r="Z67" s="66" t="e">
        <f t="shared" si="217"/>
        <v>#DIV/0!</v>
      </c>
      <c r="AA67" s="66" t="e">
        <f t="shared" si="217"/>
        <v>#DIV/0!</v>
      </c>
      <c r="AB67" s="66" t="e">
        <f t="shared" si="217"/>
        <v>#DIV/0!</v>
      </c>
      <c r="AC67" s="66" t="e">
        <f t="shared" si="217"/>
        <v>#DIV/0!</v>
      </c>
      <c r="AD67" s="66" t="e">
        <f t="shared" si="217"/>
        <v>#DIV/0!</v>
      </c>
      <c r="AE67" s="66" t="e">
        <f t="shared" si="217"/>
        <v>#DIV/0!</v>
      </c>
      <c r="AF67" s="66" t="e">
        <f t="shared" si="217"/>
        <v>#DIV/0!</v>
      </c>
      <c r="AG67" s="66" t="e">
        <f t="shared" si="217"/>
        <v>#DIV/0!</v>
      </c>
      <c r="AH67" s="66" t="e">
        <f t="shared" si="217"/>
        <v>#DIV/0!</v>
      </c>
      <c r="AI67" s="66" t="e">
        <f t="shared" si="217"/>
        <v>#DIV/0!</v>
      </c>
      <c r="AJ67" s="66" t="e">
        <f t="shared" si="217"/>
        <v>#DIV/0!</v>
      </c>
      <c r="AK67" s="66" t="e">
        <f t="shared" si="217"/>
        <v>#DIV/0!</v>
      </c>
    </row>
    <row r="68" spans="2:37" x14ac:dyDescent="0.15">
      <c r="B68" s="110" t="s">
        <v>1088</v>
      </c>
      <c r="C68" s="110">
        <f>SUMIF('caseload data'!$B:$B,"community",'caseload data'!E:E)</f>
        <v>0</v>
      </c>
      <c r="D68" s="110">
        <f>SUMIF('caseload data'!$B:$B,"community",'caseload data'!F:F)</f>
        <v>0</v>
      </c>
      <c r="E68" s="110">
        <f>SUMIF('caseload data'!$B:$B,"community",'caseload data'!G:G)</f>
        <v>0</v>
      </c>
      <c r="F68" s="110">
        <f>SUMIF('caseload data'!$B:$B,"community",'caseload data'!H:H)</f>
        <v>0</v>
      </c>
      <c r="G68" s="110">
        <f>SUMIF('caseload data'!$B:$B,"community",'caseload data'!I:I)</f>
        <v>0</v>
      </c>
      <c r="H68" s="110">
        <f>SUMIF('caseload data'!$B:$B,"community",'caseload data'!J:J)</f>
        <v>0</v>
      </c>
      <c r="I68" s="110">
        <f>SUMIF('caseload data'!$B:$B,"community",'caseload data'!K:K)</f>
        <v>0</v>
      </c>
      <c r="J68" s="110">
        <f>SUMIF('caseload data'!$B:$B,"community",'caseload data'!L:L)</f>
        <v>0</v>
      </c>
      <c r="K68" s="110">
        <f>SUMIF('caseload data'!$B:$B,"community",'caseload data'!M:M)</f>
        <v>0</v>
      </c>
      <c r="L68" s="110">
        <f>SUMIF('caseload data'!$B:$B,"community",'caseload data'!N:N)</f>
        <v>0</v>
      </c>
      <c r="M68" s="110">
        <f>SUMIF('caseload data'!$B:$B,"community",'caseload data'!O:O)</f>
        <v>0</v>
      </c>
      <c r="N68" s="110">
        <f>SUMIF('caseload data'!$B:$B,"community",'caseload data'!P:P)</f>
        <v>0</v>
      </c>
      <c r="O68" s="110">
        <f>SUMIF('caseload data'!$B:$B,"community",'caseload data'!Q:Q)</f>
        <v>0</v>
      </c>
      <c r="P68" s="110">
        <f>SUMIF('caseload data'!$B:$B,"community",'caseload data'!R:R)</f>
        <v>0</v>
      </c>
      <c r="Q68" s="110">
        <f>SUMIF('caseload data'!$B:$B,"community",'caseload data'!S:S)</f>
        <v>0</v>
      </c>
      <c r="R68" s="110">
        <f>SUMIF('caseload data'!$B:$B,"community",'caseload data'!T:T)</f>
        <v>0</v>
      </c>
      <c r="S68" s="110">
        <f>SUMIF('caseload data'!$B:$B,"community",'caseload data'!V:V)</f>
        <v>0</v>
      </c>
      <c r="T68" s="91"/>
      <c r="U68" s="110" t="s">
        <v>1088</v>
      </c>
      <c r="V68" s="115" t="e">
        <f>C68/$S$68</f>
        <v>#DIV/0!</v>
      </c>
      <c r="W68" s="115" t="e">
        <f t="shared" ref="W68:AK68" si="218">D68/$S$68</f>
        <v>#DIV/0!</v>
      </c>
      <c r="X68" s="115" t="e">
        <f t="shared" si="218"/>
        <v>#DIV/0!</v>
      </c>
      <c r="Y68" s="115" t="e">
        <f t="shared" si="218"/>
        <v>#DIV/0!</v>
      </c>
      <c r="Z68" s="115" t="e">
        <f t="shared" si="218"/>
        <v>#DIV/0!</v>
      </c>
      <c r="AA68" s="115" t="e">
        <f t="shared" si="218"/>
        <v>#DIV/0!</v>
      </c>
      <c r="AB68" s="115" t="e">
        <f t="shared" si="218"/>
        <v>#DIV/0!</v>
      </c>
      <c r="AC68" s="115" t="e">
        <f t="shared" si="218"/>
        <v>#DIV/0!</v>
      </c>
      <c r="AD68" s="115" t="e">
        <f t="shared" si="218"/>
        <v>#DIV/0!</v>
      </c>
      <c r="AE68" s="115" t="e">
        <f t="shared" si="218"/>
        <v>#DIV/0!</v>
      </c>
      <c r="AF68" s="115" t="e">
        <f t="shared" si="218"/>
        <v>#DIV/0!</v>
      </c>
      <c r="AG68" s="115" t="e">
        <f t="shared" si="218"/>
        <v>#DIV/0!</v>
      </c>
      <c r="AH68" s="115" t="e">
        <f t="shared" si="218"/>
        <v>#DIV/0!</v>
      </c>
      <c r="AI68" s="115" t="e">
        <f t="shared" si="218"/>
        <v>#DIV/0!</v>
      </c>
      <c r="AJ68" s="115" t="e">
        <f t="shared" si="218"/>
        <v>#DIV/0!</v>
      </c>
      <c r="AK68" s="115" t="e">
        <f t="shared" si="218"/>
        <v>#DIV/0!</v>
      </c>
    </row>
  </sheetData>
  <mergeCells count="11">
    <mergeCell ref="C54:S54"/>
    <mergeCell ref="V38:AK38"/>
    <mergeCell ref="V54:AK54"/>
    <mergeCell ref="A2:AN2"/>
    <mergeCell ref="C4:S4"/>
    <mergeCell ref="C21:S21"/>
    <mergeCell ref="AA1:AM1"/>
    <mergeCell ref="A1:Z1"/>
    <mergeCell ref="V4:AK4"/>
    <mergeCell ref="V21:AK21"/>
    <mergeCell ref="C38:S38"/>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topLeftCell="A16" zoomScale="85" zoomScaleNormal="85" workbookViewId="0">
      <selection activeCell="B5" sqref="B5"/>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480" t="s">
        <v>1096</v>
      </c>
      <c r="B1" s="480"/>
      <c r="C1" s="480"/>
      <c r="D1" s="480"/>
      <c r="E1" s="480"/>
      <c r="F1" s="480"/>
      <c r="G1" s="480"/>
      <c r="H1" s="480"/>
      <c r="I1" s="480"/>
      <c r="J1" s="480"/>
      <c r="K1" s="480"/>
      <c r="L1" s="480"/>
      <c r="M1" s="480"/>
      <c r="N1" s="480"/>
      <c r="O1" s="480"/>
      <c r="P1" s="480"/>
      <c r="Q1" s="480"/>
      <c r="R1" s="480"/>
      <c r="S1" s="480"/>
      <c r="T1" s="480"/>
      <c r="U1" s="480"/>
      <c r="V1" s="480"/>
      <c r="W1" s="480"/>
      <c r="X1" s="480"/>
      <c r="Y1" s="480"/>
      <c r="Z1" s="480"/>
      <c r="AA1" s="480"/>
      <c r="AB1" s="480"/>
      <c r="AC1" s="480"/>
      <c r="AD1" s="480"/>
      <c r="AE1" s="480"/>
      <c r="AF1" s="480"/>
      <c r="AG1" s="480"/>
      <c r="AH1" s="480"/>
      <c r="AI1" s="480"/>
      <c r="AJ1" s="480"/>
      <c r="AK1" s="480"/>
      <c r="AL1" s="480"/>
      <c r="AM1" s="480"/>
      <c r="AN1" s="480"/>
      <c r="AO1" s="480"/>
    </row>
    <row r="2" spans="1:41" ht="56.25" customHeight="1" x14ac:dyDescent="0.15">
      <c r="A2" s="522"/>
      <c r="B2" s="522"/>
      <c r="C2" s="522"/>
      <c r="D2" s="522"/>
      <c r="E2" s="522"/>
      <c r="F2" s="522"/>
      <c r="G2" s="522"/>
      <c r="H2" s="522"/>
      <c r="I2" s="522"/>
      <c r="J2" s="522"/>
      <c r="K2" s="522"/>
      <c r="L2" s="522"/>
      <c r="M2" s="522"/>
      <c r="N2" s="522"/>
      <c r="O2" s="522"/>
      <c r="P2" s="522"/>
      <c r="Q2" s="522"/>
      <c r="R2" s="522"/>
      <c r="S2" s="522"/>
      <c r="T2" s="522"/>
      <c r="U2" s="522"/>
      <c r="V2" s="522"/>
      <c r="W2" s="522"/>
      <c r="X2" s="522"/>
      <c r="Y2" s="522"/>
      <c r="Z2" s="522"/>
      <c r="AA2" s="522"/>
      <c r="AB2" s="522"/>
      <c r="AC2" s="522"/>
      <c r="AD2" s="522"/>
      <c r="AE2" s="522"/>
      <c r="AF2" s="522"/>
      <c r="AG2" s="522"/>
      <c r="AH2" s="522"/>
      <c r="AI2" s="522"/>
      <c r="AJ2" s="522"/>
      <c r="AK2" s="522"/>
      <c r="AL2" s="522"/>
      <c r="AM2" s="522"/>
      <c r="AN2" s="522"/>
      <c r="AO2" s="522"/>
    </row>
    <row r="3" spans="1:41"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28" x14ac:dyDescent="0.15">
      <c r="B4" s="143" t="s">
        <v>940</v>
      </c>
    </row>
    <row r="5" spans="1:41" ht="25.5" customHeight="1" x14ac:dyDescent="0.15">
      <c r="B5" s="242" t="s">
        <v>22</v>
      </c>
      <c r="P5" s="40"/>
      <c r="Q5" s="40"/>
    </row>
    <row r="6" spans="1:41" x14ac:dyDescent="0.15">
      <c r="B6" s="46"/>
    </row>
    <row r="8" spans="1:41" ht="28.5" customHeight="1" x14ac:dyDescent="0.15">
      <c r="B8" s="289" t="str">
        <f>HLOOKUP($B$5,Region_Table,2,0)</f>
        <v>Corporate Services - N54</v>
      </c>
      <c r="C8" s="515" t="s">
        <v>1097</v>
      </c>
      <c r="D8" s="516"/>
      <c r="E8" s="516"/>
      <c r="F8" s="516"/>
      <c r="G8" s="516"/>
      <c r="H8" s="516"/>
      <c r="I8" s="516"/>
      <c r="J8" s="516"/>
      <c r="K8" s="516"/>
      <c r="L8" s="516"/>
      <c r="M8" s="520"/>
      <c r="N8" s="520"/>
      <c r="O8" s="521"/>
      <c r="P8" s="510">
        <f>SUMIF('caseload data'!C:C,'divisional &amp; regional caseload'!B8,'caseload data'!V:V)</f>
        <v>0</v>
      </c>
      <c r="Q8" s="511"/>
      <c r="R8" s="512"/>
      <c r="S8" s="91"/>
      <c r="T8" s="289" t="str">
        <f>HLOOKUP($B$5,Region_Table,3,0)</f>
        <v>County Durham and Darlington</v>
      </c>
      <c r="U8" s="515" t="s">
        <v>1097</v>
      </c>
      <c r="V8" s="516"/>
      <c r="W8" s="516"/>
      <c r="X8" s="516"/>
      <c r="Y8" s="516"/>
      <c r="Z8" s="516"/>
      <c r="AA8" s="516"/>
      <c r="AB8" s="516"/>
      <c r="AC8" s="516"/>
      <c r="AD8" s="516"/>
      <c r="AE8" s="516"/>
      <c r="AF8" s="516"/>
      <c r="AG8" s="517"/>
      <c r="AH8" s="510">
        <f>SUMIF('caseload data'!C:C,'divisional &amp; regional caseload'!T8,'caseload data'!V:V)</f>
        <v>0</v>
      </c>
      <c r="AI8" s="513"/>
      <c r="AJ8" s="514"/>
    </row>
    <row r="9" spans="1:41" x14ac:dyDescent="0.15">
      <c r="B9" s="95" t="s">
        <v>1005</v>
      </c>
      <c r="C9" s="38" t="s">
        <v>869</v>
      </c>
      <c r="D9" s="38" t="s">
        <v>870</v>
      </c>
      <c r="E9" s="38" t="s">
        <v>871</v>
      </c>
      <c r="F9" s="38" t="s">
        <v>872</v>
      </c>
      <c r="G9" s="38" t="s">
        <v>873</v>
      </c>
      <c r="H9" s="38" t="s">
        <v>874</v>
      </c>
      <c r="I9" s="38" t="s">
        <v>875</v>
      </c>
      <c r="J9" s="38" t="s">
        <v>876</v>
      </c>
      <c r="K9" s="38" t="s">
        <v>877</v>
      </c>
      <c r="L9" s="38" t="s">
        <v>878</v>
      </c>
      <c r="M9" s="38" t="s">
        <v>879</v>
      </c>
      <c r="N9" s="38" t="s">
        <v>880</v>
      </c>
      <c r="O9" s="38" t="s">
        <v>881</v>
      </c>
      <c r="P9" s="38" t="s">
        <v>882</v>
      </c>
      <c r="Q9" s="38" t="s">
        <v>883</v>
      </c>
      <c r="R9" s="38" t="s">
        <v>884</v>
      </c>
      <c r="S9" s="91"/>
      <c r="T9" s="95" t="s">
        <v>1005</v>
      </c>
      <c r="U9" s="38" t="s">
        <v>869</v>
      </c>
      <c r="V9" s="38" t="s">
        <v>870</v>
      </c>
      <c r="W9" s="38" t="s">
        <v>871</v>
      </c>
      <c r="X9" s="38" t="s">
        <v>872</v>
      </c>
      <c r="Y9" s="38" t="s">
        <v>873</v>
      </c>
      <c r="Z9" s="38" t="s">
        <v>874</v>
      </c>
      <c r="AA9" s="38" t="s">
        <v>875</v>
      </c>
      <c r="AB9" s="38" t="s">
        <v>876</v>
      </c>
      <c r="AC9" s="38" t="s">
        <v>877</v>
      </c>
      <c r="AD9" s="38" t="s">
        <v>878</v>
      </c>
      <c r="AE9" s="38" t="s">
        <v>879</v>
      </c>
      <c r="AF9" s="38" t="s">
        <v>880</v>
      </c>
      <c r="AG9" s="38" t="s">
        <v>881</v>
      </c>
      <c r="AH9" s="38" t="s">
        <v>882</v>
      </c>
      <c r="AI9" s="38" t="s">
        <v>883</v>
      </c>
      <c r="AJ9" s="38" t="s">
        <v>884</v>
      </c>
    </row>
    <row r="10" spans="1:41" x14ac:dyDescent="0.15">
      <c r="B10" s="96" t="s">
        <v>1002</v>
      </c>
      <c r="C10" s="94">
        <f>SUMIFS('caseload data'!E:E,'caseload data'!$D:$D,"PO",'caseload data'!$C:$C,'divisional &amp; regional caseload'!$B$8)</f>
        <v>0</v>
      </c>
      <c r="D10" s="94">
        <f>SUMIFS('caseload data'!F:F,'caseload data'!$D:$D,"PO",'caseload data'!$C:$C,'divisional &amp; regional caseload'!$B$8)</f>
        <v>0</v>
      </c>
      <c r="E10" s="94">
        <f>SUMIFS('caseload data'!G:G,'caseload data'!$D:$D,"PO",'caseload data'!$C:$C,'divisional &amp; regional caseload'!$B$8)</f>
        <v>0</v>
      </c>
      <c r="F10" s="94">
        <f>SUMIFS('caseload data'!H:H,'caseload data'!$D:$D,"PO",'caseload data'!$C:$C,'divisional &amp; regional caseload'!$B$8)</f>
        <v>0</v>
      </c>
      <c r="G10" s="94">
        <f>SUMIFS('caseload data'!I:I,'caseload data'!$D:$D,"PO",'caseload data'!$C:$C,'divisional &amp; regional caseload'!$B$8)</f>
        <v>0</v>
      </c>
      <c r="H10" s="94">
        <f>SUMIFS('caseload data'!J:J,'caseload data'!$D:$D,"PO",'caseload data'!$C:$C,'divisional &amp; regional caseload'!$B$8)</f>
        <v>0</v>
      </c>
      <c r="I10" s="94">
        <f>SUMIFS('caseload data'!K:K,'caseload data'!$D:$D,"PO",'caseload data'!$C:$C,'divisional &amp; regional caseload'!$B$8)</f>
        <v>0</v>
      </c>
      <c r="J10" s="94">
        <f>SUMIFS('caseload data'!L:L,'caseload data'!$D:$D,"PO",'caseload data'!$C:$C,'divisional &amp; regional caseload'!$B$8)</f>
        <v>0</v>
      </c>
      <c r="K10" s="94">
        <f>SUMIFS('caseload data'!M:M,'caseload data'!$D:$D,"PO",'caseload data'!$C:$C,'divisional &amp; regional caseload'!$B$8)</f>
        <v>0</v>
      </c>
      <c r="L10" s="94">
        <f>SUMIFS('caseload data'!N:N,'caseload data'!$D:$D,"PO",'caseload data'!$C:$C,'divisional &amp; regional caseload'!$B$8)</f>
        <v>0</v>
      </c>
      <c r="M10" s="94">
        <f>SUMIFS('caseload data'!O:O,'caseload data'!$D:$D,"PO",'caseload data'!$C:$C,'divisional &amp; regional caseload'!$B$8)</f>
        <v>0</v>
      </c>
      <c r="N10" s="94">
        <f>SUMIFS('caseload data'!P:P,'caseload data'!$D:$D,"PO",'caseload data'!$C:$C,'divisional &amp; regional caseload'!$B$8)</f>
        <v>0</v>
      </c>
      <c r="O10" s="94">
        <f>SUMIFS('caseload data'!Q:Q,'caseload data'!$D:$D,"PO",'caseload data'!$C:$C,'divisional &amp; regional caseload'!$B$8)</f>
        <v>0</v>
      </c>
      <c r="P10" s="94">
        <f>SUMIFS('caseload data'!R:R,'caseload data'!$D:$D,"PO",'caseload data'!$C:$C,'divisional &amp; regional caseload'!$B$8)</f>
        <v>0</v>
      </c>
      <c r="Q10" s="94">
        <f>SUMIFS('caseload data'!S:S,'caseload data'!$D:$D,"PO",'caseload data'!$C:$C,'divisional &amp; regional caseload'!$B$8)</f>
        <v>0</v>
      </c>
      <c r="R10" s="94">
        <f>SUMIFS('caseload data'!T:T,'caseload data'!$D:$D,"PO",'caseload data'!$C:$C,'divisional &amp; regional caseload'!$B$8)</f>
        <v>0</v>
      </c>
      <c r="S10" s="91"/>
      <c r="T10" s="96" t="s">
        <v>1002</v>
      </c>
      <c r="U10" s="94">
        <f>SUMIFS('caseload data'!E:E,'caseload data'!$D:$D,"PO",'caseload data'!$C:$C,'divisional &amp; regional caseload'!$T$8)</f>
        <v>0</v>
      </c>
      <c r="V10" s="94">
        <f>SUMIFS('caseload data'!F:F,'caseload data'!$D:$D,"PO",'caseload data'!$C:$C,'divisional &amp; regional caseload'!$T$8)</f>
        <v>0</v>
      </c>
      <c r="W10" s="94">
        <f>SUMIFS('caseload data'!G:G,'caseload data'!$D:$D,"PO",'caseload data'!$C:$C,'divisional &amp; regional caseload'!$T$8)</f>
        <v>0</v>
      </c>
      <c r="X10" s="94">
        <f>SUMIFS('caseload data'!H:H,'caseload data'!$D:$D,"PO",'caseload data'!$C:$C,'divisional &amp; regional caseload'!$T$8)</f>
        <v>0</v>
      </c>
      <c r="Y10" s="94">
        <f>SUMIFS('caseload data'!I:I,'caseload data'!$D:$D,"PO",'caseload data'!$C:$C,'divisional &amp; regional caseload'!$T$8)</f>
        <v>0</v>
      </c>
      <c r="Z10" s="94">
        <f>SUMIFS('caseload data'!J:J,'caseload data'!$D:$D,"PO",'caseload data'!$C:$C,'divisional &amp; regional caseload'!$T$8)</f>
        <v>0</v>
      </c>
      <c r="AA10" s="94">
        <f>SUMIFS('caseload data'!K:K,'caseload data'!$D:$D,"PO",'caseload data'!$C:$C,'divisional &amp; regional caseload'!$T$8)</f>
        <v>0</v>
      </c>
      <c r="AB10" s="94">
        <f>SUMIFS('caseload data'!L:L,'caseload data'!$D:$D,"PO",'caseload data'!$C:$C,'divisional &amp; regional caseload'!$T$8)</f>
        <v>0</v>
      </c>
      <c r="AC10" s="94">
        <f>SUMIFS('caseload data'!M:M,'caseload data'!$D:$D,"PO",'caseload data'!$C:$C,'divisional &amp; regional caseload'!$T$8)</f>
        <v>0</v>
      </c>
      <c r="AD10" s="94">
        <f>SUMIFS('caseload data'!N:N,'caseload data'!$D:$D,"PO",'caseload data'!$C:$C,'divisional &amp; regional caseload'!$T$8)</f>
        <v>0</v>
      </c>
      <c r="AE10" s="94">
        <f>SUMIFS('caseload data'!O:O,'caseload data'!$D:$D,"PO",'caseload data'!$C:$C,'divisional &amp; regional caseload'!$T$8)</f>
        <v>0</v>
      </c>
      <c r="AF10" s="94">
        <f>SUMIFS('caseload data'!P:P,'caseload data'!$D:$D,"PO",'caseload data'!$C:$C,'divisional &amp; regional caseload'!$T$8)</f>
        <v>0</v>
      </c>
      <c r="AG10" s="94">
        <f>SUMIFS('caseload data'!Q:Q,'caseload data'!$D:$D,"PO",'caseload data'!$C:$C,'divisional &amp; regional caseload'!$T$8)</f>
        <v>0</v>
      </c>
      <c r="AH10" s="94">
        <f>SUMIFS('caseload data'!R:R,'caseload data'!$D:$D,"PO",'caseload data'!$C:$C,'divisional &amp; regional caseload'!$T$8)</f>
        <v>0</v>
      </c>
      <c r="AI10" s="94">
        <f>SUMIFS('caseload data'!S:S,'caseload data'!$D:$D,"PO",'caseload data'!$C:$C,'divisional &amp; regional caseload'!$T$8)</f>
        <v>0</v>
      </c>
      <c r="AJ10" s="94">
        <f>SUMIFS('caseload data'!T:T,'caseload data'!$D:$D,"PO",'caseload data'!$C:$C,'divisional &amp; regional caseload'!$T$8)</f>
        <v>0</v>
      </c>
    </row>
    <row r="11" spans="1:41" x14ac:dyDescent="0.15">
      <c r="B11" s="97" t="s">
        <v>1007</v>
      </c>
      <c r="C11" s="94">
        <f>SUMIFS('caseload data'!E:E,'caseload data'!$D:$D,"PSO",'caseload data'!$C:$C,'divisional &amp; regional caseload'!$B$8)</f>
        <v>0</v>
      </c>
      <c r="D11" s="94">
        <f>SUMIFS('caseload data'!F:F,'caseload data'!$D:$D,"PSO",'caseload data'!$C:$C,'divisional &amp; regional caseload'!$B$8)</f>
        <v>0</v>
      </c>
      <c r="E11" s="94">
        <f>SUMIFS('caseload data'!G:G,'caseload data'!$D:$D,"PSO",'caseload data'!$C:$C,'divisional &amp; regional caseload'!$B$8)</f>
        <v>0</v>
      </c>
      <c r="F11" s="94">
        <f>SUMIFS('caseload data'!H:H,'caseload data'!$D:$D,"PSO",'caseload data'!$C:$C,'divisional &amp; regional caseload'!$B$8)</f>
        <v>0</v>
      </c>
      <c r="G11" s="94">
        <f>SUMIFS('caseload data'!I:I,'caseload data'!$D:$D,"PSO",'caseload data'!$C:$C,'divisional &amp; regional caseload'!$B$8)</f>
        <v>0</v>
      </c>
      <c r="H11" s="94">
        <f>SUMIFS('caseload data'!J:J,'caseload data'!$D:$D,"PSO",'caseload data'!$C:$C,'divisional &amp; regional caseload'!$B$8)</f>
        <v>0</v>
      </c>
      <c r="I11" s="94">
        <f>SUMIFS('caseload data'!K:K,'caseload data'!$D:$D,"PSO",'caseload data'!$C:$C,'divisional &amp; regional caseload'!$B$8)</f>
        <v>0</v>
      </c>
      <c r="J11" s="94">
        <f>SUMIFS('caseload data'!L:L,'caseload data'!$D:$D,"PSO",'caseload data'!$C:$C,'divisional &amp; regional caseload'!$B$8)</f>
        <v>0</v>
      </c>
      <c r="K11" s="94">
        <f>SUMIFS('caseload data'!M:M,'caseload data'!$D:$D,"PSO",'caseload data'!$C:$C,'divisional &amp; regional caseload'!$B$8)</f>
        <v>0</v>
      </c>
      <c r="L11" s="94">
        <f>SUMIFS('caseload data'!N:N,'caseload data'!$D:$D,"PSO",'caseload data'!$C:$C,'divisional &amp; regional caseload'!$B$8)</f>
        <v>0</v>
      </c>
      <c r="M11" s="94">
        <f>SUMIFS('caseload data'!O:O,'caseload data'!$D:$D,"PSO",'caseload data'!$C:$C,'divisional &amp; regional caseload'!$B$8)</f>
        <v>0</v>
      </c>
      <c r="N11" s="94">
        <f>SUMIFS('caseload data'!P:P,'caseload data'!$D:$D,"PSO",'caseload data'!$C:$C,'divisional &amp; regional caseload'!$B$8)</f>
        <v>0</v>
      </c>
      <c r="O11" s="94">
        <f>SUMIFS('caseload data'!Q:Q,'caseload data'!$D:$D,"PSO",'caseload data'!$C:$C,'divisional &amp; regional caseload'!$B$8)</f>
        <v>0</v>
      </c>
      <c r="P11" s="94">
        <f>SUMIFS('caseload data'!R:R,'caseload data'!$D:$D,"PSO",'caseload data'!$C:$C,'divisional &amp; regional caseload'!$B$8)</f>
        <v>0</v>
      </c>
      <c r="Q11" s="94">
        <f>SUMIFS('caseload data'!S:S,'caseload data'!$D:$D,"PSO",'caseload data'!$C:$C,'divisional &amp; regional caseload'!$B$8)</f>
        <v>0</v>
      </c>
      <c r="R11" s="94">
        <f>SUMIFS('caseload data'!T:T,'caseload data'!$D:$D,"PSO",'caseload data'!$C:$C,'divisional &amp; regional caseload'!$B$8)</f>
        <v>0</v>
      </c>
      <c r="S11" s="91"/>
      <c r="T11" s="97" t="s">
        <v>1007</v>
      </c>
      <c r="U11" s="94">
        <f>SUMIFS('caseload data'!E:E,'caseload data'!$D:$D,"PSO",'caseload data'!$C:$C,'divisional &amp; regional caseload'!$T$8)</f>
        <v>0</v>
      </c>
      <c r="V11" s="94">
        <f>SUMIFS('caseload data'!F:F,'caseload data'!$D:$D,"PSO",'caseload data'!$C:$C,'divisional &amp; regional caseload'!$T$8)</f>
        <v>0</v>
      </c>
      <c r="W11" s="94">
        <f>SUMIFS('caseload data'!G:G,'caseload data'!$D:$D,"PSO",'caseload data'!$C:$C,'divisional &amp; regional caseload'!$T$8)</f>
        <v>0</v>
      </c>
      <c r="X11" s="94">
        <f>SUMIFS('caseload data'!H:H,'caseload data'!$D:$D,"PSO",'caseload data'!$C:$C,'divisional &amp; regional caseload'!$T$8)</f>
        <v>0</v>
      </c>
      <c r="Y11" s="94">
        <f>SUMIFS('caseload data'!I:I,'caseload data'!$D:$D,"PSO",'caseload data'!$C:$C,'divisional &amp; regional caseload'!$T$8)</f>
        <v>0</v>
      </c>
      <c r="Z11" s="94">
        <f>SUMIFS('caseload data'!J:J,'caseload data'!$D:$D,"PSO",'caseload data'!$C:$C,'divisional &amp; regional caseload'!$T$8)</f>
        <v>0</v>
      </c>
      <c r="AA11" s="94">
        <f>SUMIFS('caseload data'!K:K,'caseload data'!$D:$D,"PSO",'caseload data'!$C:$C,'divisional &amp; regional caseload'!$T$8)</f>
        <v>0</v>
      </c>
      <c r="AB11" s="94">
        <f>SUMIFS('caseload data'!L:L,'caseload data'!$D:$D,"PSO",'caseload data'!$C:$C,'divisional &amp; regional caseload'!$T$8)</f>
        <v>0</v>
      </c>
      <c r="AC11" s="94">
        <f>SUMIFS('caseload data'!M:M,'caseload data'!$D:$D,"PSO",'caseload data'!$C:$C,'divisional &amp; regional caseload'!$T$8)</f>
        <v>0</v>
      </c>
      <c r="AD11" s="94">
        <f>SUMIFS('caseload data'!N:N,'caseload data'!$D:$D,"PSO",'caseload data'!$C:$C,'divisional &amp; regional caseload'!$T$8)</f>
        <v>0</v>
      </c>
      <c r="AE11" s="94">
        <f>SUMIFS('caseload data'!O:O,'caseload data'!$D:$D,"PSO",'caseload data'!$C:$C,'divisional &amp; regional caseload'!$T$8)</f>
        <v>0</v>
      </c>
      <c r="AF11" s="94">
        <f>SUMIFS('caseload data'!P:P,'caseload data'!$D:$D,"PSO",'caseload data'!$C:$C,'divisional &amp; regional caseload'!$T$8)</f>
        <v>0</v>
      </c>
      <c r="AG11" s="94">
        <f>SUMIFS('caseload data'!Q:Q,'caseload data'!$D:$D,"PSO",'caseload data'!$C:$C,'divisional &amp; regional caseload'!$T$8)</f>
        <v>0</v>
      </c>
      <c r="AH11" s="94">
        <f>SUMIFS('caseload data'!R:R,'caseload data'!$D:$D,"PSO",'caseload data'!$C:$C,'divisional &amp; regional caseload'!$T$8)</f>
        <v>0</v>
      </c>
      <c r="AI11" s="94">
        <f>SUMIFS('caseload data'!S:S,'caseload data'!$D:$D,"PSO",'caseload data'!$C:$C,'divisional &amp; regional caseload'!$T$8)</f>
        <v>0</v>
      </c>
      <c r="AJ11" s="94">
        <f>SUMIFS('caseload data'!T:T,'caseload data'!$D:$D,"PSO",'caseload data'!$C:$C,'divisional &amp; regional caseload'!$T$8)</f>
        <v>0</v>
      </c>
    </row>
    <row r="12" spans="1:41" x14ac:dyDescent="0.15">
      <c r="B12" s="97" t="s">
        <v>1008</v>
      </c>
      <c r="C12" s="94">
        <f>SUMIFS('caseload data'!E:E,'caseload data'!$D:$D,"TPO",'caseload data'!$C:$C,'divisional &amp; regional caseload'!$B$8)</f>
        <v>0</v>
      </c>
      <c r="D12" s="94">
        <f>SUMIFS('caseload data'!F:F,'caseload data'!$D:$D,"TPO",'caseload data'!$C:$C,'divisional &amp; regional caseload'!$B$8)</f>
        <v>0</v>
      </c>
      <c r="E12" s="94">
        <f>SUMIFS('caseload data'!G:G,'caseload data'!$D:$D,"TPO",'caseload data'!$C:$C,'divisional &amp; regional caseload'!$B$8)</f>
        <v>0</v>
      </c>
      <c r="F12" s="94">
        <f>SUMIFS('caseload data'!H:H,'caseload data'!$D:$D,"TPO",'caseload data'!$C:$C,'divisional &amp; regional caseload'!$B$8)</f>
        <v>0</v>
      </c>
      <c r="G12" s="94">
        <f>SUMIFS('caseload data'!I:I,'caseload data'!$D:$D,"TPO",'caseload data'!$C:$C,'divisional &amp; regional caseload'!$B$8)</f>
        <v>0</v>
      </c>
      <c r="H12" s="94">
        <f>SUMIFS('caseload data'!J:J,'caseload data'!$D:$D,"TPO",'caseload data'!$C:$C,'divisional &amp; regional caseload'!$B$8)</f>
        <v>0</v>
      </c>
      <c r="I12" s="94">
        <f>SUMIFS('caseload data'!K:K,'caseload data'!$D:$D,"TPO",'caseload data'!$C:$C,'divisional &amp; regional caseload'!$B$8)</f>
        <v>0</v>
      </c>
      <c r="J12" s="94">
        <f>SUMIFS('caseload data'!L:L,'caseload data'!$D:$D,"TPO",'caseload data'!$C:$C,'divisional &amp; regional caseload'!$B$8)</f>
        <v>0</v>
      </c>
      <c r="K12" s="94">
        <f>SUMIFS('caseload data'!M:M,'caseload data'!$D:$D,"TPO",'caseload data'!$C:$C,'divisional &amp; regional caseload'!$B$8)</f>
        <v>0</v>
      </c>
      <c r="L12" s="94">
        <f>SUMIFS('caseload data'!N:N,'caseload data'!$D:$D,"TPO",'caseload data'!$C:$C,'divisional &amp; regional caseload'!$B$8)</f>
        <v>0</v>
      </c>
      <c r="M12" s="94">
        <f>SUMIFS('caseload data'!O:O,'caseload data'!$D:$D,"TPO",'caseload data'!$C:$C,'divisional &amp; regional caseload'!$B$8)</f>
        <v>0</v>
      </c>
      <c r="N12" s="94">
        <f>SUMIFS('caseload data'!P:P,'caseload data'!$D:$D,"TPO",'caseload data'!$C:$C,'divisional &amp; regional caseload'!$B$8)</f>
        <v>0</v>
      </c>
      <c r="O12" s="94">
        <f>SUMIFS('caseload data'!Q:Q,'caseload data'!$D:$D,"TPO",'caseload data'!$C:$C,'divisional &amp; regional caseload'!$B$8)</f>
        <v>0</v>
      </c>
      <c r="P12" s="94">
        <f>SUMIFS('caseload data'!R:R,'caseload data'!$D:$D,"TPO",'caseload data'!$C:$C,'divisional &amp; regional caseload'!$B$8)</f>
        <v>0</v>
      </c>
      <c r="Q12" s="94">
        <f>SUMIFS('caseload data'!S:S,'caseload data'!$D:$D,"TPO",'caseload data'!$C:$C,'divisional &amp; regional caseload'!$B$8)</f>
        <v>0</v>
      </c>
      <c r="R12" s="94">
        <f>SUMIFS('caseload data'!T:T,'caseload data'!$D:$D,"TPO",'caseload data'!$C:$C,'divisional &amp; regional caseload'!$B$8)</f>
        <v>0</v>
      </c>
      <c r="S12" s="91"/>
      <c r="T12" s="97" t="s">
        <v>1008</v>
      </c>
      <c r="U12" s="94">
        <f>SUMIFS('caseload data'!E:E,'caseload data'!$D:$D,"TPO",'caseload data'!$C:$C,'divisional &amp; regional caseload'!$T$8)</f>
        <v>0</v>
      </c>
      <c r="V12" s="94">
        <f>SUMIFS('caseload data'!F:F,'caseload data'!$D:$D,"TPO",'caseload data'!$C:$C,'divisional &amp; regional caseload'!$T$8)</f>
        <v>0</v>
      </c>
      <c r="W12" s="94">
        <f>SUMIFS('caseload data'!G:G,'caseload data'!$D:$D,"TPO",'caseload data'!$C:$C,'divisional &amp; regional caseload'!$T$8)</f>
        <v>0</v>
      </c>
      <c r="X12" s="94">
        <f>SUMIFS('caseload data'!H:H,'caseload data'!$D:$D,"TPO",'caseload data'!$C:$C,'divisional &amp; regional caseload'!$T$8)</f>
        <v>0</v>
      </c>
      <c r="Y12" s="94">
        <f>SUMIFS('caseload data'!I:I,'caseload data'!$D:$D,"TPO",'caseload data'!$C:$C,'divisional &amp; regional caseload'!$T$8)</f>
        <v>0</v>
      </c>
      <c r="Z12" s="94">
        <f>SUMIFS('caseload data'!J:J,'caseload data'!$D:$D,"TPO",'caseload data'!$C:$C,'divisional &amp; regional caseload'!$T$8)</f>
        <v>0</v>
      </c>
      <c r="AA12" s="94">
        <f>SUMIFS('caseload data'!K:K,'caseload data'!$D:$D,"TPO",'caseload data'!$C:$C,'divisional &amp; regional caseload'!$T$8)</f>
        <v>0</v>
      </c>
      <c r="AB12" s="94">
        <f>SUMIFS('caseload data'!L:L,'caseload data'!$D:$D,"TPO",'caseload data'!$C:$C,'divisional &amp; regional caseload'!$T$8)</f>
        <v>0</v>
      </c>
      <c r="AC12" s="94">
        <f>SUMIFS('caseload data'!M:M,'caseload data'!$D:$D,"TPO",'caseload data'!$C:$C,'divisional &amp; regional caseload'!$T$8)</f>
        <v>0</v>
      </c>
      <c r="AD12" s="94">
        <f>SUMIFS('caseload data'!N:N,'caseload data'!$D:$D,"TPO",'caseload data'!$C:$C,'divisional &amp; regional caseload'!$T$8)</f>
        <v>0</v>
      </c>
      <c r="AE12" s="94">
        <f>SUMIFS('caseload data'!O:O,'caseload data'!$D:$D,"TPO",'caseload data'!$C:$C,'divisional &amp; regional caseload'!$T$8)</f>
        <v>0</v>
      </c>
      <c r="AF12" s="94">
        <f>SUMIFS('caseload data'!P:P,'caseload data'!$D:$D,"TPO",'caseload data'!$C:$C,'divisional &amp; regional caseload'!$T$8)</f>
        <v>0</v>
      </c>
      <c r="AG12" s="94">
        <f>SUMIFS('caseload data'!Q:Q,'caseload data'!$D:$D,"TPO",'caseload data'!$C:$C,'divisional &amp; regional caseload'!$T$8)</f>
        <v>0</v>
      </c>
      <c r="AH12" s="94">
        <f>SUMIFS('caseload data'!R:R,'caseload data'!$D:$D,"TPO",'caseload data'!$C:$C,'divisional &amp; regional caseload'!$T$8)</f>
        <v>0</v>
      </c>
      <c r="AI12" s="94">
        <f>SUMIFS('caseload data'!S:S,'caseload data'!$D:$D,"TPO",'caseload data'!$C:$C,'divisional &amp; regional caseload'!$T$8)</f>
        <v>0</v>
      </c>
      <c r="AJ12" s="94">
        <f>SUMIFS('caseload data'!T:T,'caseload data'!$D:$D,"TPO",'caseload data'!$C:$C,'divisional &amp; regional caseload'!$T$8)</f>
        <v>0</v>
      </c>
    </row>
    <row r="13" spans="1:41" x14ac:dyDescent="0.15">
      <c r="B13" s="98" t="s">
        <v>1009</v>
      </c>
      <c r="C13" s="94">
        <f>SUMIFS('caseload data'!E:E,'caseload data'!$D:$D,"SPO",'caseload data'!$C:$C,'divisional &amp; regional caseload'!$B$8)</f>
        <v>0</v>
      </c>
      <c r="D13" s="94">
        <f>SUMIFS('caseload data'!F:F,'caseload data'!$D:$D,"SPO",'caseload data'!$C:$C,'divisional &amp; regional caseload'!$B$8)</f>
        <v>0</v>
      </c>
      <c r="E13" s="94">
        <f>SUMIFS('caseload data'!G:G,'caseload data'!$D:$D,"SPO",'caseload data'!$C:$C,'divisional &amp; regional caseload'!$B$8)</f>
        <v>0</v>
      </c>
      <c r="F13" s="94">
        <f>SUMIFS('caseload data'!H:H,'caseload data'!$D:$D,"SPO",'caseload data'!$C:$C,'divisional &amp; regional caseload'!$B$8)</f>
        <v>0</v>
      </c>
      <c r="G13" s="94">
        <f>SUMIFS('caseload data'!I:I,'caseload data'!$D:$D,"SPO",'caseload data'!$C:$C,'divisional &amp; regional caseload'!$B$8)</f>
        <v>0</v>
      </c>
      <c r="H13" s="94">
        <f>SUMIFS('caseload data'!J:J,'caseload data'!$D:$D,"SPO",'caseload data'!$C:$C,'divisional &amp; regional caseload'!$B$8)</f>
        <v>0</v>
      </c>
      <c r="I13" s="94">
        <f>SUMIFS('caseload data'!K:K,'caseload data'!$D:$D,"SPO",'caseload data'!$C:$C,'divisional &amp; regional caseload'!$B$8)</f>
        <v>0</v>
      </c>
      <c r="J13" s="94">
        <f>SUMIFS('caseload data'!L:L,'caseload data'!$D:$D,"SPO",'caseload data'!$C:$C,'divisional &amp; regional caseload'!$B$8)</f>
        <v>0</v>
      </c>
      <c r="K13" s="94">
        <f>SUMIFS('caseload data'!M:M,'caseload data'!$D:$D,"SPO",'caseload data'!$C:$C,'divisional &amp; regional caseload'!$B$8)</f>
        <v>0</v>
      </c>
      <c r="L13" s="94">
        <f>SUMIFS('caseload data'!N:N,'caseload data'!$D:$D,"SPO",'caseload data'!$C:$C,'divisional &amp; regional caseload'!$B$8)</f>
        <v>0</v>
      </c>
      <c r="M13" s="94">
        <f>SUMIFS('caseload data'!O:O,'caseload data'!$D:$D,"SPO",'caseload data'!$C:$C,'divisional &amp; regional caseload'!$B$8)</f>
        <v>0</v>
      </c>
      <c r="N13" s="94">
        <f>SUMIFS('caseload data'!P:P,'caseload data'!$D:$D,"SPO",'caseload data'!$C:$C,'divisional &amp; regional caseload'!$B$8)</f>
        <v>0</v>
      </c>
      <c r="O13" s="94">
        <f>SUMIFS('caseload data'!Q:Q,'caseload data'!$D:$D,"SPO",'caseload data'!$C:$C,'divisional &amp; regional caseload'!$B$8)</f>
        <v>0</v>
      </c>
      <c r="P13" s="94">
        <f>SUMIFS('caseload data'!R:R,'caseload data'!$D:$D,"SPO",'caseload data'!$C:$C,'divisional &amp; regional caseload'!$B$8)</f>
        <v>0</v>
      </c>
      <c r="Q13" s="94">
        <f>SUMIFS('caseload data'!S:S,'caseload data'!$D:$D,"SPO",'caseload data'!$C:$C,'divisional &amp; regional caseload'!$B$8)</f>
        <v>0</v>
      </c>
      <c r="R13" s="94">
        <f>SUMIFS('caseload data'!T:T,'caseload data'!$D:$D,"SPO",'caseload data'!$C:$C,'divisional &amp; regional caseload'!$B$8)</f>
        <v>0</v>
      </c>
      <c r="S13" s="91"/>
      <c r="T13" s="98" t="s">
        <v>1009</v>
      </c>
      <c r="U13" s="94">
        <f>SUMIFS('caseload data'!E:E,'caseload data'!$D:$D,"SPO",'caseload data'!$C:$C,'divisional &amp; regional caseload'!$T$8)</f>
        <v>0</v>
      </c>
      <c r="V13" s="94">
        <f>SUMIFS('caseload data'!F:F,'caseload data'!$D:$D,"SPO",'caseload data'!$C:$C,'divisional &amp; regional caseload'!$T$8)</f>
        <v>0</v>
      </c>
      <c r="W13" s="94">
        <f>SUMIFS('caseload data'!G:G,'caseload data'!$D:$D,"SPO",'caseload data'!$C:$C,'divisional &amp; regional caseload'!$T$8)</f>
        <v>0</v>
      </c>
      <c r="X13" s="94">
        <f>SUMIFS('caseload data'!H:H,'caseload data'!$D:$D,"SPO",'caseload data'!$C:$C,'divisional &amp; regional caseload'!$T$8)</f>
        <v>0</v>
      </c>
      <c r="Y13" s="94">
        <f>SUMIFS('caseload data'!I:I,'caseload data'!$D:$D,"SPO",'caseload data'!$C:$C,'divisional &amp; regional caseload'!$T$8)</f>
        <v>0</v>
      </c>
      <c r="Z13" s="94">
        <f>SUMIFS('caseload data'!J:J,'caseload data'!$D:$D,"SPO",'caseload data'!$C:$C,'divisional &amp; regional caseload'!$T$8)</f>
        <v>0</v>
      </c>
      <c r="AA13" s="94">
        <f>SUMIFS('caseload data'!K:K,'caseload data'!$D:$D,"SPO",'caseload data'!$C:$C,'divisional &amp; regional caseload'!$T$8)</f>
        <v>0</v>
      </c>
      <c r="AB13" s="94">
        <f>SUMIFS('caseload data'!L:L,'caseload data'!$D:$D,"SPO",'caseload data'!$C:$C,'divisional &amp; regional caseload'!$T$8)</f>
        <v>0</v>
      </c>
      <c r="AC13" s="94">
        <f>SUMIFS('caseload data'!M:M,'caseload data'!$D:$D,"SPO",'caseload data'!$C:$C,'divisional &amp; regional caseload'!$T$8)</f>
        <v>0</v>
      </c>
      <c r="AD13" s="94">
        <f>SUMIFS('caseload data'!N:N,'caseload data'!$D:$D,"SPO",'caseload data'!$C:$C,'divisional &amp; regional caseload'!$T$8)</f>
        <v>0</v>
      </c>
      <c r="AE13" s="94">
        <f>SUMIFS('caseload data'!O:O,'caseload data'!$D:$D,"SPO",'caseload data'!$C:$C,'divisional &amp; regional caseload'!$T$8)</f>
        <v>0</v>
      </c>
      <c r="AF13" s="94">
        <f>SUMIFS('caseload data'!P:P,'caseload data'!$D:$D,"SPO",'caseload data'!$C:$C,'divisional &amp; regional caseload'!$T$8)</f>
        <v>0</v>
      </c>
      <c r="AG13" s="94">
        <f>SUMIFS('caseload data'!Q:Q,'caseload data'!$D:$D,"SPO",'caseload data'!$C:$C,'divisional &amp; regional caseload'!$T$8)</f>
        <v>0</v>
      </c>
      <c r="AH13" s="94">
        <f>SUMIFS('caseload data'!R:R,'caseload data'!$D:$D,"SPO",'caseload data'!$C:$C,'divisional &amp; regional caseload'!$T$8)</f>
        <v>0</v>
      </c>
      <c r="AI13" s="94">
        <f>SUMIFS('caseload data'!S:S,'caseload data'!$D:$D,"SPO",'caseload data'!$C:$C,'divisional &amp; regional caseload'!$T$8)</f>
        <v>0</v>
      </c>
      <c r="AJ13" s="94">
        <f>SUMIFS('caseload data'!T:T,'caseload data'!$D:$D,"SPO",'caseload data'!$C:$C,'divisional &amp; regional caseload'!$T$8)</f>
        <v>0</v>
      </c>
    </row>
    <row r="14" spans="1:41" x14ac:dyDescent="0.15">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row>
    <row r="15" spans="1:41" ht="30" customHeight="1" x14ac:dyDescent="0.15">
      <c r="B15" s="289" t="str">
        <f>HLOOKUP($B$5,Region_Table,4,0)</f>
        <v>Gateshead and South Tyneside</v>
      </c>
      <c r="C15" s="515" t="s">
        <v>1097</v>
      </c>
      <c r="D15" s="516"/>
      <c r="E15" s="516"/>
      <c r="F15" s="516"/>
      <c r="G15" s="516"/>
      <c r="H15" s="516"/>
      <c r="I15" s="516"/>
      <c r="J15" s="516"/>
      <c r="K15" s="516"/>
      <c r="L15" s="516"/>
      <c r="M15" s="520"/>
      <c r="N15" s="520"/>
      <c r="O15" s="521"/>
      <c r="P15" s="510">
        <f>SUMIF('caseload data'!$C:$C,'divisional &amp; regional caseload'!B15,'caseload data'!V:V)</f>
        <v>0</v>
      </c>
      <c r="Q15" s="511"/>
      <c r="R15" s="512"/>
      <c r="S15" s="91"/>
      <c r="T15" s="289" t="str">
        <f>HLOOKUP($B$5,Region_Table,5,0)</f>
        <v>Inactive Level 2(N54)</v>
      </c>
      <c r="U15" s="515" t="s">
        <v>1097</v>
      </c>
      <c r="V15" s="516"/>
      <c r="W15" s="516"/>
      <c r="X15" s="516"/>
      <c r="Y15" s="516"/>
      <c r="Z15" s="516"/>
      <c r="AA15" s="516"/>
      <c r="AB15" s="516"/>
      <c r="AC15" s="516"/>
      <c r="AD15" s="516"/>
      <c r="AE15" s="516"/>
      <c r="AF15" s="516"/>
      <c r="AG15" s="517"/>
      <c r="AH15" s="510">
        <f>SUMIF('caseload data'!$C:$C,'divisional &amp; regional caseload'!T15,'caseload data'!V:V)</f>
        <v>0</v>
      </c>
      <c r="AI15" s="511"/>
      <c r="AJ15" s="512"/>
    </row>
    <row r="16" spans="1:41" x14ac:dyDescent="0.15">
      <c r="B16" s="95" t="s">
        <v>1005</v>
      </c>
      <c r="C16" s="38" t="s">
        <v>869</v>
      </c>
      <c r="D16" s="38" t="s">
        <v>870</v>
      </c>
      <c r="E16" s="38" t="s">
        <v>871</v>
      </c>
      <c r="F16" s="38" t="s">
        <v>872</v>
      </c>
      <c r="G16" s="38" t="s">
        <v>873</v>
      </c>
      <c r="H16" s="38" t="s">
        <v>874</v>
      </c>
      <c r="I16" s="38" t="s">
        <v>875</v>
      </c>
      <c r="J16" s="38" t="s">
        <v>876</v>
      </c>
      <c r="K16" s="38" t="s">
        <v>877</v>
      </c>
      <c r="L16" s="38" t="s">
        <v>878</v>
      </c>
      <c r="M16" s="38" t="s">
        <v>879</v>
      </c>
      <c r="N16" s="38" t="s">
        <v>880</v>
      </c>
      <c r="O16" s="38" t="s">
        <v>881</v>
      </c>
      <c r="P16" s="38" t="s">
        <v>882</v>
      </c>
      <c r="Q16" s="38" t="s">
        <v>883</v>
      </c>
      <c r="R16" s="38" t="s">
        <v>884</v>
      </c>
      <c r="S16" s="91"/>
      <c r="T16" s="95" t="s">
        <v>1005</v>
      </c>
      <c r="U16" s="38" t="s">
        <v>869</v>
      </c>
      <c r="V16" s="38" t="s">
        <v>870</v>
      </c>
      <c r="W16" s="38" t="s">
        <v>871</v>
      </c>
      <c r="X16" s="38" t="s">
        <v>872</v>
      </c>
      <c r="Y16" s="38" t="s">
        <v>873</v>
      </c>
      <c r="Z16" s="38" t="s">
        <v>874</v>
      </c>
      <c r="AA16" s="38" t="s">
        <v>875</v>
      </c>
      <c r="AB16" s="38" t="s">
        <v>876</v>
      </c>
      <c r="AC16" s="38" t="s">
        <v>877</v>
      </c>
      <c r="AD16" s="38" t="s">
        <v>878</v>
      </c>
      <c r="AE16" s="38" t="s">
        <v>879</v>
      </c>
      <c r="AF16" s="38" t="s">
        <v>880</v>
      </c>
      <c r="AG16" s="38" t="s">
        <v>881</v>
      </c>
      <c r="AH16" s="38" t="s">
        <v>882</v>
      </c>
      <c r="AI16" s="38" t="s">
        <v>883</v>
      </c>
      <c r="AJ16" s="38" t="s">
        <v>884</v>
      </c>
    </row>
    <row r="17" spans="2:36" x14ac:dyDescent="0.15">
      <c r="B17" s="96" t="s">
        <v>1002</v>
      </c>
      <c r="C17" s="94">
        <f>SUMIFS('caseload data'!E:E,'caseload data'!$D:$D,"PO",'caseload data'!$C:$C,'divisional &amp; regional caseload'!$B$15)</f>
        <v>0</v>
      </c>
      <c r="D17" s="94">
        <f>SUMIFS('caseload data'!F:F,'caseload data'!$D:$D,"PO",'caseload data'!$C:$C,'divisional &amp; regional caseload'!$B$15)</f>
        <v>0</v>
      </c>
      <c r="E17" s="94">
        <f>SUMIFS('caseload data'!G:G,'caseload data'!$D:$D,"PO",'caseload data'!$C:$C,'divisional &amp; regional caseload'!$B$15)</f>
        <v>0</v>
      </c>
      <c r="F17" s="94">
        <f>SUMIFS('caseload data'!H:H,'caseload data'!$D:$D,"PO",'caseload data'!$C:$C,'divisional &amp; regional caseload'!$B$15)</f>
        <v>0</v>
      </c>
      <c r="G17" s="94">
        <f>SUMIFS('caseload data'!I:I,'caseload data'!$D:$D,"PO",'caseload data'!$C:$C,'divisional &amp; regional caseload'!$B$15)</f>
        <v>0</v>
      </c>
      <c r="H17" s="94">
        <f>SUMIFS('caseload data'!J:J,'caseload data'!$D:$D,"PO",'caseload data'!$C:$C,'divisional &amp; regional caseload'!$B$15)</f>
        <v>0</v>
      </c>
      <c r="I17" s="94">
        <f>SUMIFS('caseload data'!K:K,'caseload data'!$D:$D,"PO",'caseload data'!$C:$C,'divisional &amp; regional caseload'!$B$15)</f>
        <v>0</v>
      </c>
      <c r="J17" s="94">
        <f>SUMIFS('caseload data'!L:L,'caseload data'!$D:$D,"PO",'caseload data'!$C:$C,'divisional &amp; regional caseload'!$B$15)</f>
        <v>0</v>
      </c>
      <c r="K17" s="94">
        <f>SUMIFS('caseload data'!M:M,'caseload data'!$D:$D,"PO",'caseload data'!$C:$C,'divisional &amp; regional caseload'!$B$15)</f>
        <v>0</v>
      </c>
      <c r="L17" s="94">
        <f>SUMIFS('caseload data'!N:N,'caseload data'!$D:$D,"PO",'caseload data'!$C:$C,'divisional &amp; regional caseload'!$B$15)</f>
        <v>0</v>
      </c>
      <c r="M17" s="94">
        <f>SUMIFS('caseload data'!O:O,'caseload data'!$D:$D,"PO",'caseload data'!$C:$C,'divisional &amp; regional caseload'!$B$15)</f>
        <v>0</v>
      </c>
      <c r="N17" s="94">
        <f>SUMIFS('caseload data'!P:P,'caseload data'!$D:$D,"PO",'caseload data'!$C:$C,'divisional &amp; regional caseload'!$B$15)</f>
        <v>0</v>
      </c>
      <c r="O17" s="94">
        <f>SUMIFS('caseload data'!Q:Q,'caseload data'!$D:$D,"PO",'caseload data'!$C:$C,'divisional &amp; regional caseload'!$B$15)</f>
        <v>0</v>
      </c>
      <c r="P17" s="94">
        <f>SUMIFS('caseload data'!R:R,'caseload data'!$D:$D,"PO",'caseload data'!$C:$C,'divisional &amp; regional caseload'!$B$15)</f>
        <v>0</v>
      </c>
      <c r="Q17" s="94">
        <f>SUMIFS('caseload data'!S:S,'caseload data'!$D:$D,"PO",'caseload data'!$C:$C,'divisional &amp; regional caseload'!$B$15)</f>
        <v>0</v>
      </c>
      <c r="R17" s="94">
        <f>SUMIFS('caseload data'!T:T,'caseload data'!$D:$D,"PO",'caseload data'!$C:$C,'divisional &amp; regional caseload'!$B$15)</f>
        <v>0</v>
      </c>
      <c r="S17" s="91"/>
      <c r="T17" s="96" t="s">
        <v>1002</v>
      </c>
      <c r="U17" s="94">
        <f>SUMIFS('caseload data'!E:E,'caseload data'!$D:$D,"PO",'caseload data'!$C:$C,'divisional &amp; regional caseload'!$T$15)</f>
        <v>0</v>
      </c>
      <c r="V17" s="94">
        <f>SUMIFS('caseload data'!F:F,'caseload data'!$D:$D,"PO",'caseload data'!$C:$C,'divisional &amp; regional caseload'!$T$15)</f>
        <v>0</v>
      </c>
      <c r="W17" s="94">
        <f>SUMIFS('caseload data'!G:G,'caseload data'!$D:$D,"PO",'caseload data'!$C:$C,'divisional &amp; regional caseload'!$T$15)</f>
        <v>0</v>
      </c>
      <c r="X17" s="94">
        <f>SUMIFS('caseload data'!H:H,'caseload data'!$D:$D,"PO",'caseload data'!$C:$C,'divisional &amp; regional caseload'!$T$15)</f>
        <v>0</v>
      </c>
      <c r="Y17" s="94">
        <f>SUMIFS('caseload data'!I:I,'caseload data'!$D:$D,"PO",'caseload data'!$C:$C,'divisional &amp; regional caseload'!$T$15)</f>
        <v>0</v>
      </c>
      <c r="Z17" s="94">
        <f>SUMIFS('caseload data'!J:J,'caseload data'!$D:$D,"PO",'caseload data'!$C:$C,'divisional &amp; regional caseload'!$T$15)</f>
        <v>0</v>
      </c>
      <c r="AA17" s="94">
        <f>SUMIFS('caseload data'!K:K,'caseload data'!$D:$D,"PO",'caseload data'!$C:$C,'divisional &amp; regional caseload'!$T$15)</f>
        <v>0</v>
      </c>
      <c r="AB17" s="94">
        <f>SUMIFS('caseload data'!L:L,'caseload data'!$D:$D,"PO",'caseload data'!$C:$C,'divisional &amp; regional caseload'!$T$15)</f>
        <v>0</v>
      </c>
      <c r="AC17" s="94">
        <f>SUMIFS('caseload data'!M:M,'caseload data'!$D:$D,"PO",'caseload data'!$C:$C,'divisional &amp; regional caseload'!$T$15)</f>
        <v>0</v>
      </c>
      <c r="AD17" s="94">
        <f>SUMIFS('caseload data'!N:N,'caseload data'!$D:$D,"PO",'caseload data'!$C:$C,'divisional &amp; regional caseload'!$T$15)</f>
        <v>0</v>
      </c>
      <c r="AE17" s="94">
        <f>SUMIFS('caseload data'!O:O,'caseload data'!$D:$D,"PO",'caseload data'!$C:$C,'divisional &amp; regional caseload'!$T$15)</f>
        <v>0</v>
      </c>
      <c r="AF17" s="94">
        <f>SUMIFS('caseload data'!P:P,'caseload data'!$D:$D,"PO",'caseload data'!$C:$C,'divisional &amp; regional caseload'!$T$15)</f>
        <v>0</v>
      </c>
      <c r="AG17" s="94">
        <f>SUMIFS('caseload data'!Q:Q,'caseload data'!$D:$D,"PO",'caseload data'!$C:$C,'divisional &amp; regional caseload'!$T$15)</f>
        <v>0</v>
      </c>
      <c r="AH17" s="94">
        <f>SUMIFS('caseload data'!R:R,'caseload data'!$D:$D,"PO",'caseload data'!$C:$C,'divisional &amp; regional caseload'!$T$15)</f>
        <v>0</v>
      </c>
      <c r="AI17" s="94">
        <f>SUMIFS('caseload data'!S:S,'caseload data'!$D:$D,"PO",'caseload data'!$C:$C,'divisional &amp; regional caseload'!$T$15)</f>
        <v>0</v>
      </c>
      <c r="AJ17" s="94">
        <f>SUMIFS('caseload data'!T:T,'caseload data'!$D:$D,"PO",'caseload data'!$C:$C,'divisional &amp; regional caseload'!$T$15)</f>
        <v>0</v>
      </c>
    </row>
    <row r="18" spans="2:36" x14ac:dyDescent="0.15">
      <c r="B18" s="97" t="s">
        <v>1007</v>
      </c>
      <c r="C18" s="94">
        <f>SUMIFS('caseload data'!E:E,'caseload data'!$D:$D,"PSO",'caseload data'!$C:$C,'divisional &amp; regional caseload'!$B$15)</f>
        <v>0</v>
      </c>
      <c r="D18" s="94">
        <f>SUMIFS('caseload data'!F:F,'caseload data'!$D:$D,"PSO",'caseload data'!$C:$C,'divisional &amp; regional caseload'!$B$15)</f>
        <v>0</v>
      </c>
      <c r="E18" s="94">
        <f>SUMIFS('caseload data'!G:G,'caseload data'!$D:$D,"PSO",'caseload data'!$C:$C,'divisional &amp; regional caseload'!$B$15)</f>
        <v>0</v>
      </c>
      <c r="F18" s="94">
        <f>SUMIFS('caseload data'!H:H,'caseload data'!$D:$D,"PSO",'caseload data'!$C:$C,'divisional &amp; regional caseload'!$B$15)</f>
        <v>0</v>
      </c>
      <c r="G18" s="94">
        <f>SUMIFS('caseload data'!I:I,'caseload data'!$D:$D,"PSO",'caseload data'!$C:$C,'divisional &amp; regional caseload'!$B$15)</f>
        <v>0</v>
      </c>
      <c r="H18" s="94">
        <f>SUMIFS('caseload data'!J:J,'caseload data'!$D:$D,"PSO",'caseload data'!$C:$C,'divisional &amp; regional caseload'!$B$15)</f>
        <v>0</v>
      </c>
      <c r="I18" s="94">
        <f>SUMIFS('caseload data'!K:K,'caseload data'!$D:$D,"PSO",'caseload data'!$C:$C,'divisional &amp; regional caseload'!$B$15)</f>
        <v>0</v>
      </c>
      <c r="J18" s="94">
        <f>SUMIFS('caseload data'!L:L,'caseload data'!$D:$D,"PSO",'caseload data'!$C:$C,'divisional &amp; regional caseload'!$B$15)</f>
        <v>0</v>
      </c>
      <c r="K18" s="94">
        <f>SUMIFS('caseload data'!M:M,'caseload data'!$D:$D,"PSO",'caseload data'!$C:$C,'divisional &amp; regional caseload'!$B$15)</f>
        <v>0</v>
      </c>
      <c r="L18" s="94">
        <f>SUMIFS('caseload data'!N:N,'caseload data'!$D:$D,"PSO",'caseload data'!$C:$C,'divisional &amp; regional caseload'!$B$15)</f>
        <v>0</v>
      </c>
      <c r="M18" s="94">
        <f>SUMIFS('caseload data'!O:O,'caseload data'!$D:$D,"PSO",'caseload data'!$C:$C,'divisional &amp; regional caseload'!$B$15)</f>
        <v>0</v>
      </c>
      <c r="N18" s="94">
        <f>SUMIFS('caseload data'!P:P,'caseload data'!$D:$D,"PSO",'caseload data'!$C:$C,'divisional &amp; regional caseload'!$B$15)</f>
        <v>0</v>
      </c>
      <c r="O18" s="94">
        <f>SUMIFS('caseload data'!Q:Q,'caseload data'!$D:$D,"PSO",'caseload data'!$C:$C,'divisional &amp; regional caseload'!$B$15)</f>
        <v>0</v>
      </c>
      <c r="P18" s="94">
        <f>SUMIFS('caseload data'!R:R,'caseload data'!$D:$D,"PSO",'caseload data'!$C:$C,'divisional &amp; regional caseload'!$B$15)</f>
        <v>0</v>
      </c>
      <c r="Q18" s="94">
        <f>SUMIFS('caseload data'!S:S,'caseload data'!$D:$D,"PSO",'caseload data'!$C:$C,'divisional &amp; regional caseload'!$B$15)</f>
        <v>0</v>
      </c>
      <c r="R18" s="94">
        <f>SUMIFS('caseload data'!T:T,'caseload data'!$D:$D,"PSO",'caseload data'!$C:$C,'divisional &amp; regional caseload'!$B$15)</f>
        <v>0</v>
      </c>
      <c r="S18" s="91"/>
      <c r="T18" s="97" t="s">
        <v>1007</v>
      </c>
      <c r="U18" s="94">
        <f>SUMIFS('caseload data'!E:E,'caseload data'!$D:$D,"PSO",'caseload data'!$C:$C,'divisional &amp; regional caseload'!$T$15)</f>
        <v>0</v>
      </c>
      <c r="V18" s="94">
        <f>SUMIFS('caseload data'!F:F,'caseload data'!$D:$D,"PSO",'caseload data'!$C:$C,'divisional &amp; regional caseload'!$T$15)</f>
        <v>0</v>
      </c>
      <c r="W18" s="94">
        <f>SUMIFS('caseload data'!G:G,'caseload data'!$D:$D,"PSO",'caseload data'!$C:$C,'divisional &amp; regional caseload'!$T$15)</f>
        <v>0</v>
      </c>
      <c r="X18" s="94">
        <f>SUMIFS('caseload data'!H:H,'caseload data'!$D:$D,"PSO",'caseload data'!$C:$C,'divisional &amp; regional caseload'!$T$15)</f>
        <v>0</v>
      </c>
      <c r="Y18" s="94">
        <f>SUMIFS('caseload data'!I:I,'caseload data'!$D:$D,"PSO",'caseload data'!$C:$C,'divisional &amp; regional caseload'!$T$15)</f>
        <v>0</v>
      </c>
      <c r="Z18" s="94">
        <f>SUMIFS('caseload data'!J:J,'caseload data'!$D:$D,"PSO",'caseload data'!$C:$C,'divisional &amp; regional caseload'!$T$15)</f>
        <v>0</v>
      </c>
      <c r="AA18" s="94">
        <f>SUMIFS('caseload data'!K:K,'caseload data'!$D:$D,"PSO",'caseload data'!$C:$C,'divisional &amp; regional caseload'!$T$15)</f>
        <v>0</v>
      </c>
      <c r="AB18" s="94">
        <f>SUMIFS('caseload data'!L:L,'caseload data'!$D:$D,"PSO",'caseload data'!$C:$C,'divisional &amp; regional caseload'!$T$15)</f>
        <v>0</v>
      </c>
      <c r="AC18" s="94">
        <f>SUMIFS('caseload data'!M:M,'caseload data'!$D:$D,"PSO",'caseload data'!$C:$C,'divisional &amp; regional caseload'!$T$15)</f>
        <v>0</v>
      </c>
      <c r="AD18" s="94">
        <f>SUMIFS('caseload data'!N:N,'caseload data'!$D:$D,"PSO",'caseload data'!$C:$C,'divisional &amp; regional caseload'!$T$15)</f>
        <v>0</v>
      </c>
      <c r="AE18" s="94">
        <f>SUMIFS('caseload data'!O:O,'caseload data'!$D:$D,"PSO",'caseload data'!$C:$C,'divisional &amp; regional caseload'!$T$15)</f>
        <v>0</v>
      </c>
      <c r="AF18" s="94">
        <f>SUMIFS('caseload data'!P:P,'caseload data'!$D:$D,"PSO",'caseload data'!$C:$C,'divisional &amp; regional caseload'!$T$15)</f>
        <v>0</v>
      </c>
      <c r="AG18" s="94">
        <f>SUMIFS('caseload data'!Q:Q,'caseload data'!$D:$D,"PSO",'caseload data'!$C:$C,'divisional &amp; regional caseload'!$T$15)</f>
        <v>0</v>
      </c>
      <c r="AH18" s="94">
        <f>SUMIFS('caseload data'!R:R,'caseload data'!$D:$D,"PSO",'caseload data'!$C:$C,'divisional &amp; regional caseload'!$T$15)</f>
        <v>0</v>
      </c>
      <c r="AI18" s="94">
        <f>SUMIFS('caseload data'!S:S,'caseload data'!$D:$D,"PSO",'caseload data'!$C:$C,'divisional &amp; regional caseload'!$T$15)</f>
        <v>0</v>
      </c>
      <c r="AJ18" s="94">
        <f>SUMIFS('caseload data'!T:T,'caseload data'!$D:$D,"PSO",'caseload data'!$C:$C,'divisional &amp; regional caseload'!$T$15)</f>
        <v>0</v>
      </c>
    </row>
    <row r="19" spans="2:36" x14ac:dyDescent="0.15">
      <c r="B19" s="97" t="s">
        <v>1008</v>
      </c>
      <c r="C19" s="94">
        <f>SUMIFS('caseload data'!E:E,'caseload data'!$D:$D,"TPO",'caseload data'!$C:$C,'divisional &amp; regional caseload'!$B$15)</f>
        <v>0</v>
      </c>
      <c r="D19" s="94">
        <f>SUMIFS('caseload data'!F:F,'caseload data'!$D:$D,"TPO",'caseload data'!$C:$C,'divisional &amp; regional caseload'!$B$15)</f>
        <v>0</v>
      </c>
      <c r="E19" s="94">
        <f>SUMIFS('caseload data'!G:G,'caseload data'!$D:$D,"TPO",'caseload data'!$C:$C,'divisional &amp; regional caseload'!$B$15)</f>
        <v>0</v>
      </c>
      <c r="F19" s="94">
        <f>SUMIFS('caseload data'!H:H,'caseload data'!$D:$D,"TPO",'caseload data'!$C:$C,'divisional &amp; regional caseload'!$B$15)</f>
        <v>0</v>
      </c>
      <c r="G19" s="94">
        <f>SUMIFS('caseload data'!I:I,'caseload data'!$D:$D,"TPO",'caseload data'!$C:$C,'divisional &amp; regional caseload'!$B$15)</f>
        <v>0</v>
      </c>
      <c r="H19" s="94">
        <f>SUMIFS('caseload data'!J:J,'caseload data'!$D:$D,"TPO",'caseload data'!$C:$C,'divisional &amp; regional caseload'!$B$15)</f>
        <v>0</v>
      </c>
      <c r="I19" s="94">
        <f>SUMIFS('caseload data'!K:K,'caseload data'!$D:$D,"TPO",'caseload data'!$C:$C,'divisional &amp; regional caseload'!$B$15)</f>
        <v>0</v>
      </c>
      <c r="J19" s="94">
        <f>SUMIFS('caseload data'!L:L,'caseload data'!$D:$D,"TPO",'caseload data'!$C:$C,'divisional &amp; regional caseload'!$B$15)</f>
        <v>0</v>
      </c>
      <c r="K19" s="94">
        <f>SUMIFS('caseload data'!M:M,'caseload data'!$D:$D,"TPO",'caseload data'!$C:$C,'divisional &amp; regional caseload'!$B$15)</f>
        <v>0</v>
      </c>
      <c r="L19" s="94">
        <f>SUMIFS('caseload data'!N:N,'caseload data'!$D:$D,"TPO",'caseload data'!$C:$C,'divisional &amp; regional caseload'!$B$15)</f>
        <v>0</v>
      </c>
      <c r="M19" s="94">
        <f>SUMIFS('caseload data'!O:O,'caseload data'!$D:$D,"TPO",'caseload data'!$C:$C,'divisional &amp; regional caseload'!$B$15)</f>
        <v>0</v>
      </c>
      <c r="N19" s="94">
        <f>SUMIFS('caseload data'!P:P,'caseload data'!$D:$D,"TPO",'caseload data'!$C:$C,'divisional &amp; regional caseload'!$B$15)</f>
        <v>0</v>
      </c>
      <c r="O19" s="94">
        <f>SUMIFS('caseload data'!Q:Q,'caseload data'!$D:$D,"TPO",'caseload data'!$C:$C,'divisional &amp; regional caseload'!$B$15)</f>
        <v>0</v>
      </c>
      <c r="P19" s="94">
        <f>SUMIFS('caseload data'!R:R,'caseload data'!$D:$D,"TPO",'caseload data'!$C:$C,'divisional &amp; regional caseload'!$B$15)</f>
        <v>0</v>
      </c>
      <c r="Q19" s="94">
        <f>SUMIFS('caseload data'!S:S,'caseload data'!$D:$D,"TPO",'caseload data'!$C:$C,'divisional &amp; regional caseload'!$B$15)</f>
        <v>0</v>
      </c>
      <c r="R19" s="94">
        <f>SUMIFS('caseload data'!T:T,'caseload data'!$D:$D,"TPO",'caseload data'!$C:$C,'divisional &amp; regional caseload'!$B$15)</f>
        <v>0</v>
      </c>
      <c r="S19" s="91"/>
      <c r="T19" s="97" t="s">
        <v>1008</v>
      </c>
      <c r="U19" s="94">
        <f>SUMIFS('caseload data'!E:E,'caseload data'!$D:$D,"TPO",'caseload data'!$C:$C,'divisional &amp; regional caseload'!$T$15)</f>
        <v>0</v>
      </c>
      <c r="V19" s="94">
        <f>SUMIFS('caseload data'!F:F,'caseload data'!$D:$D,"TPO",'caseload data'!$C:$C,'divisional &amp; regional caseload'!$T$15)</f>
        <v>0</v>
      </c>
      <c r="W19" s="94">
        <f>SUMIFS('caseload data'!G:G,'caseload data'!$D:$D,"TPO",'caseload data'!$C:$C,'divisional &amp; regional caseload'!$T$15)</f>
        <v>0</v>
      </c>
      <c r="X19" s="94">
        <f>SUMIFS('caseload data'!H:H,'caseload data'!$D:$D,"TPO",'caseload data'!$C:$C,'divisional &amp; regional caseload'!$T$15)</f>
        <v>0</v>
      </c>
      <c r="Y19" s="94">
        <f>SUMIFS('caseload data'!I:I,'caseload data'!$D:$D,"TPO",'caseload data'!$C:$C,'divisional &amp; regional caseload'!$T$15)</f>
        <v>0</v>
      </c>
      <c r="Z19" s="94">
        <f>SUMIFS('caseload data'!J:J,'caseload data'!$D:$D,"TPO",'caseload data'!$C:$C,'divisional &amp; regional caseload'!$T$15)</f>
        <v>0</v>
      </c>
      <c r="AA19" s="94">
        <f>SUMIFS('caseload data'!K:K,'caseload data'!$D:$D,"TPO",'caseload data'!$C:$C,'divisional &amp; regional caseload'!$T$15)</f>
        <v>0</v>
      </c>
      <c r="AB19" s="94">
        <f>SUMIFS('caseload data'!L:L,'caseload data'!$D:$D,"TPO",'caseload data'!$C:$C,'divisional &amp; regional caseload'!$T$15)</f>
        <v>0</v>
      </c>
      <c r="AC19" s="94">
        <f>SUMIFS('caseload data'!M:M,'caseload data'!$D:$D,"TPO",'caseload data'!$C:$C,'divisional &amp; regional caseload'!$T$15)</f>
        <v>0</v>
      </c>
      <c r="AD19" s="94">
        <f>SUMIFS('caseload data'!N:N,'caseload data'!$D:$D,"TPO",'caseload data'!$C:$C,'divisional &amp; regional caseload'!$T$15)</f>
        <v>0</v>
      </c>
      <c r="AE19" s="94">
        <f>SUMIFS('caseload data'!O:O,'caseload data'!$D:$D,"TPO",'caseload data'!$C:$C,'divisional &amp; regional caseload'!$T$15)</f>
        <v>0</v>
      </c>
      <c r="AF19" s="94">
        <f>SUMIFS('caseload data'!P:P,'caseload data'!$D:$D,"TPO",'caseload data'!$C:$C,'divisional &amp; regional caseload'!$T$15)</f>
        <v>0</v>
      </c>
      <c r="AG19" s="94">
        <f>SUMIFS('caseload data'!Q:Q,'caseload data'!$D:$D,"TPO",'caseload data'!$C:$C,'divisional &amp; regional caseload'!$T$15)</f>
        <v>0</v>
      </c>
      <c r="AH19" s="94">
        <f>SUMIFS('caseload data'!R:R,'caseload data'!$D:$D,"TPO",'caseload data'!$C:$C,'divisional &amp; regional caseload'!$T$15)</f>
        <v>0</v>
      </c>
      <c r="AI19" s="94">
        <f>SUMIFS('caseload data'!S:S,'caseload data'!$D:$D,"TPO",'caseload data'!$C:$C,'divisional &amp; regional caseload'!$T$15)</f>
        <v>0</v>
      </c>
      <c r="AJ19" s="94">
        <f>SUMIFS('caseload data'!T:T,'caseload data'!$D:$D,"TPO",'caseload data'!$C:$C,'divisional &amp; regional caseload'!$T$15)</f>
        <v>0</v>
      </c>
    </row>
    <row r="20" spans="2:36" x14ac:dyDescent="0.15">
      <c r="B20" s="98" t="s">
        <v>1009</v>
      </c>
      <c r="C20" s="94">
        <f>SUMIFS('caseload data'!E:E,'caseload data'!$D:$D,"SPO",'caseload data'!$C:$C,'divisional &amp; regional caseload'!$B$15)</f>
        <v>0</v>
      </c>
      <c r="D20" s="94">
        <f>SUMIFS('caseload data'!F:F,'caseload data'!$D:$D,"SPO",'caseload data'!$C:$C,'divisional &amp; regional caseload'!$B$15)</f>
        <v>0</v>
      </c>
      <c r="E20" s="94">
        <f>SUMIFS('caseload data'!G:G,'caseload data'!$D:$D,"SPO",'caseload data'!$C:$C,'divisional &amp; regional caseload'!$B$15)</f>
        <v>0</v>
      </c>
      <c r="F20" s="94">
        <f>SUMIFS('caseload data'!H:H,'caseload data'!$D:$D,"SPO",'caseload data'!$C:$C,'divisional &amp; regional caseload'!$B$15)</f>
        <v>0</v>
      </c>
      <c r="G20" s="94">
        <f>SUMIFS('caseload data'!I:I,'caseload data'!$D:$D,"SPO",'caseload data'!$C:$C,'divisional &amp; regional caseload'!$B$15)</f>
        <v>0</v>
      </c>
      <c r="H20" s="94">
        <f>SUMIFS('caseload data'!J:J,'caseload data'!$D:$D,"SPO",'caseload data'!$C:$C,'divisional &amp; regional caseload'!$B$15)</f>
        <v>0</v>
      </c>
      <c r="I20" s="94">
        <f>SUMIFS('caseload data'!K:K,'caseload data'!$D:$D,"SPO",'caseload data'!$C:$C,'divisional &amp; regional caseload'!$B$15)</f>
        <v>0</v>
      </c>
      <c r="J20" s="94">
        <f>SUMIFS('caseload data'!L:L,'caseload data'!$D:$D,"SPO",'caseload data'!$C:$C,'divisional &amp; regional caseload'!$B$15)</f>
        <v>0</v>
      </c>
      <c r="K20" s="94">
        <f>SUMIFS('caseload data'!M:M,'caseload data'!$D:$D,"SPO",'caseload data'!$C:$C,'divisional &amp; regional caseload'!$B$15)</f>
        <v>0</v>
      </c>
      <c r="L20" s="94">
        <f>SUMIFS('caseload data'!N:N,'caseload data'!$D:$D,"SPO",'caseload data'!$C:$C,'divisional &amp; regional caseload'!$B$15)</f>
        <v>0</v>
      </c>
      <c r="M20" s="94">
        <f>SUMIFS('caseload data'!O:O,'caseload data'!$D:$D,"SPO",'caseload data'!$C:$C,'divisional &amp; regional caseload'!$B$15)</f>
        <v>0</v>
      </c>
      <c r="N20" s="94">
        <f>SUMIFS('caseload data'!P:P,'caseload data'!$D:$D,"SPO",'caseload data'!$C:$C,'divisional &amp; regional caseload'!$B$15)</f>
        <v>0</v>
      </c>
      <c r="O20" s="94">
        <f>SUMIFS('caseload data'!Q:Q,'caseload data'!$D:$D,"SPO",'caseload data'!$C:$C,'divisional &amp; regional caseload'!$B$15)</f>
        <v>0</v>
      </c>
      <c r="P20" s="94">
        <f>SUMIFS('caseload data'!R:R,'caseload data'!$D:$D,"SPO",'caseload data'!$C:$C,'divisional &amp; regional caseload'!$B$15)</f>
        <v>0</v>
      </c>
      <c r="Q20" s="94">
        <f>SUMIFS('caseload data'!S:S,'caseload data'!$D:$D,"SPO",'caseload data'!$C:$C,'divisional &amp; regional caseload'!$B$15)</f>
        <v>0</v>
      </c>
      <c r="R20" s="94">
        <f>SUMIFS('caseload data'!T:T,'caseload data'!$D:$D,"SPO",'caseload data'!$C:$C,'divisional &amp; regional caseload'!$B$15)</f>
        <v>0</v>
      </c>
      <c r="S20" s="91"/>
      <c r="T20" s="98" t="s">
        <v>1009</v>
      </c>
      <c r="U20" s="94">
        <f>SUMIFS('caseload data'!E:E,'caseload data'!$D:$D,"SPO",'caseload data'!$C:$C,'divisional &amp; regional caseload'!$T$15)</f>
        <v>0</v>
      </c>
      <c r="V20" s="94">
        <f>SUMIFS('caseload data'!F:F,'caseload data'!$D:$D,"SPO",'caseload data'!$C:$C,'divisional &amp; regional caseload'!$T$15)</f>
        <v>0</v>
      </c>
      <c r="W20" s="94">
        <f>SUMIFS('caseload data'!G:G,'caseload data'!$D:$D,"SPO",'caseload data'!$C:$C,'divisional &amp; regional caseload'!$T$15)</f>
        <v>0</v>
      </c>
      <c r="X20" s="94">
        <f>SUMIFS('caseload data'!H:H,'caseload data'!$D:$D,"SPO",'caseload data'!$C:$C,'divisional &amp; regional caseload'!$T$15)</f>
        <v>0</v>
      </c>
      <c r="Y20" s="94">
        <f>SUMIFS('caseload data'!I:I,'caseload data'!$D:$D,"SPO",'caseload data'!$C:$C,'divisional &amp; regional caseload'!$T$15)</f>
        <v>0</v>
      </c>
      <c r="Z20" s="94">
        <f>SUMIFS('caseload data'!J:J,'caseload data'!$D:$D,"SPO",'caseload data'!$C:$C,'divisional &amp; regional caseload'!$T$15)</f>
        <v>0</v>
      </c>
      <c r="AA20" s="94">
        <f>SUMIFS('caseload data'!K:K,'caseload data'!$D:$D,"SPO",'caseload data'!$C:$C,'divisional &amp; regional caseload'!$T$15)</f>
        <v>0</v>
      </c>
      <c r="AB20" s="94">
        <f>SUMIFS('caseload data'!L:L,'caseload data'!$D:$D,"SPO",'caseload data'!$C:$C,'divisional &amp; regional caseload'!$T$15)</f>
        <v>0</v>
      </c>
      <c r="AC20" s="94">
        <f>SUMIFS('caseload data'!M:M,'caseload data'!$D:$D,"SPO",'caseload data'!$C:$C,'divisional &amp; regional caseload'!$T$15)</f>
        <v>0</v>
      </c>
      <c r="AD20" s="94">
        <f>SUMIFS('caseload data'!N:N,'caseload data'!$D:$D,"SPO",'caseload data'!$C:$C,'divisional &amp; regional caseload'!$T$15)</f>
        <v>0</v>
      </c>
      <c r="AE20" s="94">
        <f>SUMIFS('caseload data'!O:O,'caseload data'!$D:$D,"SPO",'caseload data'!$C:$C,'divisional &amp; regional caseload'!$T$15)</f>
        <v>0</v>
      </c>
      <c r="AF20" s="94">
        <f>SUMIFS('caseload data'!P:P,'caseload data'!$D:$D,"SPO",'caseload data'!$C:$C,'divisional &amp; regional caseload'!$T$15)</f>
        <v>0</v>
      </c>
      <c r="AG20" s="94">
        <f>SUMIFS('caseload data'!Q:Q,'caseload data'!$D:$D,"SPO",'caseload data'!$C:$C,'divisional &amp; regional caseload'!$T$15)</f>
        <v>0</v>
      </c>
      <c r="AH20" s="94">
        <f>SUMIFS('caseload data'!R:R,'caseload data'!$D:$D,"SPO",'caseload data'!$C:$C,'divisional &amp; regional caseload'!$T$15)</f>
        <v>0</v>
      </c>
      <c r="AI20" s="94">
        <f>SUMIFS('caseload data'!S:S,'caseload data'!$D:$D,"SPO",'caseload data'!$C:$C,'divisional &amp; regional caseload'!$T$15)</f>
        <v>0</v>
      </c>
      <c r="AJ20" s="94">
        <f>SUMIFS('caseload data'!T:T,'caseload data'!$D:$D,"SPO",'caseload data'!$C:$C,'divisional &amp; regional caseload'!$T$15)</f>
        <v>0</v>
      </c>
    </row>
    <row r="21" spans="2:36" x14ac:dyDescent="0.15">
      <c r="B21" s="91"/>
      <c r="C21" s="91"/>
      <c r="D21" s="91"/>
      <c r="E21" s="91"/>
      <c r="F21" s="91"/>
      <c r="G21" s="91"/>
      <c r="H21" s="91"/>
      <c r="I21" s="91"/>
      <c r="J21" s="91"/>
      <c r="K21" s="91"/>
      <c r="L21" s="91"/>
      <c r="M21" s="91"/>
      <c r="N21" s="91"/>
      <c r="O21" s="91"/>
      <c r="P21" s="91"/>
      <c r="Q21" s="91"/>
      <c r="R21" s="91"/>
      <c r="S21" s="91"/>
      <c r="T21" s="91"/>
      <c r="U21" s="91"/>
      <c r="V21" s="91"/>
      <c r="W21" s="91"/>
      <c r="X21" s="91"/>
      <c r="Y21" s="91"/>
      <c r="Z21" s="91"/>
      <c r="AA21" s="91"/>
    </row>
    <row r="22" spans="2:36" ht="30.75" customHeight="1" x14ac:dyDescent="0.15">
      <c r="B22" s="289" t="str">
        <f>HLOOKUP($B$5,Region_Table,6,0)</f>
        <v>Newcastle Upon Tyne - N54</v>
      </c>
      <c r="C22" s="515" t="s">
        <v>1097</v>
      </c>
      <c r="D22" s="516"/>
      <c r="E22" s="516"/>
      <c r="F22" s="516"/>
      <c r="G22" s="516"/>
      <c r="H22" s="516"/>
      <c r="I22" s="516"/>
      <c r="J22" s="516"/>
      <c r="K22" s="516"/>
      <c r="L22" s="516"/>
      <c r="M22" s="520"/>
      <c r="N22" s="520"/>
      <c r="O22" s="521"/>
      <c r="P22" s="510">
        <f>SUMIF('caseload data'!$C:$C,'divisional &amp; regional caseload'!B22,'caseload data'!V:V)</f>
        <v>0</v>
      </c>
      <c r="Q22" s="511"/>
      <c r="R22" s="512"/>
      <c r="S22" s="91"/>
      <c r="T22" s="289" t="str">
        <f>HLOOKUP($B$5,Region_Table,7,0)</f>
        <v>North Tyneside and Northumberland</v>
      </c>
      <c r="U22" s="515" t="s">
        <v>1097</v>
      </c>
      <c r="V22" s="516"/>
      <c r="W22" s="516"/>
      <c r="X22" s="516"/>
      <c r="Y22" s="516"/>
      <c r="Z22" s="516"/>
      <c r="AA22" s="516"/>
      <c r="AB22" s="516"/>
      <c r="AC22" s="516"/>
      <c r="AD22" s="516"/>
      <c r="AE22" s="516"/>
      <c r="AF22" s="516"/>
      <c r="AG22" s="517"/>
      <c r="AH22" s="510">
        <f>SUMIF('caseload data'!$C:$C,'divisional &amp; regional caseload'!T22,'caseload data'!V:V)</f>
        <v>0</v>
      </c>
      <c r="AI22" s="511"/>
      <c r="AJ22" s="512"/>
    </row>
    <row r="23" spans="2:36" x14ac:dyDescent="0.15">
      <c r="B23" s="95" t="s">
        <v>1005</v>
      </c>
      <c r="C23" s="38" t="s">
        <v>869</v>
      </c>
      <c r="D23" s="38" t="s">
        <v>870</v>
      </c>
      <c r="E23" s="38" t="s">
        <v>871</v>
      </c>
      <c r="F23" s="38" t="s">
        <v>872</v>
      </c>
      <c r="G23" s="38" t="s">
        <v>873</v>
      </c>
      <c r="H23" s="38" t="s">
        <v>874</v>
      </c>
      <c r="I23" s="38" t="s">
        <v>875</v>
      </c>
      <c r="J23" s="38" t="s">
        <v>876</v>
      </c>
      <c r="K23" s="38" t="s">
        <v>877</v>
      </c>
      <c r="L23" s="38" t="s">
        <v>878</v>
      </c>
      <c r="M23" s="38" t="s">
        <v>879</v>
      </c>
      <c r="N23" s="38" t="s">
        <v>880</v>
      </c>
      <c r="O23" s="38" t="s">
        <v>881</v>
      </c>
      <c r="P23" s="38" t="s">
        <v>882</v>
      </c>
      <c r="Q23" s="38" t="s">
        <v>883</v>
      </c>
      <c r="R23" s="38" t="s">
        <v>884</v>
      </c>
      <c r="S23" s="91"/>
      <c r="T23" s="95" t="s">
        <v>1005</v>
      </c>
      <c r="U23" s="38" t="s">
        <v>869</v>
      </c>
      <c r="V23" s="38" t="s">
        <v>870</v>
      </c>
      <c r="W23" s="38" t="s">
        <v>871</v>
      </c>
      <c r="X23" s="38" t="s">
        <v>872</v>
      </c>
      <c r="Y23" s="38" t="s">
        <v>873</v>
      </c>
      <c r="Z23" s="38" t="s">
        <v>874</v>
      </c>
      <c r="AA23" s="38" t="s">
        <v>875</v>
      </c>
      <c r="AB23" s="38" t="s">
        <v>876</v>
      </c>
      <c r="AC23" s="38" t="s">
        <v>877</v>
      </c>
      <c r="AD23" s="38" t="s">
        <v>878</v>
      </c>
      <c r="AE23" s="38" t="s">
        <v>879</v>
      </c>
      <c r="AF23" s="38" t="s">
        <v>880</v>
      </c>
      <c r="AG23" s="38" t="s">
        <v>881</v>
      </c>
      <c r="AH23" s="38" t="s">
        <v>882</v>
      </c>
      <c r="AI23" s="38" t="s">
        <v>883</v>
      </c>
      <c r="AJ23" s="38" t="s">
        <v>884</v>
      </c>
    </row>
    <row r="24" spans="2:36" x14ac:dyDescent="0.15">
      <c r="B24" s="96" t="s">
        <v>1002</v>
      </c>
      <c r="C24" s="94">
        <f>SUMIFS('caseload data'!E:E,'caseload data'!$D:$D,"PO",'caseload data'!$C:$C,'divisional &amp; regional caseload'!$B$22)</f>
        <v>0</v>
      </c>
      <c r="D24" s="94">
        <f>SUMIFS('caseload data'!F:F,'caseload data'!$D:$D,"PO",'caseload data'!$C:$C,'divisional &amp; regional caseload'!$B$22)</f>
        <v>0</v>
      </c>
      <c r="E24" s="94">
        <f>SUMIFS('caseload data'!G:G,'caseload data'!$D:$D,"PO",'caseload data'!$C:$C,'divisional &amp; regional caseload'!$B$22)</f>
        <v>0</v>
      </c>
      <c r="F24" s="94">
        <f>SUMIFS('caseload data'!H:H,'caseload data'!$D:$D,"PO",'caseload data'!$C:$C,'divisional &amp; regional caseload'!$B$22)</f>
        <v>0</v>
      </c>
      <c r="G24" s="94">
        <f>SUMIFS('caseload data'!I:I,'caseload data'!$D:$D,"PO",'caseload data'!$C:$C,'divisional &amp; regional caseload'!$B$22)</f>
        <v>0</v>
      </c>
      <c r="H24" s="94">
        <f>SUMIFS('caseload data'!J:J,'caseload data'!$D:$D,"PO",'caseload data'!$C:$C,'divisional &amp; regional caseload'!$B$22)</f>
        <v>0</v>
      </c>
      <c r="I24" s="94">
        <f>SUMIFS('caseload data'!K:K,'caseload data'!$D:$D,"PO",'caseload data'!$C:$C,'divisional &amp; regional caseload'!$B$22)</f>
        <v>0</v>
      </c>
      <c r="J24" s="94">
        <f>SUMIFS('caseload data'!L:L,'caseload data'!$D:$D,"PO",'caseload data'!$C:$C,'divisional &amp; regional caseload'!$B$22)</f>
        <v>0</v>
      </c>
      <c r="K24" s="94">
        <f>SUMIFS('caseload data'!M:M,'caseload data'!$D:$D,"PO",'caseload data'!$C:$C,'divisional &amp; regional caseload'!$B$22)</f>
        <v>0</v>
      </c>
      <c r="L24" s="94">
        <f>SUMIFS('caseload data'!N:N,'caseload data'!$D:$D,"PO",'caseload data'!$C:$C,'divisional &amp; regional caseload'!$B$22)</f>
        <v>0</v>
      </c>
      <c r="M24" s="94">
        <f>SUMIFS('caseload data'!O:O,'caseload data'!$D:$D,"PO",'caseload data'!$C:$C,'divisional &amp; regional caseload'!$B$22)</f>
        <v>0</v>
      </c>
      <c r="N24" s="94">
        <f>SUMIFS('caseload data'!P:P,'caseload data'!$D:$D,"PO",'caseload data'!$C:$C,'divisional &amp; regional caseload'!$B$22)</f>
        <v>0</v>
      </c>
      <c r="O24" s="94">
        <f>SUMIFS('caseload data'!Q:Q,'caseload data'!$D:$D,"PO",'caseload data'!$C:$C,'divisional &amp; regional caseload'!$B$22)</f>
        <v>0</v>
      </c>
      <c r="P24" s="94">
        <f>SUMIFS('caseload data'!R:R,'caseload data'!$D:$D,"PO",'caseload data'!$C:$C,'divisional &amp; regional caseload'!$B$22)</f>
        <v>0</v>
      </c>
      <c r="Q24" s="94">
        <f>SUMIFS('caseload data'!S:S,'caseload data'!$D:$D,"PO",'caseload data'!$C:$C,'divisional &amp; regional caseload'!$B$22)</f>
        <v>0</v>
      </c>
      <c r="R24" s="94">
        <f>SUMIFS('caseload data'!T:T,'caseload data'!$D:$D,"PO",'caseload data'!$C:$C,'divisional &amp; regional caseload'!$B$22)</f>
        <v>0</v>
      </c>
      <c r="S24" s="91"/>
      <c r="T24" s="96" t="s">
        <v>1002</v>
      </c>
      <c r="U24" s="94">
        <f>SUMIFS('caseload data'!E:E,'caseload data'!$D:$D,"PO",'caseload data'!$C:$C,'divisional &amp; regional caseload'!$T$22)</f>
        <v>0</v>
      </c>
      <c r="V24" s="94">
        <f>SUMIFS('caseload data'!F:F,'caseload data'!$D:$D,"PO",'caseload data'!$C:$C,'divisional &amp; regional caseload'!$T$22)</f>
        <v>0</v>
      </c>
      <c r="W24" s="94">
        <f>SUMIFS('caseload data'!G:G,'caseload data'!$D:$D,"PO",'caseload data'!$C:$C,'divisional &amp; regional caseload'!$T$22)</f>
        <v>0</v>
      </c>
      <c r="X24" s="94">
        <f>SUMIFS('caseload data'!H:H,'caseload data'!$D:$D,"PO",'caseload data'!$C:$C,'divisional &amp; regional caseload'!$T$22)</f>
        <v>0</v>
      </c>
      <c r="Y24" s="94">
        <f>SUMIFS('caseload data'!I:I,'caseload data'!$D:$D,"PO",'caseload data'!$C:$C,'divisional &amp; regional caseload'!$T$22)</f>
        <v>0</v>
      </c>
      <c r="Z24" s="94">
        <f>SUMIFS('caseload data'!J:J,'caseload data'!$D:$D,"PO",'caseload data'!$C:$C,'divisional &amp; regional caseload'!$T$22)</f>
        <v>0</v>
      </c>
      <c r="AA24" s="94">
        <f>SUMIFS('caseload data'!K:K,'caseload data'!$D:$D,"PO",'caseload data'!$C:$C,'divisional &amp; regional caseload'!$T$22)</f>
        <v>0</v>
      </c>
      <c r="AB24" s="94">
        <f>SUMIFS('caseload data'!L:L,'caseload data'!$D:$D,"PO",'caseload data'!$C:$C,'divisional &amp; regional caseload'!$T$22)</f>
        <v>0</v>
      </c>
      <c r="AC24" s="94">
        <f>SUMIFS('caseload data'!M:M,'caseload data'!$D:$D,"PO",'caseload data'!$C:$C,'divisional &amp; regional caseload'!$T$22)</f>
        <v>0</v>
      </c>
      <c r="AD24" s="94">
        <f>SUMIFS('caseload data'!N:N,'caseload data'!$D:$D,"PO",'caseload data'!$C:$C,'divisional &amp; regional caseload'!$T$22)</f>
        <v>0</v>
      </c>
      <c r="AE24" s="94">
        <f>SUMIFS('caseload data'!O:O,'caseload data'!$D:$D,"PO",'caseload data'!$C:$C,'divisional &amp; regional caseload'!$T$22)</f>
        <v>0</v>
      </c>
      <c r="AF24" s="94">
        <f>SUMIFS('caseload data'!P:P,'caseload data'!$D:$D,"PO",'caseload data'!$C:$C,'divisional &amp; regional caseload'!$T$22)</f>
        <v>0</v>
      </c>
      <c r="AG24" s="94">
        <f>SUMIFS('caseload data'!Q:Q,'caseload data'!$D:$D,"PO",'caseload data'!$C:$C,'divisional &amp; regional caseload'!$T$22)</f>
        <v>0</v>
      </c>
      <c r="AH24" s="94">
        <f>SUMIFS('caseload data'!R:R,'caseload data'!$D:$D,"PO",'caseload data'!$C:$C,'divisional &amp; regional caseload'!$T$22)</f>
        <v>0</v>
      </c>
      <c r="AI24" s="94">
        <f>SUMIFS('caseload data'!S:S,'caseload data'!$D:$D,"PO",'caseload data'!$C:$C,'divisional &amp; regional caseload'!$T$22)</f>
        <v>0</v>
      </c>
      <c r="AJ24" s="94">
        <f>SUMIFS('caseload data'!T:T,'caseload data'!$D:$D,"PO",'caseload data'!$C:$C,'divisional &amp; regional caseload'!$T$22)</f>
        <v>0</v>
      </c>
    </row>
    <row r="25" spans="2:36" x14ac:dyDescent="0.15">
      <c r="B25" s="97" t="s">
        <v>1007</v>
      </c>
      <c r="C25" s="94">
        <f>SUMIFS('caseload data'!E:E,'caseload data'!$D:$D,"PSO",'caseload data'!$C:$C,'divisional &amp; regional caseload'!$B$22)</f>
        <v>0</v>
      </c>
      <c r="D25" s="94">
        <f>SUMIFS('caseload data'!F:F,'caseload data'!$D:$D,"PSO",'caseload data'!$C:$C,'divisional &amp; regional caseload'!$B$22)</f>
        <v>0</v>
      </c>
      <c r="E25" s="94">
        <f>SUMIFS('caseload data'!G:G,'caseload data'!$D:$D,"PSO",'caseload data'!$C:$C,'divisional &amp; regional caseload'!$B$22)</f>
        <v>0</v>
      </c>
      <c r="F25" s="94">
        <f>SUMIFS('caseload data'!H:H,'caseload data'!$D:$D,"PSO",'caseload data'!$C:$C,'divisional &amp; regional caseload'!$B$22)</f>
        <v>0</v>
      </c>
      <c r="G25" s="94">
        <f>SUMIFS('caseload data'!I:I,'caseload data'!$D:$D,"PSO",'caseload data'!$C:$C,'divisional &amp; regional caseload'!$B$22)</f>
        <v>0</v>
      </c>
      <c r="H25" s="94">
        <f>SUMIFS('caseload data'!J:J,'caseload data'!$D:$D,"PSO",'caseload data'!$C:$C,'divisional &amp; regional caseload'!$B$22)</f>
        <v>0</v>
      </c>
      <c r="I25" s="94">
        <f>SUMIFS('caseload data'!K:K,'caseload data'!$D:$D,"PSO",'caseload data'!$C:$C,'divisional &amp; regional caseload'!$B$22)</f>
        <v>0</v>
      </c>
      <c r="J25" s="94">
        <f>SUMIFS('caseload data'!L:L,'caseload data'!$D:$D,"PSO",'caseload data'!$C:$C,'divisional &amp; regional caseload'!$B$22)</f>
        <v>0</v>
      </c>
      <c r="K25" s="94">
        <f>SUMIFS('caseload data'!M:M,'caseload data'!$D:$D,"PSO",'caseload data'!$C:$C,'divisional &amp; regional caseload'!$B$22)</f>
        <v>0</v>
      </c>
      <c r="L25" s="94">
        <f>SUMIFS('caseload data'!N:N,'caseload data'!$D:$D,"PSO",'caseload data'!$C:$C,'divisional &amp; regional caseload'!$B$22)</f>
        <v>0</v>
      </c>
      <c r="M25" s="94">
        <f>SUMIFS('caseload data'!O:O,'caseload data'!$D:$D,"PSO",'caseload data'!$C:$C,'divisional &amp; regional caseload'!$B$22)</f>
        <v>0</v>
      </c>
      <c r="N25" s="94">
        <f>SUMIFS('caseload data'!P:P,'caseload data'!$D:$D,"PSO",'caseload data'!$C:$C,'divisional &amp; regional caseload'!$B$22)</f>
        <v>0</v>
      </c>
      <c r="O25" s="94">
        <f>SUMIFS('caseload data'!Q:Q,'caseload data'!$D:$D,"PSO",'caseload data'!$C:$C,'divisional &amp; regional caseload'!$B$22)</f>
        <v>0</v>
      </c>
      <c r="P25" s="94">
        <f>SUMIFS('caseload data'!R:R,'caseload data'!$D:$D,"PSO",'caseload data'!$C:$C,'divisional &amp; regional caseload'!$B$22)</f>
        <v>0</v>
      </c>
      <c r="Q25" s="94">
        <f>SUMIFS('caseload data'!S:S,'caseload data'!$D:$D,"PSO",'caseload data'!$C:$C,'divisional &amp; regional caseload'!$B$22)</f>
        <v>0</v>
      </c>
      <c r="R25" s="94">
        <f>SUMIFS('caseload data'!T:T,'caseload data'!$D:$D,"PSO",'caseload data'!$C:$C,'divisional &amp; regional caseload'!$B$22)</f>
        <v>0</v>
      </c>
      <c r="S25" s="91"/>
      <c r="T25" s="97" t="s">
        <v>1007</v>
      </c>
      <c r="U25" s="94">
        <f>SUMIFS('caseload data'!E:E,'caseload data'!$D:$D,"PSO",'caseload data'!$C:$C,'divisional &amp; regional caseload'!$T$22)</f>
        <v>0</v>
      </c>
      <c r="V25" s="94">
        <f>SUMIFS('caseload data'!F:F,'caseload data'!$D:$D,"PSO",'caseload data'!$C:$C,'divisional &amp; regional caseload'!$T$22)</f>
        <v>0</v>
      </c>
      <c r="W25" s="94">
        <f>SUMIFS('caseload data'!G:G,'caseload data'!$D:$D,"PSO",'caseload data'!$C:$C,'divisional &amp; regional caseload'!$T$22)</f>
        <v>0</v>
      </c>
      <c r="X25" s="94">
        <f>SUMIFS('caseload data'!H:H,'caseload data'!$D:$D,"PSO",'caseload data'!$C:$C,'divisional &amp; regional caseload'!$T$22)</f>
        <v>0</v>
      </c>
      <c r="Y25" s="94">
        <f>SUMIFS('caseload data'!I:I,'caseload data'!$D:$D,"PSO",'caseload data'!$C:$C,'divisional &amp; regional caseload'!$T$22)</f>
        <v>0</v>
      </c>
      <c r="Z25" s="94">
        <f>SUMIFS('caseload data'!J:J,'caseload data'!$D:$D,"PSO",'caseload data'!$C:$C,'divisional &amp; regional caseload'!$T$22)</f>
        <v>0</v>
      </c>
      <c r="AA25" s="94">
        <f>SUMIFS('caseload data'!K:K,'caseload data'!$D:$D,"PSO",'caseload data'!$C:$C,'divisional &amp; regional caseload'!$T$22)</f>
        <v>0</v>
      </c>
      <c r="AB25" s="94">
        <f>SUMIFS('caseload data'!L:L,'caseload data'!$D:$D,"PSO",'caseload data'!$C:$C,'divisional &amp; regional caseload'!$T$22)</f>
        <v>0</v>
      </c>
      <c r="AC25" s="94">
        <f>SUMIFS('caseload data'!M:M,'caseload data'!$D:$D,"PSO",'caseload data'!$C:$C,'divisional &amp; regional caseload'!$T$22)</f>
        <v>0</v>
      </c>
      <c r="AD25" s="94">
        <f>SUMIFS('caseload data'!N:N,'caseload data'!$D:$D,"PSO",'caseload data'!$C:$C,'divisional &amp; regional caseload'!$T$22)</f>
        <v>0</v>
      </c>
      <c r="AE25" s="94">
        <f>SUMIFS('caseload data'!O:O,'caseload data'!$D:$D,"PSO",'caseload data'!$C:$C,'divisional &amp; regional caseload'!$T$22)</f>
        <v>0</v>
      </c>
      <c r="AF25" s="94">
        <f>SUMIFS('caseload data'!P:P,'caseload data'!$D:$D,"PSO",'caseload data'!$C:$C,'divisional &amp; regional caseload'!$T$22)</f>
        <v>0</v>
      </c>
      <c r="AG25" s="94">
        <f>SUMIFS('caseload data'!Q:Q,'caseload data'!$D:$D,"PSO",'caseload data'!$C:$C,'divisional &amp; regional caseload'!$T$22)</f>
        <v>0</v>
      </c>
      <c r="AH25" s="94">
        <f>SUMIFS('caseload data'!R:R,'caseload data'!$D:$D,"PSO",'caseload data'!$C:$C,'divisional &amp; regional caseload'!$T$22)</f>
        <v>0</v>
      </c>
      <c r="AI25" s="94">
        <f>SUMIFS('caseload data'!S:S,'caseload data'!$D:$D,"PSO",'caseload data'!$C:$C,'divisional &amp; regional caseload'!$T$22)</f>
        <v>0</v>
      </c>
      <c r="AJ25" s="94">
        <f>SUMIFS('caseload data'!T:T,'caseload data'!$D:$D,"PSO",'caseload data'!$C:$C,'divisional &amp; regional caseload'!$T$22)</f>
        <v>0</v>
      </c>
    </row>
    <row r="26" spans="2:36" x14ac:dyDescent="0.15">
      <c r="B26" s="97" t="s">
        <v>1008</v>
      </c>
      <c r="C26" s="94">
        <f>SUMIFS('caseload data'!E:E,'caseload data'!$D:$D,"TPO",'caseload data'!$C:$C,'divisional &amp; regional caseload'!$B$22)</f>
        <v>0</v>
      </c>
      <c r="D26" s="94">
        <f>SUMIFS('caseload data'!F:F,'caseload data'!$D:$D,"TPO",'caseload data'!$C:$C,'divisional &amp; regional caseload'!$B$22)</f>
        <v>0</v>
      </c>
      <c r="E26" s="94">
        <f>SUMIFS('caseload data'!G:G,'caseload data'!$D:$D,"TPO",'caseload data'!$C:$C,'divisional &amp; regional caseload'!$B$22)</f>
        <v>0</v>
      </c>
      <c r="F26" s="94">
        <f>SUMIFS('caseload data'!H:H,'caseload data'!$D:$D,"TPO",'caseload data'!$C:$C,'divisional &amp; regional caseload'!$B$22)</f>
        <v>0</v>
      </c>
      <c r="G26" s="94">
        <f>SUMIFS('caseload data'!I:I,'caseload data'!$D:$D,"TPO",'caseload data'!$C:$C,'divisional &amp; regional caseload'!$B$22)</f>
        <v>0</v>
      </c>
      <c r="H26" s="94">
        <f>SUMIFS('caseload data'!J:J,'caseload data'!$D:$D,"TPO",'caseload data'!$C:$C,'divisional &amp; regional caseload'!$B$22)</f>
        <v>0</v>
      </c>
      <c r="I26" s="94">
        <f>SUMIFS('caseload data'!K:K,'caseload data'!$D:$D,"TPO",'caseload data'!$C:$C,'divisional &amp; regional caseload'!$B$22)</f>
        <v>0</v>
      </c>
      <c r="J26" s="94">
        <f>SUMIFS('caseload data'!L:L,'caseload data'!$D:$D,"TPO",'caseload data'!$C:$C,'divisional &amp; regional caseload'!$B$22)</f>
        <v>0</v>
      </c>
      <c r="K26" s="94">
        <f>SUMIFS('caseload data'!M:M,'caseload data'!$D:$D,"TPO",'caseload data'!$C:$C,'divisional &amp; regional caseload'!$B$22)</f>
        <v>0</v>
      </c>
      <c r="L26" s="94">
        <f>SUMIFS('caseload data'!N:N,'caseload data'!$D:$D,"TPO",'caseload data'!$C:$C,'divisional &amp; regional caseload'!$B$22)</f>
        <v>0</v>
      </c>
      <c r="M26" s="94">
        <f>SUMIFS('caseload data'!O:O,'caseload data'!$D:$D,"TPO",'caseload data'!$C:$C,'divisional &amp; regional caseload'!$B$22)</f>
        <v>0</v>
      </c>
      <c r="N26" s="94">
        <f>SUMIFS('caseload data'!P:P,'caseload data'!$D:$D,"TPO",'caseload data'!$C:$C,'divisional &amp; regional caseload'!$B$22)</f>
        <v>0</v>
      </c>
      <c r="O26" s="94">
        <f>SUMIFS('caseload data'!Q:Q,'caseload data'!$D:$D,"TPO",'caseload data'!$C:$C,'divisional &amp; regional caseload'!$B$22)</f>
        <v>0</v>
      </c>
      <c r="P26" s="94">
        <f>SUMIFS('caseload data'!R:R,'caseload data'!$D:$D,"TPO",'caseload data'!$C:$C,'divisional &amp; regional caseload'!$B$22)</f>
        <v>0</v>
      </c>
      <c r="Q26" s="94">
        <f>SUMIFS('caseload data'!S:S,'caseload data'!$D:$D,"TPO",'caseload data'!$C:$C,'divisional &amp; regional caseload'!$B$22)</f>
        <v>0</v>
      </c>
      <c r="R26" s="94">
        <f>SUMIFS('caseload data'!T:T,'caseload data'!$D:$D,"TPO",'caseload data'!$C:$C,'divisional &amp; regional caseload'!$B$22)</f>
        <v>0</v>
      </c>
      <c r="S26" s="91"/>
      <c r="T26" s="97" t="s">
        <v>1008</v>
      </c>
      <c r="U26" s="94">
        <f>SUMIFS('caseload data'!E:E,'caseload data'!$D:$D,"TPO",'caseload data'!$C:$C,'divisional &amp; regional caseload'!$T$22)</f>
        <v>0</v>
      </c>
      <c r="V26" s="94">
        <f>SUMIFS('caseload data'!F:F,'caseload data'!$D:$D,"TPO",'caseload data'!$C:$C,'divisional &amp; regional caseload'!$T$22)</f>
        <v>0</v>
      </c>
      <c r="W26" s="94">
        <f>SUMIFS('caseload data'!G:G,'caseload data'!$D:$D,"TPO",'caseload data'!$C:$C,'divisional &amp; regional caseload'!$T$22)</f>
        <v>0</v>
      </c>
      <c r="X26" s="94">
        <f>SUMIFS('caseload data'!H:H,'caseload data'!$D:$D,"TPO",'caseload data'!$C:$C,'divisional &amp; regional caseload'!$T$22)</f>
        <v>0</v>
      </c>
      <c r="Y26" s="94">
        <f>SUMIFS('caseload data'!I:I,'caseload data'!$D:$D,"TPO",'caseload data'!$C:$C,'divisional &amp; regional caseload'!$T$22)</f>
        <v>0</v>
      </c>
      <c r="Z26" s="94">
        <f>SUMIFS('caseload data'!J:J,'caseload data'!$D:$D,"TPO",'caseload data'!$C:$C,'divisional &amp; regional caseload'!$T$22)</f>
        <v>0</v>
      </c>
      <c r="AA26" s="94">
        <f>SUMIFS('caseload data'!K:K,'caseload data'!$D:$D,"TPO",'caseload data'!$C:$C,'divisional &amp; regional caseload'!$T$22)</f>
        <v>0</v>
      </c>
      <c r="AB26" s="94">
        <f>SUMIFS('caseload data'!L:L,'caseload data'!$D:$D,"TPO",'caseload data'!$C:$C,'divisional &amp; regional caseload'!$T$22)</f>
        <v>0</v>
      </c>
      <c r="AC26" s="94">
        <f>SUMIFS('caseload data'!M:M,'caseload data'!$D:$D,"TPO",'caseload data'!$C:$C,'divisional &amp; regional caseload'!$T$22)</f>
        <v>0</v>
      </c>
      <c r="AD26" s="94">
        <f>SUMIFS('caseload data'!N:N,'caseload data'!$D:$D,"TPO",'caseload data'!$C:$C,'divisional &amp; regional caseload'!$T$22)</f>
        <v>0</v>
      </c>
      <c r="AE26" s="94">
        <f>SUMIFS('caseload data'!O:O,'caseload data'!$D:$D,"TPO",'caseload data'!$C:$C,'divisional &amp; regional caseload'!$T$22)</f>
        <v>0</v>
      </c>
      <c r="AF26" s="94">
        <f>SUMIFS('caseload data'!P:P,'caseload data'!$D:$D,"TPO",'caseload data'!$C:$C,'divisional &amp; regional caseload'!$T$22)</f>
        <v>0</v>
      </c>
      <c r="AG26" s="94">
        <f>SUMIFS('caseload data'!Q:Q,'caseload data'!$D:$D,"TPO",'caseload data'!$C:$C,'divisional &amp; regional caseload'!$T$22)</f>
        <v>0</v>
      </c>
      <c r="AH26" s="94">
        <f>SUMIFS('caseload data'!R:R,'caseload data'!$D:$D,"TPO",'caseload data'!$C:$C,'divisional &amp; regional caseload'!$T$22)</f>
        <v>0</v>
      </c>
      <c r="AI26" s="94">
        <f>SUMIFS('caseload data'!S:S,'caseload data'!$D:$D,"TPO",'caseload data'!$C:$C,'divisional &amp; regional caseload'!$T$22)</f>
        <v>0</v>
      </c>
      <c r="AJ26" s="94">
        <f>SUMIFS('caseload data'!T:T,'caseload data'!$D:$D,"TPO",'caseload data'!$C:$C,'divisional &amp; regional caseload'!$T$22)</f>
        <v>0</v>
      </c>
    </row>
    <row r="27" spans="2:36" x14ac:dyDescent="0.15">
      <c r="B27" s="98" t="s">
        <v>1009</v>
      </c>
      <c r="C27" s="94">
        <f>SUMIFS('caseload data'!E:E,'caseload data'!$D:$D,"SPO",'caseload data'!$C:$C,'divisional &amp; regional caseload'!$B$22)</f>
        <v>0</v>
      </c>
      <c r="D27" s="94">
        <f>SUMIFS('caseload data'!F:F,'caseload data'!$D:$D,"SPO",'caseload data'!$C:$C,'divisional &amp; regional caseload'!$B$22)</f>
        <v>0</v>
      </c>
      <c r="E27" s="94">
        <f>SUMIFS('caseload data'!G:G,'caseload data'!$D:$D,"SPO",'caseload data'!$C:$C,'divisional &amp; regional caseload'!$B$22)</f>
        <v>0</v>
      </c>
      <c r="F27" s="94">
        <f>SUMIFS('caseload data'!H:H,'caseload data'!$D:$D,"SPO",'caseload data'!$C:$C,'divisional &amp; regional caseload'!$B$22)</f>
        <v>0</v>
      </c>
      <c r="G27" s="94">
        <f>SUMIFS('caseload data'!I:I,'caseload data'!$D:$D,"SPO",'caseload data'!$C:$C,'divisional &amp; regional caseload'!$B$22)</f>
        <v>0</v>
      </c>
      <c r="H27" s="94">
        <f>SUMIFS('caseload data'!J:J,'caseload data'!$D:$D,"SPO",'caseload data'!$C:$C,'divisional &amp; regional caseload'!$B$22)</f>
        <v>0</v>
      </c>
      <c r="I27" s="94">
        <f>SUMIFS('caseload data'!K:K,'caseload data'!$D:$D,"SPO",'caseload data'!$C:$C,'divisional &amp; regional caseload'!$B$22)</f>
        <v>0</v>
      </c>
      <c r="J27" s="94">
        <f>SUMIFS('caseload data'!L:L,'caseload data'!$D:$D,"SPO",'caseload data'!$C:$C,'divisional &amp; regional caseload'!$B$22)</f>
        <v>0</v>
      </c>
      <c r="K27" s="94">
        <f>SUMIFS('caseload data'!M:M,'caseload data'!$D:$D,"SPO",'caseload data'!$C:$C,'divisional &amp; regional caseload'!$B$22)</f>
        <v>0</v>
      </c>
      <c r="L27" s="94">
        <f>SUMIFS('caseload data'!N:N,'caseload data'!$D:$D,"SPO",'caseload data'!$C:$C,'divisional &amp; regional caseload'!$B$22)</f>
        <v>0</v>
      </c>
      <c r="M27" s="94">
        <f>SUMIFS('caseload data'!O:O,'caseload data'!$D:$D,"SPO",'caseload data'!$C:$C,'divisional &amp; regional caseload'!$B$22)</f>
        <v>0</v>
      </c>
      <c r="N27" s="94">
        <f>SUMIFS('caseload data'!P:P,'caseload data'!$D:$D,"SPO",'caseload data'!$C:$C,'divisional &amp; regional caseload'!$B$22)</f>
        <v>0</v>
      </c>
      <c r="O27" s="94">
        <f>SUMIFS('caseload data'!Q:Q,'caseload data'!$D:$D,"SPO",'caseload data'!$C:$C,'divisional &amp; regional caseload'!$B$22)</f>
        <v>0</v>
      </c>
      <c r="P27" s="94">
        <f>SUMIFS('caseload data'!R:R,'caseload data'!$D:$D,"SPO",'caseload data'!$C:$C,'divisional &amp; regional caseload'!$B$22)</f>
        <v>0</v>
      </c>
      <c r="Q27" s="94">
        <f>SUMIFS('caseload data'!S:S,'caseload data'!$D:$D,"SPO",'caseload data'!$C:$C,'divisional &amp; regional caseload'!$B$22)</f>
        <v>0</v>
      </c>
      <c r="R27" s="94">
        <f>SUMIFS('caseload data'!T:T,'caseload data'!$D:$D,"SPO",'caseload data'!$C:$C,'divisional &amp; regional caseload'!$B$22)</f>
        <v>0</v>
      </c>
      <c r="S27" s="91"/>
      <c r="T27" s="98" t="s">
        <v>1009</v>
      </c>
      <c r="U27" s="94">
        <f>SUMIFS('caseload data'!E:E,'caseload data'!$D:$D,"SPO",'caseload data'!$C:$C,'divisional &amp; regional caseload'!$T$22)</f>
        <v>0</v>
      </c>
      <c r="V27" s="94">
        <f>SUMIFS('caseload data'!F:F,'caseload data'!$D:$D,"SPO",'caseload data'!$C:$C,'divisional &amp; regional caseload'!$T$22)</f>
        <v>0</v>
      </c>
      <c r="W27" s="94">
        <f>SUMIFS('caseload data'!G:G,'caseload data'!$D:$D,"SPO",'caseload data'!$C:$C,'divisional &amp; regional caseload'!$T$22)</f>
        <v>0</v>
      </c>
      <c r="X27" s="94">
        <f>SUMIFS('caseload data'!H:H,'caseload data'!$D:$D,"SPO",'caseload data'!$C:$C,'divisional &amp; regional caseload'!$T$22)</f>
        <v>0</v>
      </c>
      <c r="Y27" s="94">
        <f>SUMIFS('caseload data'!I:I,'caseload data'!$D:$D,"SPO",'caseload data'!$C:$C,'divisional &amp; regional caseload'!$T$22)</f>
        <v>0</v>
      </c>
      <c r="Z27" s="94">
        <f>SUMIFS('caseload data'!J:J,'caseload data'!$D:$D,"SPO",'caseload data'!$C:$C,'divisional &amp; regional caseload'!$T$22)</f>
        <v>0</v>
      </c>
      <c r="AA27" s="94">
        <f>SUMIFS('caseload data'!K:K,'caseload data'!$D:$D,"SPO",'caseload data'!$C:$C,'divisional &amp; regional caseload'!$T$22)</f>
        <v>0</v>
      </c>
      <c r="AB27" s="94">
        <f>SUMIFS('caseload data'!L:L,'caseload data'!$D:$D,"SPO",'caseload data'!$C:$C,'divisional &amp; regional caseload'!$T$22)</f>
        <v>0</v>
      </c>
      <c r="AC27" s="94">
        <f>SUMIFS('caseload data'!M:M,'caseload data'!$D:$D,"SPO",'caseload data'!$C:$C,'divisional &amp; regional caseload'!$T$22)</f>
        <v>0</v>
      </c>
      <c r="AD27" s="94">
        <f>SUMIFS('caseload data'!N:N,'caseload data'!$D:$D,"SPO",'caseload data'!$C:$C,'divisional &amp; regional caseload'!$T$22)</f>
        <v>0</v>
      </c>
      <c r="AE27" s="94">
        <f>SUMIFS('caseload data'!O:O,'caseload data'!$D:$D,"SPO",'caseload data'!$C:$C,'divisional &amp; regional caseload'!$T$22)</f>
        <v>0</v>
      </c>
      <c r="AF27" s="94">
        <f>SUMIFS('caseload data'!P:P,'caseload data'!$D:$D,"SPO",'caseload data'!$C:$C,'divisional &amp; regional caseload'!$T$22)</f>
        <v>0</v>
      </c>
      <c r="AG27" s="94">
        <f>SUMIFS('caseload data'!Q:Q,'caseload data'!$D:$D,"SPO",'caseload data'!$C:$C,'divisional &amp; regional caseload'!$T$22)</f>
        <v>0</v>
      </c>
      <c r="AH27" s="94">
        <f>SUMIFS('caseload data'!R:R,'caseload data'!$D:$D,"SPO",'caseload data'!$C:$C,'divisional &amp; regional caseload'!$T$22)</f>
        <v>0</v>
      </c>
      <c r="AI27" s="94">
        <f>SUMIFS('caseload data'!S:S,'caseload data'!$D:$D,"SPO",'caseload data'!$C:$C,'divisional &amp; regional caseload'!$T$22)</f>
        <v>0</v>
      </c>
      <c r="AJ27" s="94">
        <f>SUMIFS('caseload data'!T:T,'caseload data'!$D:$D,"SPO",'caseload data'!$C:$C,'divisional &amp; regional caseload'!$T$22)</f>
        <v>0</v>
      </c>
    </row>
    <row r="28" spans="2:36" x14ac:dyDescent="0.15">
      <c r="B28" s="91"/>
      <c r="C28" s="91"/>
      <c r="D28" s="91"/>
      <c r="E28" s="91"/>
      <c r="F28" s="91"/>
      <c r="G28" s="91"/>
      <c r="H28" s="91"/>
      <c r="I28" s="91"/>
      <c r="J28" s="91"/>
      <c r="K28" s="91"/>
      <c r="L28" s="91"/>
      <c r="M28" s="91"/>
      <c r="N28" s="91"/>
      <c r="O28" s="91"/>
      <c r="P28" s="91"/>
      <c r="Q28" s="91"/>
      <c r="R28" s="91"/>
      <c r="S28" s="91"/>
      <c r="T28" s="91"/>
      <c r="U28" s="91"/>
      <c r="V28" s="91"/>
      <c r="W28" s="91"/>
      <c r="X28" s="91"/>
      <c r="Y28" s="91"/>
      <c r="Z28" s="91"/>
      <c r="AA28" s="91"/>
    </row>
    <row r="29" spans="2:36" ht="29.25" customHeight="1" x14ac:dyDescent="0.15">
      <c r="B29" s="289" t="str">
        <f>HLOOKUP($B$5,Region_Table,8,0)</f>
        <v>Redcar, Cleveland and Middlesbrough</v>
      </c>
      <c r="C29" s="515" t="s">
        <v>1097</v>
      </c>
      <c r="D29" s="516"/>
      <c r="E29" s="516"/>
      <c r="F29" s="516"/>
      <c r="G29" s="516"/>
      <c r="H29" s="516"/>
      <c r="I29" s="516"/>
      <c r="J29" s="516"/>
      <c r="K29" s="516"/>
      <c r="L29" s="516"/>
      <c r="M29" s="520"/>
      <c r="N29" s="520"/>
      <c r="O29" s="521"/>
      <c r="P29" s="510">
        <f>SUMIF('caseload data'!$C:$C,'divisional &amp; regional caseload'!B29,'caseload data'!V:V)</f>
        <v>0</v>
      </c>
      <c r="Q29" s="511"/>
      <c r="R29" s="512"/>
      <c r="S29" s="91"/>
      <c r="T29" s="289" t="str">
        <f>HLOOKUP($B$5,Region_Table,9,0)</f>
        <v>Stockton and Hartlepool</v>
      </c>
      <c r="U29" s="515" t="s">
        <v>1097</v>
      </c>
      <c r="V29" s="516"/>
      <c r="W29" s="516"/>
      <c r="X29" s="516"/>
      <c r="Y29" s="516"/>
      <c r="Z29" s="516"/>
      <c r="AA29" s="516"/>
      <c r="AB29" s="516"/>
      <c r="AC29" s="516"/>
      <c r="AD29" s="516"/>
      <c r="AE29" s="516"/>
      <c r="AF29" s="516"/>
      <c r="AG29" s="517"/>
      <c r="AH29" s="510">
        <f>SUMIF('caseload data'!$C:$C,'divisional &amp; regional caseload'!T29,'caseload data'!V:V)</f>
        <v>0</v>
      </c>
      <c r="AI29" s="511"/>
      <c r="AJ29" s="512"/>
    </row>
    <row r="30" spans="2:36" x14ac:dyDescent="0.15">
      <c r="B30" s="95" t="s">
        <v>1005</v>
      </c>
      <c r="C30" s="38" t="s">
        <v>869</v>
      </c>
      <c r="D30" s="38" t="s">
        <v>870</v>
      </c>
      <c r="E30" s="38" t="s">
        <v>871</v>
      </c>
      <c r="F30" s="38" t="s">
        <v>872</v>
      </c>
      <c r="G30" s="38" t="s">
        <v>873</v>
      </c>
      <c r="H30" s="38" t="s">
        <v>874</v>
      </c>
      <c r="I30" s="38" t="s">
        <v>875</v>
      </c>
      <c r="J30" s="38" t="s">
        <v>876</v>
      </c>
      <c r="K30" s="38" t="s">
        <v>877</v>
      </c>
      <c r="L30" s="38" t="s">
        <v>878</v>
      </c>
      <c r="M30" s="38" t="s">
        <v>879</v>
      </c>
      <c r="N30" s="38" t="s">
        <v>880</v>
      </c>
      <c r="O30" s="38" t="s">
        <v>881</v>
      </c>
      <c r="P30" s="38" t="s">
        <v>882</v>
      </c>
      <c r="Q30" s="38" t="s">
        <v>883</v>
      </c>
      <c r="R30" s="38" t="s">
        <v>884</v>
      </c>
      <c r="S30" s="91"/>
      <c r="T30" s="95" t="s">
        <v>1005</v>
      </c>
      <c r="U30" s="38" t="s">
        <v>869</v>
      </c>
      <c r="V30" s="38" t="s">
        <v>870</v>
      </c>
      <c r="W30" s="38" t="s">
        <v>871</v>
      </c>
      <c r="X30" s="38" t="s">
        <v>872</v>
      </c>
      <c r="Y30" s="38" t="s">
        <v>873</v>
      </c>
      <c r="Z30" s="38" t="s">
        <v>874</v>
      </c>
      <c r="AA30" s="38" t="s">
        <v>875</v>
      </c>
      <c r="AB30" s="38" t="s">
        <v>876</v>
      </c>
      <c r="AC30" s="38" t="s">
        <v>877</v>
      </c>
      <c r="AD30" s="38" t="s">
        <v>878</v>
      </c>
      <c r="AE30" s="38" t="s">
        <v>879</v>
      </c>
      <c r="AF30" s="38" t="s">
        <v>880</v>
      </c>
      <c r="AG30" s="38" t="s">
        <v>881</v>
      </c>
      <c r="AH30" s="38" t="s">
        <v>882</v>
      </c>
      <c r="AI30" s="38" t="s">
        <v>883</v>
      </c>
      <c r="AJ30" s="38" t="s">
        <v>884</v>
      </c>
    </row>
    <row r="31" spans="2:36" x14ac:dyDescent="0.15">
      <c r="B31" s="96" t="s">
        <v>1002</v>
      </c>
      <c r="C31" s="94">
        <f>SUMIFS('caseload data'!E:E,'caseload data'!$D:$D,"PO",'caseload data'!$C:$C,'divisional &amp; regional caseload'!$B$29)</f>
        <v>0</v>
      </c>
      <c r="D31" s="94">
        <f>SUMIFS('caseload data'!F:F,'caseload data'!$D:$D,"PO",'caseload data'!$C:$C,'divisional &amp; regional caseload'!$B$29)</f>
        <v>0</v>
      </c>
      <c r="E31" s="94">
        <f>SUMIFS('caseload data'!G:G,'caseload data'!$D:$D,"PO",'caseload data'!$C:$C,'divisional &amp; regional caseload'!$B$29)</f>
        <v>0</v>
      </c>
      <c r="F31" s="94">
        <f>SUMIFS('caseload data'!H:H,'caseload data'!$D:$D,"PO",'caseload data'!$C:$C,'divisional &amp; regional caseload'!$B$29)</f>
        <v>0</v>
      </c>
      <c r="G31" s="94">
        <f>SUMIFS('caseload data'!I:I,'caseload data'!$D:$D,"PO",'caseload data'!$C:$C,'divisional &amp; regional caseload'!$B$29)</f>
        <v>0</v>
      </c>
      <c r="H31" s="94">
        <f>SUMIFS('caseload data'!J:J,'caseload data'!$D:$D,"PO",'caseload data'!$C:$C,'divisional &amp; regional caseload'!$B$29)</f>
        <v>0</v>
      </c>
      <c r="I31" s="94">
        <f>SUMIFS('caseload data'!K:K,'caseload data'!$D:$D,"PO",'caseload data'!$C:$C,'divisional &amp; regional caseload'!$B$29)</f>
        <v>0</v>
      </c>
      <c r="J31" s="94">
        <f>SUMIFS('caseload data'!L:L,'caseload data'!$D:$D,"PO",'caseload data'!$C:$C,'divisional &amp; regional caseload'!$B$29)</f>
        <v>0</v>
      </c>
      <c r="K31" s="94">
        <f>SUMIFS('caseload data'!M:M,'caseload data'!$D:$D,"PO",'caseload data'!$C:$C,'divisional &amp; regional caseload'!$B$29)</f>
        <v>0</v>
      </c>
      <c r="L31" s="94">
        <f>SUMIFS('caseload data'!N:N,'caseload data'!$D:$D,"PO",'caseload data'!$C:$C,'divisional &amp; regional caseload'!$B$29)</f>
        <v>0</v>
      </c>
      <c r="M31" s="94">
        <f>SUMIFS('caseload data'!O:O,'caseload data'!$D:$D,"PO",'caseload data'!$C:$C,'divisional &amp; regional caseload'!$B$29)</f>
        <v>0</v>
      </c>
      <c r="N31" s="94">
        <f>SUMIFS('caseload data'!P:P,'caseload data'!$D:$D,"PO",'caseload data'!$C:$C,'divisional &amp; regional caseload'!$B$29)</f>
        <v>0</v>
      </c>
      <c r="O31" s="94">
        <f>SUMIFS('caseload data'!Q:Q,'caseload data'!$D:$D,"PO",'caseload data'!$C:$C,'divisional &amp; regional caseload'!$B$29)</f>
        <v>0</v>
      </c>
      <c r="P31" s="94">
        <f>SUMIFS('caseload data'!R:R,'caseload data'!$D:$D,"PO",'caseload data'!$C:$C,'divisional &amp; regional caseload'!$B$29)</f>
        <v>0</v>
      </c>
      <c r="Q31" s="94">
        <f>SUMIFS('caseload data'!S:S,'caseload data'!$D:$D,"PO",'caseload data'!$C:$C,'divisional &amp; regional caseload'!$B$29)</f>
        <v>0</v>
      </c>
      <c r="R31" s="94">
        <f>SUMIFS('caseload data'!T:T,'caseload data'!$D:$D,"PO",'caseload data'!$C:$C,'divisional &amp; regional caseload'!$B$29)</f>
        <v>0</v>
      </c>
      <c r="S31" s="91"/>
      <c r="T31" s="96" t="s">
        <v>1002</v>
      </c>
      <c r="U31" s="94">
        <f>SUMIFS('caseload data'!E:E,'caseload data'!$D:$D,"PO",'caseload data'!$C:$C,'divisional &amp; regional caseload'!$T$29)</f>
        <v>0</v>
      </c>
      <c r="V31" s="94">
        <f>SUMIFS('caseload data'!F:F,'caseload data'!$D:$D,"PO",'caseload data'!$C:$C,'divisional &amp; regional caseload'!$T$29)</f>
        <v>0</v>
      </c>
      <c r="W31" s="94">
        <f>SUMIFS('caseload data'!G:G,'caseload data'!$D:$D,"PO",'caseload data'!$C:$C,'divisional &amp; regional caseload'!$T$29)</f>
        <v>0</v>
      </c>
      <c r="X31" s="94">
        <f>SUMIFS('caseload data'!H:H,'caseload data'!$D:$D,"PO",'caseload data'!$C:$C,'divisional &amp; regional caseload'!$T$29)</f>
        <v>0</v>
      </c>
      <c r="Y31" s="94">
        <f>SUMIFS('caseload data'!I:I,'caseload data'!$D:$D,"PO",'caseload data'!$C:$C,'divisional &amp; regional caseload'!$T$29)</f>
        <v>0</v>
      </c>
      <c r="Z31" s="94">
        <f>SUMIFS('caseload data'!J:J,'caseload data'!$D:$D,"PO",'caseload data'!$C:$C,'divisional &amp; regional caseload'!$T$29)</f>
        <v>0</v>
      </c>
      <c r="AA31" s="94">
        <f>SUMIFS('caseload data'!K:K,'caseload data'!$D:$D,"PO",'caseload data'!$C:$C,'divisional &amp; regional caseload'!$T$29)</f>
        <v>0</v>
      </c>
      <c r="AB31" s="94">
        <f>SUMIFS('caseload data'!L:L,'caseload data'!$D:$D,"PO",'caseload data'!$C:$C,'divisional &amp; regional caseload'!$T$29)</f>
        <v>0</v>
      </c>
      <c r="AC31" s="94">
        <f>SUMIFS('caseload data'!M:M,'caseload data'!$D:$D,"PO",'caseload data'!$C:$C,'divisional &amp; regional caseload'!$T$29)</f>
        <v>0</v>
      </c>
      <c r="AD31" s="94">
        <f>SUMIFS('caseload data'!N:N,'caseload data'!$D:$D,"PO",'caseload data'!$C:$C,'divisional &amp; regional caseload'!$T$29)</f>
        <v>0</v>
      </c>
      <c r="AE31" s="94">
        <f>SUMIFS('caseload data'!O:O,'caseload data'!$D:$D,"PO",'caseload data'!$C:$C,'divisional &amp; regional caseload'!$T$29)</f>
        <v>0</v>
      </c>
      <c r="AF31" s="94">
        <f>SUMIFS('caseload data'!P:P,'caseload data'!$D:$D,"PO",'caseload data'!$C:$C,'divisional &amp; regional caseload'!$T$29)</f>
        <v>0</v>
      </c>
      <c r="AG31" s="94">
        <f>SUMIFS('caseload data'!Q:Q,'caseload data'!$D:$D,"PO",'caseload data'!$C:$C,'divisional &amp; regional caseload'!$T$29)</f>
        <v>0</v>
      </c>
      <c r="AH31" s="94">
        <f>SUMIFS('caseload data'!R:R,'caseload data'!$D:$D,"PO",'caseload data'!$C:$C,'divisional &amp; regional caseload'!$T$29)</f>
        <v>0</v>
      </c>
      <c r="AI31" s="94">
        <f>SUMIFS('caseload data'!S:S,'caseload data'!$D:$D,"PO",'caseload data'!$C:$C,'divisional &amp; regional caseload'!$T$29)</f>
        <v>0</v>
      </c>
      <c r="AJ31" s="94">
        <f>SUMIFS('caseload data'!T:T,'caseload data'!$D:$D,"PO",'caseload data'!$C:$C,'divisional &amp; regional caseload'!$T$29)</f>
        <v>0</v>
      </c>
    </row>
    <row r="32" spans="2:36" x14ac:dyDescent="0.15">
      <c r="B32" s="97" t="s">
        <v>1007</v>
      </c>
      <c r="C32" s="94">
        <f>SUMIFS('caseload data'!E:E,'caseload data'!$D:$D,"PSO",'caseload data'!$C:$C,'divisional &amp; regional caseload'!$B$29)</f>
        <v>0</v>
      </c>
      <c r="D32" s="94">
        <f>SUMIFS('caseload data'!F:F,'caseload data'!$D:$D,"PSO",'caseload data'!$C:$C,'divisional &amp; regional caseload'!$B$29)</f>
        <v>0</v>
      </c>
      <c r="E32" s="94">
        <f>SUMIFS('caseload data'!G:G,'caseload data'!$D:$D,"PSO",'caseload data'!$C:$C,'divisional &amp; regional caseload'!$B$29)</f>
        <v>0</v>
      </c>
      <c r="F32" s="94">
        <f>SUMIFS('caseload data'!H:H,'caseload data'!$D:$D,"PSO",'caseload data'!$C:$C,'divisional &amp; regional caseload'!$B$29)</f>
        <v>0</v>
      </c>
      <c r="G32" s="94">
        <f>SUMIFS('caseload data'!I:I,'caseload data'!$D:$D,"PSO",'caseload data'!$C:$C,'divisional &amp; regional caseload'!$B$29)</f>
        <v>0</v>
      </c>
      <c r="H32" s="94">
        <f>SUMIFS('caseload data'!J:J,'caseload data'!$D:$D,"PSO",'caseload data'!$C:$C,'divisional &amp; regional caseload'!$B$29)</f>
        <v>0</v>
      </c>
      <c r="I32" s="94">
        <f>SUMIFS('caseload data'!K:K,'caseload data'!$D:$D,"PSO",'caseload data'!$C:$C,'divisional &amp; regional caseload'!$B$29)</f>
        <v>0</v>
      </c>
      <c r="J32" s="94">
        <f>SUMIFS('caseload data'!L:L,'caseload data'!$D:$D,"PSO",'caseload data'!$C:$C,'divisional &amp; regional caseload'!$B$29)</f>
        <v>0</v>
      </c>
      <c r="K32" s="94">
        <f>SUMIFS('caseload data'!M:M,'caseload data'!$D:$D,"PSO",'caseload data'!$C:$C,'divisional &amp; regional caseload'!$B$29)</f>
        <v>0</v>
      </c>
      <c r="L32" s="94">
        <f>SUMIFS('caseload data'!N:N,'caseload data'!$D:$D,"PSO",'caseload data'!$C:$C,'divisional &amp; regional caseload'!$B$29)</f>
        <v>0</v>
      </c>
      <c r="M32" s="94">
        <f>SUMIFS('caseload data'!O:O,'caseload data'!$D:$D,"PSO",'caseload data'!$C:$C,'divisional &amp; regional caseload'!$B$29)</f>
        <v>0</v>
      </c>
      <c r="N32" s="94">
        <f>SUMIFS('caseload data'!P:P,'caseload data'!$D:$D,"PSO",'caseload data'!$C:$C,'divisional &amp; regional caseload'!$B$29)</f>
        <v>0</v>
      </c>
      <c r="O32" s="94">
        <f>SUMIFS('caseload data'!Q:Q,'caseload data'!$D:$D,"PSO",'caseload data'!$C:$C,'divisional &amp; regional caseload'!$B$29)</f>
        <v>0</v>
      </c>
      <c r="P32" s="94">
        <f>SUMIFS('caseload data'!R:R,'caseload data'!$D:$D,"PSO",'caseload data'!$C:$C,'divisional &amp; regional caseload'!$B$29)</f>
        <v>0</v>
      </c>
      <c r="Q32" s="94">
        <f>SUMIFS('caseload data'!S:S,'caseload data'!$D:$D,"PSO",'caseload data'!$C:$C,'divisional &amp; regional caseload'!$B$29)</f>
        <v>0</v>
      </c>
      <c r="R32" s="94">
        <f>SUMIFS('caseload data'!T:T,'caseload data'!$D:$D,"PSO",'caseload data'!$C:$C,'divisional &amp; regional caseload'!$B$29)</f>
        <v>0</v>
      </c>
      <c r="S32" s="91"/>
      <c r="T32" s="97" t="s">
        <v>1007</v>
      </c>
      <c r="U32" s="94">
        <f>SUMIFS('caseload data'!E:E,'caseload data'!$D:$D,"PSO",'caseload data'!$C:$C,'divisional &amp; regional caseload'!$T$29)</f>
        <v>0</v>
      </c>
      <c r="V32" s="94">
        <f>SUMIFS('caseload data'!F:F,'caseload data'!$D:$D,"PSO",'caseload data'!$C:$C,'divisional &amp; regional caseload'!$T$29)</f>
        <v>0</v>
      </c>
      <c r="W32" s="94">
        <f>SUMIFS('caseload data'!G:G,'caseload data'!$D:$D,"PSO",'caseload data'!$C:$C,'divisional &amp; regional caseload'!$T$29)</f>
        <v>0</v>
      </c>
      <c r="X32" s="94">
        <f>SUMIFS('caseload data'!H:H,'caseload data'!$D:$D,"PSO",'caseload data'!$C:$C,'divisional &amp; regional caseload'!$T$29)</f>
        <v>0</v>
      </c>
      <c r="Y32" s="94">
        <f>SUMIFS('caseload data'!I:I,'caseload data'!$D:$D,"PSO",'caseload data'!$C:$C,'divisional &amp; regional caseload'!$T$29)</f>
        <v>0</v>
      </c>
      <c r="Z32" s="94">
        <f>SUMIFS('caseload data'!J:J,'caseload data'!$D:$D,"PSO",'caseload data'!$C:$C,'divisional &amp; regional caseload'!$T$29)</f>
        <v>0</v>
      </c>
      <c r="AA32" s="94">
        <f>SUMIFS('caseload data'!K:K,'caseload data'!$D:$D,"PSO",'caseload data'!$C:$C,'divisional &amp; regional caseload'!$T$29)</f>
        <v>0</v>
      </c>
      <c r="AB32" s="94">
        <f>SUMIFS('caseload data'!L:L,'caseload data'!$D:$D,"PSO",'caseload data'!$C:$C,'divisional &amp; regional caseload'!$T$29)</f>
        <v>0</v>
      </c>
      <c r="AC32" s="94">
        <f>SUMIFS('caseload data'!M:M,'caseload data'!$D:$D,"PSO",'caseload data'!$C:$C,'divisional &amp; regional caseload'!$T$29)</f>
        <v>0</v>
      </c>
      <c r="AD32" s="94">
        <f>SUMIFS('caseload data'!N:N,'caseload data'!$D:$D,"PSO",'caseload data'!$C:$C,'divisional &amp; regional caseload'!$T$29)</f>
        <v>0</v>
      </c>
      <c r="AE32" s="94">
        <f>SUMIFS('caseload data'!O:O,'caseload data'!$D:$D,"PSO",'caseload data'!$C:$C,'divisional &amp; regional caseload'!$T$29)</f>
        <v>0</v>
      </c>
      <c r="AF32" s="94">
        <f>SUMIFS('caseload data'!P:P,'caseload data'!$D:$D,"PSO",'caseload data'!$C:$C,'divisional &amp; regional caseload'!$T$29)</f>
        <v>0</v>
      </c>
      <c r="AG32" s="94">
        <f>SUMIFS('caseload data'!Q:Q,'caseload data'!$D:$D,"PSO",'caseload data'!$C:$C,'divisional &amp; regional caseload'!$T$29)</f>
        <v>0</v>
      </c>
      <c r="AH32" s="94">
        <f>SUMIFS('caseload data'!R:R,'caseload data'!$D:$D,"PSO",'caseload data'!$C:$C,'divisional &amp; regional caseload'!$T$29)</f>
        <v>0</v>
      </c>
      <c r="AI32" s="94">
        <f>SUMIFS('caseload data'!S:S,'caseload data'!$D:$D,"PSO",'caseload data'!$C:$C,'divisional &amp; regional caseload'!$T$29)</f>
        <v>0</v>
      </c>
      <c r="AJ32" s="94">
        <f>SUMIFS('caseload data'!T:T,'caseload data'!$D:$D,"PSO",'caseload data'!$C:$C,'divisional &amp; regional caseload'!$T$29)</f>
        <v>0</v>
      </c>
    </row>
    <row r="33" spans="2:36" x14ac:dyDescent="0.15">
      <c r="B33" s="97" t="s">
        <v>1008</v>
      </c>
      <c r="C33" s="94">
        <f>SUMIFS('caseload data'!E:E,'caseload data'!$D:$D,"TPO",'caseload data'!$C:$C,'divisional &amp; regional caseload'!$B$29)</f>
        <v>0</v>
      </c>
      <c r="D33" s="94">
        <f>SUMIFS('caseload data'!F:F,'caseload data'!$D:$D,"TPO",'caseload data'!$C:$C,'divisional &amp; regional caseload'!$B$29)</f>
        <v>0</v>
      </c>
      <c r="E33" s="94">
        <f>SUMIFS('caseload data'!G:G,'caseload data'!$D:$D,"TPO",'caseload data'!$C:$C,'divisional &amp; regional caseload'!$B$29)</f>
        <v>0</v>
      </c>
      <c r="F33" s="94">
        <f>SUMIFS('caseload data'!H:H,'caseload data'!$D:$D,"TPO",'caseload data'!$C:$C,'divisional &amp; regional caseload'!$B$29)</f>
        <v>0</v>
      </c>
      <c r="G33" s="94">
        <f>SUMIFS('caseload data'!I:I,'caseload data'!$D:$D,"TPO",'caseload data'!$C:$C,'divisional &amp; regional caseload'!$B$29)</f>
        <v>0</v>
      </c>
      <c r="H33" s="94">
        <f>SUMIFS('caseload data'!J:J,'caseload data'!$D:$D,"TPO",'caseload data'!$C:$C,'divisional &amp; regional caseload'!$B$29)</f>
        <v>0</v>
      </c>
      <c r="I33" s="94">
        <f>SUMIFS('caseload data'!K:K,'caseload data'!$D:$D,"TPO",'caseload data'!$C:$C,'divisional &amp; regional caseload'!$B$29)</f>
        <v>0</v>
      </c>
      <c r="J33" s="94">
        <f>SUMIFS('caseload data'!L:L,'caseload data'!$D:$D,"TPO",'caseload data'!$C:$C,'divisional &amp; regional caseload'!$B$29)</f>
        <v>0</v>
      </c>
      <c r="K33" s="94">
        <f>SUMIFS('caseload data'!M:M,'caseload data'!$D:$D,"TPO",'caseload data'!$C:$C,'divisional &amp; regional caseload'!$B$29)</f>
        <v>0</v>
      </c>
      <c r="L33" s="94">
        <f>SUMIFS('caseload data'!N:N,'caseload data'!$D:$D,"TPO",'caseload data'!$C:$C,'divisional &amp; regional caseload'!$B$29)</f>
        <v>0</v>
      </c>
      <c r="M33" s="94">
        <f>SUMIFS('caseload data'!O:O,'caseload data'!$D:$D,"TPO",'caseload data'!$C:$C,'divisional &amp; regional caseload'!$B$29)</f>
        <v>0</v>
      </c>
      <c r="N33" s="94">
        <f>SUMIFS('caseload data'!P:P,'caseload data'!$D:$D,"TPO",'caseload data'!$C:$C,'divisional &amp; regional caseload'!$B$29)</f>
        <v>0</v>
      </c>
      <c r="O33" s="94">
        <f>SUMIFS('caseload data'!Q:Q,'caseload data'!$D:$D,"TPO",'caseload data'!$C:$C,'divisional &amp; regional caseload'!$B$29)</f>
        <v>0</v>
      </c>
      <c r="P33" s="94">
        <f>SUMIFS('caseload data'!R:R,'caseload data'!$D:$D,"TPO",'caseload data'!$C:$C,'divisional &amp; regional caseload'!$B$29)</f>
        <v>0</v>
      </c>
      <c r="Q33" s="94">
        <f>SUMIFS('caseload data'!S:S,'caseload data'!$D:$D,"TPO",'caseload data'!$C:$C,'divisional &amp; regional caseload'!$B$29)</f>
        <v>0</v>
      </c>
      <c r="R33" s="94">
        <f>SUMIFS('caseload data'!T:T,'caseload data'!$D:$D,"TPO",'caseload data'!$C:$C,'divisional &amp; regional caseload'!$B$29)</f>
        <v>0</v>
      </c>
      <c r="S33" s="91"/>
      <c r="T33" s="97" t="s">
        <v>1008</v>
      </c>
      <c r="U33" s="94">
        <f>SUMIFS('caseload data'!E:E,'caseload data'!$D:$D,"TPO",'caseload data'!$C:$C,'divisional &amp; regional caseload'!$T$29)</f>
        <v>0</v>
      </c>
      <c r="V33" s="94">
        <f>SUMIFS('caseload data'!F:F,'caseload data'!$D:$D,"TPO",'caseload data'!$C:$C,'divisional &amp; regional caseload'!$T$29)</f>
        <v>0</v>
      </c>
      <c r="W33" s="94">
        <f>SUMIFS('caseload data'!G:G,'caseload data'!$D:$D,"TPO",'caseload data'!$C:$C,'divisional &amp; regional caseload'!$T$29)</f>
        <v>0</v>
      </c>
      <c r="X33" s="94">
        <f>SUMIFS('caseload data'!H:H,'caseload data'!$D:$D,"TPO",'caseload data'!$C:$C,'divisional &amp; regional caseload'!$T$29)</f>
        <v>0</v>
      </c>
      <c r="Y33" s="94">
        <f>SUMIFS('caseload data'!I:I,'caseload data'!$D:$D,"TPO",'caseload data'!$C:$C,'divisional &amp; regional caseload'!$T$29)</f>
        <v>0</v>
      </c>
      <c r="Z33" s="94">
        <f>SUMIFS('caseload data'!J:J,'caseload data'!$D:$D,"TPO",'caseload data'!$C:$C,'divisional &amp; regional caseload'!$T$29)</f>
        <v>0</v>
      </c>
      <c r="AA33" s="94">
        <f>SUMIFS('caseload data'!K:K,'caseload data'!$D:$D,"TPO",'caseload data'!$C:$C,'divisional &amp; regional caseload'!$T$29)</f>
        <v>0</v>
      </c>
      <c r="AB33" s="94">
        <f>SUMIFS('caseload data'!L:L,'caseload data'!$D:$D,"TPO",'caseload data'!$C:$C,'divisional &amp; regional caseload'!$T$29)</f>
        <v>0</v>
      </c>
      <c r="AC33" s="94">
        <f>SUMIFS('caseload data'!M:M,'caseload data'!$D:$D,"TPO",'caseload data'!$C:$C,'divisional &amp; regional caseload'!$T$29)</f>
        <v>0</v>
      </c>
      <c r="AD33" s="94">
        <f>SUMIFS('caseload data'!N:N,'caseload data'!$D:$D,"TPO",'caseload data'!$C:$C,'divisional &amp; regional caseload'!$T$29)</f>
        <v>0</v>
      </c>
      <c r="AE33" s="94">
        <f>SUMIFS('caseload data'!O:O,'caseload data'!$D:$D,"TPO",'caseload data'!$C:$C,'divisional &amp; regional caseload'!$T$29)</f>
        <v>0</v>
      </c>
      <c r="AF33" s="94">
        <f>SUMIFS('caseload data'!P:P,'caseload data'!$D:$D,"TPO",'caseload data'!$C:$C,'divisional &amp; regional caseload'!$T$29)</f>
        <v>0</v>
      </c>
      <c r="AG33" s="94">
        <f>SUMIFS('caseload data'!Q:Q,'caseload data'!$D:$D,"TPO",'caseload data'!$C:$C,'divisional &amp; regional caseload'!$T$29)</f>
        <v>0</v>
      </c>
      <c r="AH33" s="94">
        <f>SUMIFS('caseload data'!R:R,'caseload data'!$D:$D,"TPO",'caseload data'!$C:$C,'divisional &amp; regional caseload'!$T$29)</f>
        <v>0</v>
      </c>
      <c r="AI33" s="94">
        <f>SUMIFS('caseload data'!S:S,'caseload data'!$D:$D,"TPO",'caseload data'!$C:$C,'divisional &amp; regional caseload'!$T$29)</f>
        <v>0</v>
      </c>
      <c r="AJ33" s="94">
        <f>SUMIFS('caseload data'!T:T,'caseload data'!$D:$D,"TPO",'caseload data'!$C:$C,'divisional &amp; regional caseload'!$T$29)</f>
        <v>0</v>
      </c>
    </row>
    <row r="34" spans="2:36" x14ac:dyDescent="0.15">
      <c r="B34" s="98" t="s">
        <v>1009</v>
      </c>
      <c r="C34" s="94">
        <f>SUMIFS('caseload data'!E:E,'caseload data'!$D:$D,"SPO",'caseload data'!$C:$C,'divisional &amp; regional caseload'!$B$29)</f>
        <v>0</v>
      </c>
      <c r="D34" s="94">
        <f>SUMIFS('caseload data'!F:F,'caseload data'!$D:$D,"SPO",'caseload data'!$C:$C,'divisional &amp; regional caseload'!$B$29)</f>
        <v>0</v>
      </c>
      <c r="E34" s="94">
        <f>SUMIFS('caseload data'!G:G,'caseload data'!$D:$D,"SPO",'caseload data'!$C:$C,'divisional &amp; regional caseload'!$B$29)</f>
        <v>0</v>
      </c>
      <c r="F34" s="94">
        <f>SUMIFS('caseload data'!H:H,'caseload data'!$D:$D,"SPO",'caseload data'!$C:$C,'divisional &amp; regional caseload'!$B$29)</f>
        <v>0</v>
      </c>
      <c r="G34" s="94">
        <f>SUMIFS('caseload data'!I:I,'caseload data'!$D:$D,"SPO",'caseload data'!$C:$C,'divisional &amp; regional caseload'!$B$29)</f>
        <v>0</v>
      </c>
      <c r="H34" s="94">
        <f>SUMIFS('caseload data'!J:J,'caseload data'!$D:$D,"SPO",'caseload data'!$C:$C,'divisional &amp; regional caseload'!$B$29)</f>
        <v>0</v>
      </c>
      <c r="I34" s="94">
        <f>SUMIFS('caseload data'!K:K,'caseload data'!$D:$D,"SPO",'caseload data'!$C:$C,'divisional &amp; regional caseload'!$B$29)</f>
        <v>0</v>
      </c>
      <c r="J34" s="94">
        <f>SUMIFS('caseload data'!L:L,'caseload data'!$D:$D,"SPO",'caseload data'!$C:$C,'divisional &amp; regional caseload'!$B$29)</f>
        <v>0</v>
      </c>
      <c r="K34" s="94">
        <f>SUMIFS('caseload data'!M:M,'caseload data'!$D:$D,"SPO",'caseload data'!$C:$C,'divisional &amp; regional caseload'!$B$29)</f>
        <v>0</v>
      </c>
      <c r="L34" s="94">
        <f>SUMIFS('caseload data'!N:N,'caseload data'!$D:$D,"SPO",'caseload data'!$C:$C,'divisional &amp; regional caseload'!$B$29)</f>
        <v>0</v>
      </c>
      <c r="M34" s="94">
        <f>SUMIFS('caseload data'!O:O,'caseload data'!$D:$D,"SPO",'caseload data'!$C:$C,'divisional &amp; regional caseload'!$B$29)</f>
        <v>0</v>
      </c>
      <c r="N34" s="94">
        <f>SUMIFS('caseload data'!P:P,'caseload data'!$D:$D,"SPO",'caseload data'!$C:$C,'divisional &amp; regional caseload'!$B$29)</f>
        <v>0</v>
      </c>
      <c r="O34" s="94">
        <f>SUMIFS('caseload data'!Q:Q,'caseload data'!$D:$D,"SPO",'caseload data'!$C:$C,'divisional &amp; regional caseload'!$B$29)</f>
        <v>0</v>
      </c>
      <c r="P34" s="94">
        <f>SUMIFS('caseload data'!R:R,'caseload data'!$D:$D,"SPO",'caseload data'!$C:$C,'divisional &amp; regional caseload'!$B$29)</f>
        <v>0</v>
      </c>
      <c r="Q34" s="94">
        <f>SUMIFS('caseload data'!S:S,'caseload data'!$D:$D,"SPO",'caseload data'!$C:$C,'divisional &amp; regional caseload'!$B$29)</f>
        <v>0</v>
      </c>
      <c r="R34" s="94">
        <f>SUMIFS('caseload data'!T:T,'caseload data'!$D:$D,"SPO",'caseload data'!$C:$C,'divisional &amp; regional caseload'!$B$29)</f>
        <v>0</v>
      </c>
      <c r="S34" s="91"/>
      <c r="T34" s="98" t="s">
        <v>1009</v>
      </c>
      <c r="U34" s="94">
        <f>SUMIFS('caseload data'!E:E,'caseload data'!$D:$D,"SPO",'caseload data'!$C:$C,'divisional &amp; regional caseload'!$T$29)</f>
        <v>0</v>
      </c>
      <c r="V34" s="94">
        <f>SUMIFS('caseload data'!F:F,'caseload data'!$D:$D,"SPO",'caseload data'!$C:$C,'divisional &amp; regional caseload'!$T$29)</f>
        <v>0</v>
      </c>
      <c r="W34" s="94">
        <f>SUMIFS('caseload data'!G:G,'caseload data'!$D:$D,"SPO",'caseload data'!$C:$C,'divisional &amp; regional caseload'!$T$29)</f>
        <v>0</v>
      </c>
      <c r="X34" s="94">
        <f>SUMIFS('caseload data'!H:H,'caseload data'!$D:$D,"SPO",'caseload data'!$C:$C,'divisional &amp; regional caseload'!$T$29)</f>
        <v>0</v>
      </c>
      <c r="Y34" s="94">
        <f>SUMIFS('caseload data'!I:I,'caseload data'!$D:$D,"SPO",'caseload data'!$C:$C,'divisional &amp; regional caseload'!$T$29)</f>
        <v>0</v>
      </c>
      <c r="Z34" s="94">
        <f>SUMIFS('caseload data'!J:J,'caseload data'!$D:$D,"SPO",'caseload data'!$C:$C,'divisional &amp; regional caseload'!$T$29)</f>
        <v>0</v>
      </c>
      <c r="AA34" s="94">
        <f>SUMIFS('caseload data'!K:K,'caseload data'!$D:$D,"SPO",'caseload data'!$C:$C,'divisional &amp; regional caseload'!$T$29)</f>
        <v>0</v>
      </c>
      <c r="AB34" s="94">
        <f>SUMIFS('caseload data'!L:L,'caseload data'!$D:$D,"SPO",'caseload data'!$C:$C,'divisional &amp; regional caseload'!$T$29)</f>
        <v>0</v>
      </c>
      <c r="AC34" s="94">
        <f>SUMIFS('caseload data'!M:M,'caseload data'!$D:$D,"SPO",'caseload data'!$C:$C,'divisional &amp; regional caseload'!$T$29)</f>
        <v>0</v>
      </c>
      <c r="AD34" s="94">
        <f>SUMIFS('caseload data'!N:N,'caseload data'!$D:$D,"SPO",'caseload data'!$C:$C,'divisional &amp; regional caseload'!$T$29)</f>
        <v>0</v>
      </c>
      <c r="AE34" s="94">
        <f>SUMIFS('caseload data'!O:O,'caseload data'!$D:$D,"SPO",'caseload data'!$C:$C,'divisional &amp; regional caseload'!$T$29)</f>
        <v>0</v>
      </c>
      <c r="AF34" s="94">
        <f>SUMIFS('caseload data'!P:P,'caseload data'!$D:$D,"SPO",'caseload data'!$C:$C,'divisional &amp; regional caseload'!$T$29)</f>
        <v>0</v>
      </c>
      <c r="AG34" s="94">
        <f>SUMIFS('caseload data'!Q:Q,'caseload data'!$D:$D,"SPO",'caseload data'!$C:$C,'divisional &amp; regional caseload'!$T$29)</f>
        <v>0</v>
      </c>
      <c r="AH34" s="94">
        <f>SUMIFS('caseload data'!R:R,'caseload data'!$D:$D,"SPO",'caseload data'!$C:$C,'divisional &amp; regional caseload'!$T$29)</f>
        <v>0</v>
      </c>
      <c r="AI34" s="94">
        <f>SUMIFS('caseload data'!S:S,'caseload data'!$D:$D,"SPO",'caseload data'!$C:$C,'divisional &amp; regional caseload'!$T$29)</f>
        <v>0</v>
      </c>
      <c r="AJ34" s="94">
        <f>SUMIFS('caseload data'!T:T,'caseload data'!$D:$D,"SPO",'caseload data'!$C:$C,'divisional &amp; regional caseload'!$T$29)</f>
        <v>0</v>
      </c>
    </row>
    <row r="35" spans="2:36" x14ac:dyDescent="0.15">
      <c r="B35" s="91"/>
      <c r="C35" s="91"/>
      <c r="D35" s="91"/>
      <c r="E35" s="91"/>
      <c r="F35" s="91"/>
      <c r="G35" s="91"/>
      <c r="H35" s="91"/>
      <c r="I35" s="91"/>
      <c r="J35" s="91"/>
      <c r="K35" s="91"/>
      <c r="L35" s="91"/>
      <c r="M35" s="91"/>
      <c r="N35" s="91"/>
      <c r="O35" s="91"/>
      <c r="P35" s="91"/>
      <c r="Q35" s="91"/>
      <c r="R35" s="91"/>
      <c r="S35" s="91"/>
      <c r="T35" s="91"/>
      <c r="U35" s="91"/>
      <c r="V35" s="91"/>
      <c r="W35" s="91"/>
      <c r="X35" s="91"/>
      <c r="Y35" s="91"/>
      <c r="Z35" s="91"/>
      <c r="AA35" s="91"/>
    </row>
    <row r="36" spans="2:36" ht="27.75" customHeight="1" x14ac:dyDescent="0.15">
      <c r="B36" s="289" t="str">
        <f>HLOOKUP($B$5,Region_Table,10,0)</f>
        <v>Sunderland - N54</v>
      </c>
      <c r="C36" s="515" t="s">
        <v>1098</v>
      </c>
      <c r="D36" s="516"/>
      <c r="E36" s="516"/>
      <c r="F36" s="516"/>
      <c r="G36" s="516"/>
      <c r="H36" s="516"/>
      <c r="I36" s="516"/>
      <c r="J36" s="516"/>
      <c r="K36" s="516"/>
      <c r="L36" s="516"/>
      <c r="M36" s="520"/>
      <c r="N36" s="520"/>
      <c r="O36" s="521"/>
      <c r="P36" s="510">
        <f>SUMIF('caseload data'!$C:$C,'divisional &amp; regional caseload'!B36,'caseload data'!V:V)</f>
        <v>0</v>
      </c>
      <c r="Q36" s="511"/>
      <c r="R36" s="512"/>
      <c r="S36" s="91"/>
      <c r="T36" s="289" t="str">
        <f>HLOOKUP($B$5,Region_Table,11,0)</f>
        <v>Unallocated Level(N54)</v>
      </c>
      <c r="U36" s="515" t="s">
        <v>1097</v>
      </c>
      <c r="V36" s="516"/>
      <c r="W36" s="516"/>
      <c r="X36" s="516"/>
      <c r="Y36" s="516"/>
      <c r="Z36" s="516"/>
      <c r="AA36" s="516"/>
      <c r="AB36" s="516"/>
      <c r="AC36" s="516"/>
      <c r="AD36" s="516"/>
      <c r="AE36" s="516"/>
      <c r="AF36" s="516"/>
      <c r="AG36" s="517"/>
      <c r="AH36" s="510">
        <f>SUMIF('caseload data'!$C:$C,'divisional &amp; regional caseload'!T36,'caseload data'!V:V)</f>
        <v>0</v>
      </c>
      <c r="AI36" s="511"/>
      <c r="AJ36" s="512"/>
    </row>
    <row r="37" spans="2:36" x14ac:dyDescent="0.15">
      <c r="B37" s="95" t="s">
        <v>1005</v>
      </c>
      <c r="C37" s="38" t="s">
        <v>869</v>
      </c>
      <c r="D37" s="38" t="s">
        <v>870</v>
      </c>
      <c r="E37" s="38" t="s">
        <v>871</v>
      </c>
      <c r="F37" s="38" t="s">
        <v>872</v>
      </c>
      <c r="G37" s="38" t="s">
        <v>873</v>
      </c>
      <c r="H37" s="38" t="s">
        <v>874</v>
      </c>
      <c r="I37" s="38" t="s">
        <v>875</v>
      </c>
      <c r="J37" s="38" t="s">
        <v>876</v>
      </c>
      <c r="K37" s="38" t="s">
        <v>877</v>
      </c>
      <c r="L37" s="38" t="s">
        <v>878</v>
      </c>
      <c r="M37" s="38" t="s">
        <v>879</v>
      </c>
      <c r="N37" s="38" t="s">
        <v>880</v>
      </c>
      <c r="O37" s="38" t="s">
        <v>881</v>
      </c>
      <c r="P37" s="38" t="s">
        <v>882</v>
      </c>
      <c r="Q37" s="38" t="s">
        <v>883</v>
      </c>
      <c r="R37" s="38" t="s">
        <v>884</v>
      </c>
      <c r="S37" s="91"/>
      <c r="T37" s="95" t="s">
        <v>1005</v>
      </c>
      <c r="U37" s="38" t="s">
        <v>869</v>
      </c>
      <c r="V37" s="38" t="s">
        <v>870</v>
      </c>
      <c r="W37" s="38" t="s">
        <v>871</v>
      </c>
      <c r="X37" s="38" t="s">
        <v>872</v>
      </c>
      <c r="Y37" s="38" t="s">
        <v>873</v>
      </c>
      <c r="Z37" s="38" t="s">
        <v>874</v>
      </c>
      <c r="AA37" s="38" t="s">
        <v>875</v>
      </c>
      <c r="AB37" s="38" t="s">
        <v>876</v>
      </c>
      <c r="AC37" s="38" t="s">
        <v>877</v>
      </c>
      <c r="AD37" s="38" t="s">
        <v>878</v>
      </c>
      <c r="AE37" s="38" t="s">
        <v>879</v>
      </c>
      <c r="AF37" s="38" t="s">
        <v>880</v>
      </c>
      <c r="AG37" s="38" t="s">
        <v>881</v>
      </c>
      <c r="AH37" s="38" t="s">
        <v>882</v>
      </c>
      <c r="AI37" s="38" t="s">
        <v>883</v>
      </c>
      <c r="AJ37" s="38" t="s">
        <v>884</v>
      </c>
    </row>
    <row r="38" spans="2:36" x14ac:dyDescent="0.15">
      <c r="B38" s="96" t="s">
        <v>1002</v>
      </c>
      <c r="C38" s="94">
        <f>SUMIFS('caseload data'!E:E,'caseload data'!$D:$D,"PO",'caseload data'!$C:$C,'divisional &amp; regional caseload'!$B$36)</f>
        <v>0</v>
      </c>
      <c r="D38" s="94">
        <f>SUMIFS('caseload data'!F:F,'caseload data'!$D:$D,"PO",'caseload data'!$C:$C,'divisional &amp; regional caseload'!$B$36)</f>
        <v>0</v>
      </c>
      <c r="E38" s="94">
        <f>SUMIFS('caseload data'!G:G,'caseload data'!$D:$D,"PO",'caseload data'!$C:$C,'divisional &amp; regional caseload'!$B$36)</f>
        <v>0</v>
      </c>
      <c r="F38" s="94">
        <f>SUMIFS('caseload data'!H:H,'caseload data'!$D:$D,"PO",'caseload data'!$C:$C,'divisional &amp; regional caseload'!$B$36)</f>
        <v>0</v>
      </c>
      <c r="G38" s="94">
        <f>SUMIFS('caseload data'!I:I,'caseload data'!$D:$D,"PO",'caseload data'!$C:$C,'divisional &amp; regional caseload'!$B$36)</f>
        <v>0</v>
      </c>
      <c r="H38" s="94">
        <f>SUMIFS('caseload data'!J:J,'caseload data'!$D:$D,"PO",'caseload data'!$C:$C,'divisional &amp; regional caseload'!$B$36)</f>
        <v>0</v>
      </c>
      <c r="I38" s="94">
        <f>SUMIFS('caseload data'!K:K,'caseload data'!$D:$D,"PO",'caseload data'!$C:$C,'divisional &amp; regional caseload'!$B$36)</f>
        <v>0</v>
      </c>
      <c r="J38" s="94">
        <f>SUMIFS('caseload data'!L:L,'caseload data'!$D:$D,"PO",'caseload data'!$C:$C,'divisional &amp; regional caseload'!$B$36)</f>
        <v>0</v>
      </c>
      <c r="K38" s="94">
        <f>SUMIFS('caseload data'!M:M,'caseload data'!$D:$D,"PO",'caseload data'!$C:$C,'divisional &amp; regional caseload'!$B$36)</f>
        <v>0</v>
      </c>
      <c r="L38" s="94">
        <f>SUMIFS('caseload data'!N:N,'caseload data'!$D:$D,"PO",'caseload data'!$C:$C,'divisional &amp; regional caseload'!$B$36)</f>
        <v>0</v>
      </c>
      <c r="M38" s="94">
        <f>SUMIFS('caseload data'!O:O,'caseload data'!$D:$D,"PO",'caseload data'!$C:$C,'divisional &amp; regional caseload'!$B$36)</f>
        <v>0</v>
      </c>
      <c r="N38" s="94">
        <f>SUMIFS('caseload data'!P:P,'caseload data'!$D:$D,"PO",'caseload data'!$C:$C,'divisional &amp; regional caseload'!$B$36)</f>
        <v>0</v>
      </c>
      <c r="O38" s="94">
        <f>SUMIFS('caseload data'!Q:Q,'caseload data'!$D:$D,"PO",'caseload data'!$C:$C,'divisional &amp; regional caseload'!$B$36)</f>
        <v>0</v>
      </c>
      <c r="P38" s="94">
        <f>SUMIFS('caseload data'!R:R,'caseload data'!$D:$D,"PO",'caseload data'!$C:$C,'divisional &amp; regional caseload'!$B$36)</f>
        <v>0</v>
      </c>
      <c r="Q38" s="94">
        <f>SUMIFS('caseload data'!S:S,'caseload data'!$D:$D,"PO",'caseload data'!$C:$C,'divisional &amp; regional caseload'!$B$36)</f>
        <v>0</v>
      </c>
      <c r="R38" s="94">
        <f>SUMIFS('caseload data'!T:T,'caseload data'!$D:$D,"PO",'caseload data'!$C:$C,'divisional &amp; regional caseload'!$B$36)</f>
        <v>0</v>
      </c>
      <c r="S38" s="91"/>
      <c r="T38" s="96" t="s">
        <v>1002</v>
      </c>
      <c r="U38" s="94">
        <f>SUMIFS('caseload data'!E:E,'caseload data'!$D:$D,"PO",'caseload data'!$C:$C,'divisional &amp; regional caseload'!$T$36)</f>
        <v>0</v>
      </c>
      <c r="V38" s="94">
        <f>SUMIFS('caseload data'!F:F,'caseload data'!$D:$D,"PO",'caseload data'!$C:$C,'divisional &amp; regional caseload'!$T$36)</f>
        <v>0</v>
      </c>
      <c r="W38" s="94">
        <f>SUMIFS('caseload data'!G:G,'caseload data'!$D:$D,"PO",'caseload data'!$C:$C,'divisional &amp; regional caseload'!$T$36)</f>
        <v>0</v>
      </c>
      <c r="X38" s="94">
        <f>SUMIFS('caseload data'!H:H,'caseload data'!$D:$D,"PO",'caseload data'!$C:$C,'divisional &amp; regional caseload'!$T$36)</f>
        <v>0</v>
      </c>
      <c r="Y38" s="94">
        <f>SUMIFS('caseload data'!I:I,'caseload data'!$D:$D,"PO",'caseload data'!$C:$C,'divisional &amp; regional caseload'!$T$36)</f>
        <v>0</v>
      </c>
      <c r="Z38" s="94">
        <f>SUMIFS('caseload data'!J:J,'caseload data'!$D:$D,"PO",'caseload data'!$C:$C,'divisional &amp; regional caseload'!$T$36)</f>
        <v>0</v>
      </c>
      <c r="AA38" s="94">
        <f>SUMIFS('caseload data'!K:K,'caseload data'!$D:$D,"PO",'caseload data'!$C:$C,'divisional &amp; regional caseload'!$T$36)</f>
        <v>0</v>
      </c>
      <c r="AB38" s="94">
        <f>SUMIFS('caseload data'!L:L,'caseload data'!$D:$D,"PO",'caseload data'!$C:$C,'divisional &amp; regional caseload'!$T$36)</f>
        <v>0</v>
      </c>
      <c r="AC38" s="94">
        <f>SUMIFS('caseload data'!M:M,'caseload data'!$D:$D,"PO",'caseload data'!$C:$C,'divisional &amp; regional caseload'!$T$36)</f>
        <v>0</v>
      </c>
      <c r="AD38" s="94">
        <f>SUMIFS('caseload data'!N:N,'caseload data'!$D:$D,"PO",'caseload data'!$C:$C,'divisional &amp; regional caseload'!$T$36)</f>
        <v>0</v>
      </c>
      <c r="AE38" s="94">
        <f>SUMIFS('caseload data'!O:O,'caseload data'!$D:$D,"PO",'caseload data'!$C:$C,'divisional &amp; regional caseload'!$T$36)</f>
        <v>0</v>
      </c>
      <c r="AF38" s="94">
        <f>SUMIFS('caseload data'!P:P,'caseload data'!$D:$D,"PO",'caseload data'!$C:$C,'divisional &amp; regional caseload'!$T$36)</f>
        <v>0</v>
      </c>
      <c r="AG38" s="94">
        <f>SUMIFS('caseload data'!Q:Q,'caseload data'!$D:$D,"PO",'caseload data'!$C:$C,'divisional &amp; regional caseload'!$T$36)</f>
        <v>0</v>
      </c>
      <c r="AH38" s="94">
        <f>SUMIFS('caseload data'!R:R,'caseload data'!$D:$D,"PO",'caseload data'!$C:$C,'divisional &amp; regional caseload'!$T$36)</f>
        <v>0</v>
      </c>
      <c r="AI38" s="94">
        <f>SUMIFS('caseload data'!S:S,'caseload data'!$D:$D,"PO",'caseload data'!$C:$C,'divisional &amp; regional caseload'!$T$36)</f>
        <v>0</v>
      </c>
      <c r="AJ38" s="94">
        <f>SUMIFS('caseload data'!T:T,'caseload data'!$D:$D,"PO",'caseload data'!$C:$C,'divisional &amp; regional caseload'!$T$36)</f>
        <v>0</v>
      </c>
    </row>
    <row r="39" spans="2:36" x14ac:dyDescent="0.15">
      <c r="B39" s="97" t="s">
        <v>1007</v>
      </c>
      <c r="C39" s="94">
        <f>SUMIFS('caseload data'!E:E,'caseload data'!$D:$D,"PSO",'caseload data'!$C:$C,'divisional &amp; regional caseload'!$B$36)</f>
        <v>0</v>
      </c>
      <c r="D39" s="94">
        <f>SUMIFS('caseload data'!F:F,'caseload data'!$D:$D,"PSO",'caseload data'!$C:$C,'divisional &amp; regional caseload'!$B$36)</f>
        <v>0</v>
      </c>
      <c r="E39" s="94">
        <f>SUMIFS('caseload data'!G:G,'caseload data'!$D:$D,"PSO",'caseload data'!$C:$C,'divisional &amp; regional caseload'!$B$36)</f>
        <v>0</v>
      </c>
      <c r="F39" s="94">
        <f>SUMIFS('caseload data'!H:H,'caseload data'!$D:$D,"PSO",'caseload data'!$C:$C,'divisional &amp; regional caseload'!$B$36)</f>
        <v>0</v>
      </c>
      <c r="G39" s="94">
        <f>SUMIFS('caseload data'!I:I,'caseload data'!$D:$D,"PSO",'caseload data'!$C:$C,'divisional &amp; regional caseload'!$B$36)</f>
        <v>0</v>
      </c>
      <c r="H39" s="94">
        <f>SUMIFS('caseload data'!J:J,'caseload data'!$D:$D,"PSO",'caseload data'!$C:$C,'divisional &amp; regional caseload'!$B$36)</f>
        <v>0</v>
      </c>
      <c r="I39" s="94">
        <f>SUMIFS('caseload data'!K:K,'caseload data'!$D:$D,"PSO",'caseload data'!$C:$C,'divisional &amp; regional caseload'!$B$36)</f>
        <v>0</v>
      </c>
      <c r="J39" s="94">
        <f>SUMIFS('caseload data'!L:L,'caseload data'!$D:$D,"PSO",'caseload data'!$C:$C,'divisional &amp; regional caseload'!$B$36)</f>
        <v>0</v>
      </c>
      <c r="K39" s="94">
        <f>SUMIFS('caseload data'!M:M,'caseload data'!$D:$D,"PSO",'caseload data'!$C:$C,'divisional &amp; regional caseload'!$B$36)</f>
        <v>0</v>
      </c>
      <c r="L39" s="94">
        <f>SUMIFS('caseload data'!N:N,'caseload data'!$D:$D,"PSO",'caseload data'!$C:$C,'divisional &amp; regional caseload'!$B$36)</f>
        <v>0</v>
      </c>
      <c r="M39" s="94">
        <f>SUMIFS('caseload data'!O:O,'caseload data'!$D:$D,"PSO",'caseload data'!$C:$C,'divisional &amp; regional caseload'!$B$36)</f>
        <v>0</v>
      </c>
      <c r="N39" s="94">
        <f>SUMIFS('caseload data'!P:P,'caseload data'!$D:$D,"PSO",'caseload data'!$C:$C,'divisional &amp; regional caseload'!$B$36)</f>
        <v>0</v>
      </c>
      <c r="O39" s="94">
        <f>SUMIFS('caseload data'!Q:Q,'caseload data'!$D:$D,"PSO",'caseload data'!$C:$C,'divisional &amp; regional caseload'!$B$36)</f>
        <v>0</v>
      </c>
      <c r="P39" s="94">
        <f>SUMIFS('caseload data'!R:R,'caseload data'!$D:$D,"PSO",'caseload data'!$C:$C,'divisional &amp; regional caseload'!$B$36)</f>
        <v>0</v>
      </c>
      <c r="Q39" s="94">
        <f>SUMIFS('caseload data'!S:S,'caseload data'!$D:$D,"PSO",'caseload data'!$C:$C,'divisional &amp; regional caseload'!$B$36)</f>
        <v>0</v>
      </c>
      <c r="R39" s="94">
        <f>SUMIFS('caseload data'!T:T,'caseload data'!$D:$D,"PSO",'caseload data'!$C:$C,'divisional &amp; regional caseload'!$B$36)</f>
        <v>0</v>
      </c>
      <c r="S39" s="91"/>
      <c r="T39" s="97" t="s">
        <v>1007</v>
      </c>
      <c r="U39" s="94">
        <f>SUMIFS('caseload data'!E:E,'caseload data'!$D:$D,"PSO",'caseload data'!$C:$C,'divisional &amp; regional caseload'!$T$36)</f>
        <v>0</v>
      </c>
      <c r="V39" s="94">
        <f>SUMIFS('caseload data'!F:F,'caseload data'!$D:$D,"PSO",'caseload data'!$C:$C,'divisional &amp; regional caseload'!$T$36)</f>
        <v>0</v>
      </c>
      <c r="W39" s="94">
        <f>SUMIFS('caseload data'!G:G,'caseload data'!$D:$D,"PSO",'caseload data'!$C:$C,'divisional &amp; regional caseload'!$T$36)</f>
        <v>0</v>
      </c>
      <c r="X39" s="94">
        <f>SUMIFS('caseload data'!H:H,'caseload data'!$D:$D,"PSO",'caseload data'!$C:$C,'divisional &amp; regional caseload'!$T$36)</f>
        <v>0</v>
      </c>
      <c r="Y39" s="94">
        <f>SUMIFS('caseload data'!I:I,'caseload data'!$D:$D,"PSO",'caseload data'!$C:$C,'divisional &amp; regional caseload'!$T$36)</f>
        <v>0</v>
      </c>
      <c r="Z39" s="94">
        <f>SUMIFS('caseload data'!J:J,'caseload data'!$D:$D,"PSO",'caseload data'!$C:$C,'divisional &amp; regional caseload'!$T$36)</f>
        <v>0</v>
      </c>
      <c r="AA39" s="94">
        <f>SUMIFS('caseload data'!K:K,'caseload data'!$D:$D,"PSO",'caseload data'!$C:$C,'divisional &amp; regional caseload'!$T$36)</f>
        <v>0</v>
      </c>
      <c r="AB39" s="94">
        <f>SUMIFS('caseload data'!L:L,'caseload data'!$D:$D,"PSO",'caseload data'!$C:$C,'divisional &amp; regional caseload'!$T$36)</f>
        <v>0</v>
      </c>
      <c r="AC39" s="94">
        <f>SUMIFS('caseload data'!M:M,'caseload data'!$D:$D,"PSO",'caseload data'!$C:$C,'divisional &amp; regional caseload'!$T$36)</f>
        <v>0</v>
      </c>
      <c r="AD39" s="94">
        <f>SUMIFS('caseload data'!N:N,'caseload data'!$D:$D,"PSO",'caseload data'!$C:$C,'divisional &amp; regional caseload'!$T$36)</f>
        <v>0</v>
      </c>
      <c r="AE39" s="94">
        <f>SUMIFS('caseload data'!O:O,'caseload data'!$D:$D,"PSO",'caseload data'!$C:$C,'divisional &amp; regional caseload'!$T$36)</f>
        <v>0</v>
      </c>
      <c r="AF39" s="94">
        <f>SUMIFS('caseload data'!P:P,'caseload data'!$D:$D,"PSO",'caseload data'!$C:$C,'divisional &amp; regional caseload'!$T$36)</f>
        <v>0</v>
      </c>
      <c r="AG39" s="94">
        <f>SUMIFS('caseload data'!Q:Q,'caseload data'!$D:$D,"PSO",'caseload data'!$C:$C,'divisional &amp; regional caseload'!$T$36)</f>
        <v>0</v>
      </c>
      <c r="AH39" s="94">
        <f>SUMIFS('caseload data'!R:R,'caseload data'!$D:$D,"PSO",'caseload data'!$C:$C,'divisional &amp; regional caseload'!$T$36)</f>
        <v>0</v>
      </c>
      <c r="AI39" s="94">
        <f>SUMIFS('caseload data'!S:S,'caseload data'!$D:$D,"PSO",'caseload data'!$C:$C,'divisional &amp; regional caseload'!$T$36)</f>
        <v>0</v>
      </c>
      <c r="AJ39" s="94">
        <f>SUMIFS('caseload data'!T:T,'caseload data'!$D:$D,"PSO",'caseload data'!$C:$C,'divisional &amp; regional caseload'!$T$36)</f>
        <v>0</v>
      </c>
    </row>
    <row r="40" spans="2:36" x14ac:dyDescent="0.15">
      <c r="B40" s="97" t="s">
        <v>1008</v>
      </c>
      <c r="C40" s="94">
        <f>SUMIFS('caseload data'!E:E,'caseload data'!$D:$D,"TPO",'caseload data'!$C:$C,'divisional &amp; regional caseload'!$B$36)</f>
        <v>0</v>
      </c>
      <c r="D40" s="94">
        <f>SUMIFS('caseload data'!F:F,'caseload data'!$D:$D,"TPO",'caseload data'!$C:$C,'divisional &amp; regional caseload'!$B$36)</f>
        <v>0</v>
      </c>
      <c r="E40" s="94">
        <f>SUMIFS('caseload data'!G:G,'caseload data'!$D:$D,"TPO",'caseload data'!$C:$C,'divisional &amp; regional caseload'!$B$36)</f>
        <v>0</v>
      </c>
      <c r="F40" s="94">
        <f>SUMIFS('caseload data'!H:H,'caseload data'!$D:$D,"TPO",'caseload data'!$C:$C,'divisional &amp; regional caseload'!$B$36)</f>
        <v>0</v>
      </c>
      <c r="G40" s="94">
        <f>SUMIFS('caseload data'!I:I,'caseload data'!$D:$D,"TPO",'caseload data'!$C:$C,'divisional &amp; regional caseload'!$B$36)</f>
        <v>0</v>
      </c>
      <c r="H40" s="94">
        <f>SUMIFS('caseload data'!J:J,'caseload data'!$D:$D,"TPO",'caseload data'!$C:$C,'divisional &amp; regional caseload'!$B$36)</f>
        <v>0</v>
      </c>
      <c r="I40" s="94">
        <f>SUMIFS('caseload data'!K:K,'caseload data'!$D:$D,"TPO",'caseload data'!$C:$C,'divisional &amp; regional caseload'!$B$36)</f>
        <v>0</v>
      </c>
      <c r="J40" s="94">
        <f>SUMIFS('caseload data'!L:L,'caseload data'!$D:$D,"TPO",'caseload data'!$C:$C,'divisional &amp; regional caseload'!$B$36)</f>
        <v>0</v>
      </c>
      <c r="K40" s="94">
        <f>SUMIFS('caseload data'!M:M,'caseload data'!$D:$D,"TPO",'caseload data'!$C:$C,'divisional &amp; regional caseload'!$B$36)</f>
        <v>0</v>
      </c>
      <c r="L40" s="94">
        <f>SUMIFS('caseload data'!N:N,'caseload data'!$D:$D,"TPO",'caseload data'!$C:$C,'divisional &amp; regional caseload'!$B$36)</f>
        <v>0</v>
      </c>
      <c r="M40" s="94">
        <f>SUMIFS('caseload data'!O:O,'caseload data'!$D:$D,"TPO",'caseload data'!$C:$C,'divisional &amp; regional caseload'!$B$36)</f>
        <v>0</v>
      </c>
      <c r="N40" s="94">
        <f>SUMIFS('caseload data'!P:P,'caseload data'!$D:$D,"TPO",'caseload data'!$C:$C,'divisional &amp; regional caseload'!$B$36)</f>
        <v>0</v>
      </c>
      <c r="O40" s="94">
        <f>SUMIFS('caseload data'!Q:Q,'caseload data'!$D:$D,"TPO",'caseload data'!$C:$C,'divisional &amp; regional caseload'!$B$36)</f>
        <v>0</v>
      </c>
      <c r="P40" s="94">
        <f>SUMIFS('caseload data'!R:R,'caseload data'!$D:$D,"TPO",'caseload data'!$C:$C,'divisional &amp; regional caseload'!$B$36)</f>
        <v>0</v>
      </c>
      <c r="Q40" s="94">
        <f>SUMIFS('caseload data'!S:S,'caseload data'!$D:$D,"TPO",'caseload data'!$C:$C,'divisional &amp; regional caseload'!$B$36)</f>
        <v>0</v>
      </c>
      <c r="R40" s="94">
        <f>SUMIFS('caseload data'!T:T,'caseload data'!$D:$D,"TPO",'caseload data'!$C:$C,'divisional &amp; regional caseload'!$B$36)</f>
        <v>0</v>
      </c>
      <c r="S40" s="91"/>
      <c r="T40" s="97" t="s">
        <v>1008</v>
      </c>
      <c r="U40" s="94">
        <f>SUMIFS('caseload data'!E:E,'caseload data'!$D:$D,"TPO",'caseload data'!$C:$C,'divisional &amp; regional caseload'!$T$36)</f>
        <v>0</v>
      </c>
      <c r="V40" s="94">
        <f>SUMIFS('caseload data'!F:F,'caseload data'!$D:$D,"TPO",'caseload data'!$C:$C,'divisional &amp; regional caseload'!$T$36)</f>
        <v>0</v>
      </c>
      <c r="W40" s="94">
        <f>SUMIFS('caseload data'!G:G,'caseload data'!$D:$D,"TPO",'caseload data'!$C:$C,'divisional &amp; regional caseload'!$T$36)</f>
        <v>0</v>
      </c>
      <c r="X40" s="94">
        <f>SUMIFS('caseload data'!H:H,'caseload data'!$D:$D,"TPO",'caseload data'!$C:$C,'divisional &amp; regional caseload'!$T$36)</f>
        <v>0</v>
      </c>
      <c r="Y40" s="94">
        <f>SUMIFS('caseload data'!I:I,'caseload data'!$D:$D,"TPO",'caseload data'!$C:$C,'divisional &amp; regional caseload'!$T$36)</f>
        <v>0</v>
      </c>
      <c r="Z40" s="94">
        <f>SUMIFS('caseload data'!J:J,'caseload data'!$D:$D,"TPO",'caseload data'!$C:$C,'divisional &amp; regional caseload'!$T$36)</f>
        <v>0</v>
      </c>
      <c r="AA40" s="94">
        <f>SUMIFS('caseload data'!K:K,'caseload data'!$D:$D,"TPO",'caseload data'!$C:$C,'divisional &amp; regional caseload'!$T$36)</f>
        <v>0</v>
      </c>
      <c r="AB40" s="94">
        <f>SUMIFS('caseload data'!L:L,'caseload data'!$D:$D,"TPO",'caseload data'!$C:$C,'divisional &amp; regional caseload'!$T$36)</f>
        <v>0</v>
      </c>
      <c r="AC40" s="94">
        <f>SUMIFS('caseload data'!M:M,'caseload data'!$D:$D,"TPO",'caseload data'!$C:$C,'divisional &amp; regional caseload'!$T$36)</f>
        <v>0</v>
      </c>
      <c r="AD40" s="94">
        <f>SUMIFS('caseload data'!N:N,'caseload data'!$D:$D,"TPO",'caseload data'!$C:$C,'divisional &amp; regional caseload'!$T$36)</f>
        <v>0</v>
      </c>
      <c r="AE40" s="94">
        <f>SUMIFS('caseload data'!O:O,'caseload data'!$D:$D,"TPO",'caseload data'!$C:$C,'divisional &amp; regional caseload'!$T$36)</f>
        <v>0</v>
      </c>
      <c r="AF40" s="94">
        <f>SUMIFS('caseload data'!P:P,'caseload data'!$D:$D,"TPO",'caseload data'!$C:$C,'divisional &amp; regional caseload'!$T$36)</f>
        <v>0</v>
      </c>
      <c r="AG40" s="94">
        <f>SUMIFS('caseload data'!Q:Q,'caseload data'!$D:$D,"TPO",'caseload data'!$C:$C,'divisional &amp; regional caseload'!$T$36)</f>
        <v>0</v>
      </c>
      <c r="AH40" s="94">
        <f>SUMIFS('caseload data'!R:R,'caseload data'!$D:$D,"TPO",'caseload data'!$C:$C,'divisional &amp; regional caseload'!$T$36)</f>
        <v>0</v>
      </c>
      <c r="AI40" s="94">
        <f>SUMIFS('caseload data'!S:S,'caseload data'!$D:$D,"TPO",'caseload data'!$C:$C,'divisional &amp; regional caseload'!$T$36)</f>
        <v>0</v>
      </c>
      <c r="AJ40" s="94">
        <f>SUMIFS('caseload data'!T:T,'caseload data'!$D:$D,"TPO",'caseload data'!$C:$C,'divisional &amp; regional caseload'!$T$36)</f>
        <v>0</v>
      </c>
    </row>
    <row r="41" spans="2:36" x14ac:dyDescent="0.15">
      <c r="B41" s="98" t="s">
        <v>1009</v>
      </c>
      <c r="C41" s="94">
        <f>SUMIFS('caseload data'!E:E,'caseload data'!$D:$D,"SPO",'caseload data'!$C:$C,'divisional &amp; regional caseload'!$B$36)</f>
        <v>0</v>
      </c>
      <c r="D41" s="94">
        <f>SUMIFS('caseload data'!F:F,'caseload data'!$D:$D,"SPO",'caseload data'!$C:$C,'divisional &amp; regional caseload'!$B$36)</f>
        <v>0</v>
      </c>
      <c r="E41" s="94">
        <f>SUMIFS('caseload data'!G:G,'caseload data'!$D:$D,"SPO",'caseload data'!$C:$C,'divisional &amp; regional caseload'!$B$36)</f>
        <v>0</v>
      </c>
      <c r="F41" s="94">
        <f>SUMIFS('caseload data'!H:H,'caseload data'!$D:$D,"SPO",'caseload data'!$C:$C,'divisional &amp; regional caseload'!$B$36)</f>
        <v>0</v>
      </c>
      <c r="G41" s="94">
        <f>SUMIFS('caseload data'!I:I,'caseload data'!$D:$D,"SPO",'caseload data'!$C:$C,'divisional &amp; regional caseload'!$B$36)</f>
        <v>0</v>
      </c>
      <c r="H41" s="94">
        <f>SUMIFS('caseload data'!J:J,'caseload data'!$D:$D,"SPO",'caseload data'!$C:$C,'divisional &amp; regional caseload'!$B$36)</f>
        <v>0</v>
      </c>
      <c r="I41" s="94">
        <f>SUMIFS('caseload data'!K:K,'caseload data'!$D:$D,"SPO",'caseload data'!$C:$C,'divisional &amp; regional caseload'!$B$36)</f>
        <v>0</v>
      </c>
      <c r="J41" s="94">
        <f>SUMIFS('caseload data'!L:L,'caseload data'!$D:$D,"SPO",'caseload data'!$C:$C,'divisional &amp; regional caseload'!$B$36)</f>
        <v>0</v>
      </c>
      <c r="K41" s="94">
        <f>SUMIFS('caseload data'!M:M,'caseload data'!$D:$D,"SPO",'caseload data'!$C:$C,'divisional &amp; regional caseload'!$B$36)</f>
        <v>0</v>
      </c>
      <c r="L41" s="94">
        <f>SUMIFS('caseload data'!N:N,'caseload data'!$D:$D,"SPO",'caseload data'!$C:$C,'divisional &amp; regional caseload'!$B$36)</f>
        <v>0</v>
      </c>
      <c r="M41" s="94">
        <f>SUMIFS('caseload data'!O:O,'caseload data'!$D:$D,"SPO",'caseload data'!$C:$C,'divisional &amp; regional caseload'!$B$36)</f>
        <v>0</v>
      </c>
      <c r="N41" s="94">
        <f>SUMIFS('caseload data'!P:P,'caseload data'!$D:$D,"SPO",'caseload data'!$C:$C,'divisional &amp; regional caseload'!$B$36)</f>
        <v>0</v>
      </c>
      <c r="O41" s="94">
        <f>SUMIFS('caseload data'!Q:Q,'caseload data'!$D:$D,"SPO",'caseload data'!$C:$C,'divisional &amp; regional caseload'!$B$36)</f>
        <v>0</v>
      </c>
      <c r="P41" s="94">
        <f>SUMIFS('caseload data'!R:R,'caseload data'!$D:$D,"SPO",'caseload data'!$C:$C,'divisional &amp; regional caseload'!$B$36)</f>
        <v>0</v>
      </c>
      <c r="Q41" s="94">
        <f>SUMIFS('caseload data'!S:S,'caseload data'!$D:$D,"SPO",'caseload data'!$C:$C,'divisional &amp; regional caseload'!$B$36)</f>
        <v>0</v>
      </c>
      <c r="R41" s="94">
        <f>SUMIFS('caseload data'!T:T,'caseload data'!$D:$D,"SPO",'caseload data'!$C:$C,'divisional &amp; regional caseload'!$B$36)</f>
        <v>0</v>
      </c>
      <c r="S41" s="91"/>
      <c r="T41" s="98" t="s">
        <v>1009</v>
      </c>
      <c r="U41" s="94">
        <f>SUMIFS('caseload data'!E:E,'caseload data'!$D:$D,"SPO",'caseload data'!$C:$C,'divisional &amp; regional caseload'!$T$36)</f>
        <v>0</v>
      </c>
      <c r="V41" s="94">
        <f>SUMIFS('caseload data'!F:F,'caseload data'!$D:$D,"SPO",'caseload data'!$C:$C,'divisional &amp; regional caseload'!$T$36)</f>
        <v>0</v>
      </c>
      <c r="W41" s="94">
        <f>SUMIFS('caseload data'!G:G,'caseload data'!$D:$D,"SPO",'caseload data'!$C:$C,'divisional &amp; regional caseload'!$T$36)</f>
        <v>0</v>
      </c>
      <c r="X41" s="94">
        <f>SUMIFS('caseload data'!H:H,'caseload data'!$D:$D,"SPO",'caseload data'!$C:$C,'divisional &amp; regional caseload'!$T$36)</f>
        <v>0</v>
      </c>
      <c r="Y41" s="94">
        <f>SUMIFS('caseload data'!I:I,'caseload data'!$D:$D,"SPO",'caseload data'!$C:$C,'divisional &amp; regional caseload'!$T$36)</f>
        <v>0</v>
      </c>
      <c r="Z41" s="94">
        <f>SUMIFS('caseload data'!J:J,'caseload data'!$D:$D,"SPO",'caseload data'!$C:$C,'divisional &amp; regional caseload'!$T$36)</f>
        <v>0</v>
      </c>
      <c r="AA41" s="94">
        <f>SUMIFS('caseload data'!K:K,'caseload data'!$D:$D,"SPO",'caseload data'!$C:$C,'divisional &amp; regional caseload'!$T$36)</f>
        <v>0</v>
      </c>
      <c r="AB41" s="94">
        <f>SUMIFS('caseload data'!L:L,'caseload data'!$D:$D,"SPO",'caseload data'!$C:$C,'divisional &amp; regional caseload'!$T$36)</f>
        <v>0</v>
      </c>
      <c r="AC41" s="94">
        <f>SUMIFS('caseload data'!M:M,'caseload data'!$D:$D,"SPO",'caseload data'!$C:$C,'divisional &amp; regional caseload'!$T$36)</f>
        <v>0</v>
      </c>
      <c r="AD41" s="94">
        <f>SUMIFS('caseload data'!N:N,'caseload data'!$D:$D,"SPO",'caseload data'!$C:$C,'divisional &amp; regional caseload'!$T$36)</f>
        <v>0</v>
      </c>
      <c r="AE41" s="94">
        <f>SUMIFS('caseload data'!O:O,'caseload data'!$D:$D,"SPO",'caseload data'!$C:$C,'divisional &amp; regional caseload'!$T$36)</f>
        <v>0</v>
      </c>
      <c r="AF41" s="94">
        <f>SUMIFS('caseload data'!P:P,'caseload data'!$D:$D,"SPO",'caseload data'!$C:$C,'divisional &amp; regional caseload'!$T$36)</f>
        <v>0</v>
      </c>
      <c r="AG41" s="94">
        <f>SUMIFS('caseload data'!Q:Q,'caseload data'!$D:$D,"SPO",'caseload data'!$C:$C,'divisional &amp; regional caseload'!$T$36)</f>
        <v>0</v>
      </c>
      <c r="AH41" s="94">
        <f>SUMIFS('caseload data'!R:R,'caseload data'!$D:$D,"SPO",'caseload data'!$C:$C,'divisional &amp; regional caseload'!$T$36)</f>
        <v>0</v>
      </c>
      <c r="AI41" s="94">
        <f>SUMIFS('caseload data'!S:S,'caseload data'!$D:$D,"SPO",'caseload data'!$C:$C,'divisional &amp; regional caseload'!$T$36)</f>
        <v>0</v>
      </c>
      <c r="AJ41" s="94">
        <f>SUMIFS('caseload data'!T:T,'caseload data'!$D:$D,"SPO",'caseload data'!$C:$C,'divisional &amp; regional caseload'!$T$36)</f>
        <v>0</v>
      </c>
    </row>
    <row r="42" spans="2:36" x14ac:dyDescent="0.15">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row>
    <row r="43" spans="2:36" ht="34.5" customHeight="1" x14ac:dyDescent="0.15">
      <c r="B43" s="289" t="str">
        <f>HLOOKUP($B$5,Region_Table,12,0)</f>
        <v>Unpaid Work and Attendance Centres - N54</v>
      </c>
      <c r="C43" s="515" t="s">
        <v>1099</v>
      </c>
      <c r="D43" s="516"/>
      <c r="E43" s="516"/>
      <c r="F43" s="516"/>
      <c r="G43" s="516"/>
      <c r="H43" s="516"/>
      <c r="I43" s="516"/>
      <c r="J43" s="516"/>
      <c r="K43" s="516"/>
      <c r="L43" s="516"/>
      <c r="M43" s="520"/>
      <c r="N43" s="520"/>
      <c r="O43" s="521"/>
      <c r="P43" s="510">
        <f>SUMIF('caseload data'!$C:$C,'divisional &amp; regional caseload'!B43,'caseload data'!V:V)</f>
        <v>0</v>
      </c>
      <c r="Q43" s="511"/>
      <c r="R43" s="512"/>
      <c r="S43" s="91"/>
      <c r="T43" s="289">
        <f>HLOOKUP($B$5,Region_Table,13,0)</f>
        <v>0</v>
      </c>
      <c r="U43" s="515" t="s">
        <v>1097</v>
      </c>
      <c r="V43" s="516"/>
      <c r="W43" s="516"/>
      <c r="X43" s="516"/>
      <c r="Y43" s="516"/>
      <c r="Z43" s="516"/>
      <c r="AA43" s="516"/>
      <c r="AB43" s="516"/>
      <c r="AC43" s="516"/>
      <c r="AD43" s="516"/>
      <c r="AE43" s="516"/>
      <c r="AF43" s="516"/>
      <c r="AG43" s="517"/>
      <c r="AH43" s="510">
        <f>SUMIF('caseload data'!$C:$C,'divisional &amp; regional caseload'!T43,'caseload data'!V:V)</f>
        <v>0</v>
      </c>
      <c r="AI43" s="511"/>
      <c r="AJ43" s="512"/>
    </row>
    <row r="44" spans="2:36" x14ac:dyDescent="0.15">
      <c r="B44" s="95" t="s">
        <v>1005</v>
      </c>
      <c r="C44" s="38" t="s">
        <v>869</v>
      </c>
      <c r="D44" s="38" t="s">
        <v>870</v>
      </c>
      <c r="E44" s="38" t="s">
        <v>871</v>
      </c>
      <c r="F44" s="38" t="s">
        <v>872</v>
      </c>
      <c r="G44" s="38" t="s">
        <v>873</v>
      </c>
      <c r="H44" s="38" t="s">
        <v>874</v>
      </c>
      <c r="I44" s="38" t="s">
        <v>875</v>
      </c>
      <c r="J44" s="38" t="s">
        <v>876</v>
      </c>
      <c r="K44" s="38" t="s">
        <v>877</v>
      </c>
      <c r="L44" s="38" t="s">
        <v>878</v>
      </c>
      <c r="M44" s="38" t="s">
        <v>879</v>
      </c>
      <c r="N44" s="38" t="s">
        <v>880</v>
      </c>
      <c r="O44" s="38" t="s">
        <v>881</v>
      </c>
      <c r="P44" s="38" t="s">
        <v>882</v>
      </c>
      <c r="Q44" s="38" t="s">
        <v>883</v>
      </c>
      <c r="R44" s="38" t="s">
        <v>884</v>
      </c>
      <c r="S44" s="91"/>
      <c r="T44" s="95" t="s">
        <v>1005</v>
      </c>
      <c r="U44" s="38" t="s">
        <v>869</v>
      </c>
      <c r="V44" s="38" t="s">
        <v>870</v>
      </c>
      <c r="W44" s="38" t="s">
        <v>871</v>
      </c>
      <c r="X44" s="38" t="s">
        <v>872</v>
      </c>
      <c r="Y44" s="38" t="s">
        <v>873</v>
      </c>
      <c r="Z44" s="38" t="s">
        <v>874</v>
      </c>
      <c r="AA44" s="38" t="s">
        <v>875</v>
      </c>
      <c r="AB44" s="38" t="s">
        <v>876</v>
      </c>
      <c r="AC44" s="38" t="s">
        <v>877</v>
      </c>
      <c r="AD44" s="38" t="s">
        <v>878</v>
      </c>
      <c r="AE44" s="38" t="s">
        <v>879</v>
      </c>
      <c r="AF44" s="38" t="s">
        <v>880</v>
      </c>
      <c r="AG44" s="38" t="s">
        <v>881</v>
      </c>
      <c r="AH44" s="38" t="s">
        <v>882</v>
      </c>
      <c r="AI44" s="38" t="s">
        <v>883</v>
      </c>
      <c r="AJ44" s="38" t="s">
        <v>884</v>
      </c>
    </row>
    <row r="45" spans="2:36" x14ac:dyDescent="0.15">
      <c r="B45" s="96" t="s">
        <v>1002</v>
      </c>
      <c r="C45" s="94">
        <f>SUMIFS('caseload data'!E:E,'caseload data'!$D:$D,"PO",'caseload data'!$C:$C,'divisional &amp; regional caseload'!$B$43)</f>
        <v>0</v>
      </c>
      <c r="D45" s="94">
        <f>SUMIFS('caseload data'!F:F,'caseload data'!$D:$D,"PO",'caseload data'!$C:$C,'divisional &amp; regional caseload'!$B$43)</f>
        <v>0</v>
      </c>
      <c r="E45" s="94">
        <f>SUMIFS('caseload data'!G:G,'caseload data'!$D:$D,"PO",'caseload data'!$C:$C,'divisional &amp; regional caseload'!$B$43)</f>
        <v>0</v>
      </c>
      <c r="F45" s="94">
        <f>SUMIFS('caseload data'!H:H,'caseload data'!$D:$D,"PO",'caseload data'!$C:$C,'divisional &amp; regional caseload'!$B$43)</f>
        <v>0</v>
      </c>
      <c r="G45" s="94">
        <f>SUMIFS('caseload data'!I:I,'caseload data'!$D:$D,"PO",'caseload data'!$C:$C,'divisional &amp; regional caseload'!$B$43)</f>
        <v>0</v>
      </c>
      <c r="H45" s="94">
        <f>SUMIFS('caseload data'!J:J,'caseload data'!$D:$D,"PO",'caseload data'!$C:$C,'divisional &amp; regional caseload'!$B$43)</f>
        <v>0</v>
      </c>
      <c r="I45" s="94">
        <f>SUMIFS('caseload data'!K:K,'caseload data'!$D:$D,"PO",'caseload data'!$C:$C,'divisional &amp; regional caseload'!$B$43)</f>
        <v>0</v>
      </c>
      <c r="J45" s="94">
        <f>SUMIFS('caseload data'!L:L,'caseload data'!$D:$D,"PO",'caseload data'!$C:$C,'divisional &amp; regional caseload'!$B$43)</f>
        <v>0</v>
      </c>
      <c r="K45" s="94">
        <f>SUMIFS('caseload data'!M:M,'caseload data'!$D:$D,"PO",'caseload data'!$C:$C,'divisional &amp; regional caseload'!$B$43)</f>
        <v>0</v>
      </c>
      <c r="L45" s="94">
        <f>SUMIFS('caseload data'!N:N,'caseload data'!$D:$D,"PO",'caseload data'!$C:$C,'divisional &amp; regional caseload'!$B$43)</f>
        <v>0</v>
      </c>
      <c r="M45" s="94">
        <f>SUMIFS('caseload data'!O:O,'caseload data'!$D:$D,"PO",'caseload data'!$C:$C,'divisional &amp; regional caseload'!$B$43)</f>
        <v>0</v>
      </c>
      <c r="N45" s="94">
        <f>SUMIFS('caseload data'!P:P,'caseload data'!$D:$D,"PO",'caseload data'!$C:$C,'divisional &amp; regional caseload'!$B$43)</f>
        <v>0</v>
      </c>
      <c r="O45" s="94">
        <f>SUMIFS('caseload data'!Q:Q,'caseload data'!$D:$D,"PO",'caseload data'!$C:$C,'divisional &amp; regional caseload'!$B$43)</f>
        <v>0</v>
      </c>
      <c r="P45" s="94">
        <f>SUMIFS('caseload data'!R:R,'caseload data'!$D:$D,"PO",'caseload data'!$C:$C,'divisional &amp; regional caseload'!$B$43)</f>
        <v>0</v>
      </c>
      <c r="Q45" s="94">
        <f>SUMIFS('caseload data'!S:S,'caseload data'!$D:$D,"PO",'caseload data'!$C:$C,'divisional &amp; regional caseload'!$B$43)</f>
        <v>0</v>
      </c>
      <c r="R45" s="94">
        <f>SUMIFS('caseload data'!T:T,'caseload data'!$D:$D,"PO",'caseload data'!$C:$C,'divisional &amp; regional caseload'!$B$43)</f>
        <v>0</v>
      </c>
      <c r="S45" s="91"/>
      <c r="T45" s="96" t="s">
        <v>1002</v>
      </c>
      <c r="U45" s="94">
        <f>SUMIFS('caseload data'!E:E,'caseload data'!$D:$D,"PO",'caseload data'!$C:$C,'divisional &amp; regional caseload'!$T$43)</f>
        <v>0</v>
      </c>
      <c r="V45" s="94">
        <f>SUMIFS('caseload data'!F:F,'caseload data'!$D:$D,"PO",'caseload data'!$C:$C,'divisional &amp; regional caseload'!$T$43)</f>
        <v>0</v>
      </c>
      <c r="W45" s="94">
        <f>SUMIFS('caseload data'!G:G,'caseload data'!$D:$D,"PO",'caseload data'!$C:$C,'divisional &amp; regional caseload'!$T$43)</f>
        <v>0</v>
      </c>
      <c r="X45" s="94">
        <f>SUMIFS('caseload data'!H:H,'caseload data'!$D:$D,"PO",'caseload data'!$C:$C,'divisional &amp; regional caseload'!$T$43)</f>
        <v>0</v>
      </c>
      <c r="Y45" s="94">
        <f>SUMIFS('caseload data'!I:I,'caseload data'!$D:$D,"PO",'caseload data'!$C:$C,'divisional &amp; regional caseload'!$T$43)</f>
        <v>0</v>
      </c>
      <c r="Z45" s="94">
        <f>SUMIFS('caseload data'!J:J,'caseload data'!$D:$D,"PO",'caseload data'!$C:$C,'divisional &amp; regional caseload'!$T$43)</f>
        <v>0</v>
      </c>
      <c r="AA45" s="94">
        <f>SUMIFS('caseload data'!K:K,'caseload data'!$D:$D,"PO",'caseload data'!$C:$C,'divisional &amp; regional caseload'!$T$43)</f>
        <v>0</v>
      </c>
      <c r="AB45" s="94">
        <f>SUMIFS('caseload data'!L:L,'caseload data'!$D:$D,"PO",'caseload data'!$C:$C,'divisional &amp; regional caseload'!$T$43)</f>
        <v>0</v>
      </c>
      <c r="AC45" s="94">
        <f>SUMIFS('caseload data'!M:M,'caseload data'!$D:$D,"PO",'caseload data'!$C:$C,'divisional &amp; regional caseload'!$T$43)</f>
        <v>0</v>
      </c>
      <c r="AD45" s="94">
        <f>SUMIFS('caseload data'!N:N,'caseload data'!$D:$D,"PO",'caseload data'!$C:$C,'divisional &amp; regional caseload'!$T$43)</f>
        <v>0</v>
      </c>
      <c r="AE45" s="94">
        <f>SUMIFS('caseload data'!O:O,'caseload data'!$D:$D,"PO",'caseload data'!$C:$C,'divisional &amp; regional caseload'!$T$43)</f>
        <v>0</v>
      </c>
      <c r="AF45" s="94">
        <f>SUMIFS('caseload data'!P:P,'caseload data'!$D:$D,"PO",'caseload data'!$C:$C,'divisional &amp; regional caseload'!$T$43)</f>
        <v>0</v>
      </c>
      <c r="AG45" s="94">
        <f>SUMIFS('caseload data'!Q:Q,'caseload data'!$D:$D,"PO",'caseload data'!$C:$C,'divisional &amp; regional caseload'!$T$43)</f>
        <v>0</v>
      </c>
      <c r="AH45" s="94">
        <f>SUMIFS('caseload data'!R:R,'caseload data'!$D:$D,"PO",'caseload data'!$C:$C,'divisional &amp; regional caseload'!$T$43)</f>
        <v>0</v>
      </c>
      <c r="AI45" s="94">
        <f>SUMIFS('caseload data'!S:S,'caseload data'!$D:$D,"PO",'caseload data'!$C:$C,'divisional &amp; regional caseload'!$T$43)</f>
        <v>0</v>
      </c>
      <c r="AJ45" s="94">
        <f>SUMIFS('caseload data'!T:T,'caseload data'!$D:$D,"PO",'caseload data'!$C:$C,'divisional &amp; regional caseload'!$T$43)</f>
        <v>0</v>
      </c>
    </row>
    <row r="46" spans="2:36" x14ac:dyDescent="0.15">
      <c r="B46" s="97" t="s">
        <v>1007</v>
      </c>
      <c r="C46" s="94">
        <f>SUMIFS('caseload data'!E:E,'caseload data'!$D:$D,"PSO",'caseload data'!$C:$C,'divisional &amp; regional caseload'!$B$43)</f>
        <v>0</v>
      </c>
      <c r="D46" s="94">
        <f>SUMIFS('caseload data'!F:F,'caseload data'!$D:$D,"PSO",'caseload data'!$C:$C,'divisional &amp; regional caseload'!$B$43)</f>
        <v>0</v>
      </c>
      <c r="E46" s="94">
        <f>SUMIFS('caseload data'!G:G,'caseload data'!$D:$D,"PSO",'caseload data'!$C:$C,'divisional &amp; regional caseload'!$B$43)</f>
        <v>0</v>
      </c>
      <c r="F46" s="94">
        <f>SUMIFS('caseload data'!H:H,'caseload data'!$D:$D,"PSO",'caseload data'!$C:$C,'divisional &amp; regional caseload'!$B$43)</f>
        <v>0</v>
      </c>
      <c r="G46" s="94">
        <f>SUMIFS('caseload data'!I:I,'caseload data'!$D:$D,"PSO",'caseload data'!$C:$C,'divisional &amp; regional caseload'!$B$43)</f>
        <v>0</v>
      </c>
      <c r="H46" s="94">
        <f>SUMIFS('caseload data'!J:J,'caseload data'!$D:$D,"PSO",'caseload data'!$C:$C,'divisional &amp; regional caseload'!$B$43)</f>
        <v>0</v>
      </c>
      <c r="I46" s="94">
        <f>SUMIFS('caseload data'!K:K,'caseload data'!$D:$D,"PSO",'caseload data'!$C:$C,'divisional &amp; regional caseload'!$B$43)</f>
        <v>0</v>
      </c>
      <c r="J46" s="94">
        <f>SUMIFS('caseload data'!L:L,'caseload data'!$D:$D,"PSO",'caseload data'!$C:$C,'divisional &amp; regional caseload'!$B$43)</f>
        <v>0</v>
      </c>
      <c r="K46" s="94">
        <f>SUMIFS('caseload data'!M:M,'caseload data'!$D:$D,"PSO",'caseload data'!$C:$C,'divisional &amp; regional caseload'!$B$43)</f>
        <v>0</v>
      </c>
      <c r="L46" s="94">
        <f>SUMIFS('caseload data'!N:N,'caseload data'!$D:$D,"PSO",'caseload data'!$C:$C,'divisional &amp; regional caseload'!$B$43)</f>
        <v>0</v>
      </c>
      <c r="M46" s="94">
        <f>SUMIFS('caseload data'!O:O,'caseload data'!$D:$D,"PSO",'caseload data'!$C:$C,'divisional &amp; regional caseload'!$B$43)</f>
        <v>0</v>
      </c>
      <c r="N46" s="94">
        <f>SUMIFS('caseload data'!P:P,'caseload data'!$D:$D,"PSO",'caseload data'!$C:$C,'divisional &amp; regional caseload'!$B$43)</f>
        <v>0</v>
      </c>
      <c r="O46" s="94">
        <f>SUMIFS('caseload data'!Q:Q,'caseload data'!$D:$D,"PSO",'caseload data'!$C:$C,'divisional &amp; regional caseload'!$B$43)</f>
        <v>0</v>
      </c>
      <c r="P46" s="94">
        <f>SUMIFS('caseload data'!R:R,'caseload data'!$D:$D,"PSO",'caseload data'!$C:$C,'divisional &amp; regional caseload'!$B$43)</f>
        <v>0</v>
      </c>
      <c r="Q46" s="94">
        <f>SUMIFS('caseload data'!S:S,'caseload data'!$D:$D,"PSO",'caseload data'!$C:$C,'divisional &amp; regional caseload'!$B$43)</f>
        <v>0</v>
      </c>
      <c r="R46" s="94">
        <f>SUMIFS('caseload data'!T:T,'caseload data'!$D:$D,"PSO",'caseload data'!$C:$C,'divisional &amp; regional caseload'!$B$43)</f>
        <v>0</v>
      </c>
      <c r="S46" s="91"/>
      <c r="T46" s="97" t="s">
        <v>1007</v>
      </c>
      <c r="U46" s="94">
        <f>SUMIFS('caseload data'!E:E,'caseload data'!$D:$D,"PSO",'caseload data'!$C:$C,'divisional &amp; regional caseload'!$T$43)</f>
        <v>0</v>
      </c>
      <c r="V46" s="94">
        <f>SUMIFS('caseload data'!F:F,'caseload data'!$D:$D,"PSO",'caseload data'!$C:$C,'divisional &amp; regional caseload'!$T$43)</f>
        <v>0</v>
      </c>
      <c r="W46" s="94">
        <f>SUMIFS('caseload data'!G:G,'caseload data'!$D:$D,"PSO",'caseload data'!$C:$C,'divisional &amp; regional caseload'!$T$43)</f>
        <v>0</v>
      </c>
      <c r="X46" s="94">
        <f>SUMIFS('caseload data'!H:H,'caseload data'!$D:$D,"PSO",'caseload data'!$C:$C,'divisional &amp; regional caseload'!$T$43)</f>
        <v>0</v>
      </c>
      <c r="Y46" s="94">
        <f>SUMIFS('caseload data'!I:I,'caseload data'!$D:$D,"PSO",'caseload data'!$C:$C,'divisional &amp; regional caseload'!$T$43)</f>
        <v>0</v>
      </c>
      <c r="Z46" s="94">
        <f>SUMIFS('caseload data'!J:J,'caseload data'!$D:$D,"PSO",'caseload data'!$C:$C,'divisional &amp; regional caseload'!$T$43)</f>
        <v>0</v>
      </c>
      <c r="AA46" s="94">
        <f>SUMIFS('caseload data'!K:K,'caseload data'!$D:$D,"PSO",'caseload data'!$C:$C,'divisional &amp; regional caseload'!$T$43)</f>
        <v>0</v>
      </c>
      <c r="AB46" s="94">
        <f>SUMIFS('caseload data'!L:L,'caseload data'!$D:$D,"PSO",'caseload data'!$C:$C,'divisional &amp; regional caseload'!$T$43)</f>
        <v>0</v>
      </c>
      <c r="AC46" s="94">
        <f>SUMIFS('caseload data'!M:M,'caseload data'!$D:$D,"PSO",'caseload data'!$C:$C,'divisional &amp; regional caseload'!$T$43)</f>
        <v>0</v>
      </c>
      <c r="AD46" s="94">
        <f>SUMIFS('caseload data'!N:N,'caseload data'!$D:$D,"PSO",'caseload data'!$C:$C,'divisional &amp; regional caseload'!$T$43)</f>
        <v>0</v>
      </c>
      <c r="AE46" s="94">
        <f>SUMIFS('caseload data'!O:O,'caseload data'!$D:$D,"PSO",'caseload data'!$C:$C,'divisional &amp; regional caseload'!$T$43)</f>
        <v>0</v>
      </c>
      <c r="AF46" s="94">
        <f>SUMIFS('caseload data'!P:P,'caseload data'!$D:$D,"PSO",'caseload data'!$C:$C,'divisional &amp; regional caseload'!$T$43)</f>
        <v>0</v>
      </c>
      <c r="AG46" s="94">
        <f>SUMIFS('caseload data'!Q:Q,'caseload data'!$D:$D,"PSO",'caseload data'!$C:$C,'divisional &amp; regional caseload'!$T$43)</f>
        <v>0</v>
      </c>
      <c r="AH46" s="94">
        <f>SUMIFS('caseload data'!R:R,'caseload data'!$D:$D,"PSO",'caseload data'!$C:$C,'divisional &amp; regional caseload'!$T$43)</f>
        <v>0</v>
      </c>
      <c r="AI46" s="94">
        <f>SUMIFS('caseload data'!S:S,'caseload data'!$D:$D,"PSO",'caseload data'!$C:$C,'divisional &amp; regional caseload'!$T$43)</f>
        <v>0</v>
      </c>
      <c r="AJ46" s="94">
        <f>SUMIFS('caseload data'!T:T,'caseload data'!$D:$D,"PSO",'caseload data'!$C:$C,'divisional &amp; regional caseload'!$T$43)</f>
        <v>0</v>
      </c>
    </row>
    <row r="47" spans="2:36" x14ac:dyDescent="0.15">
      <c r="B47" s="97" t="s">
        <v>1008</v>
      </c>
      <c r="C47" s="94">
        <f>SUMIFS('caseload data'!E:E,'caseload data'!$D:$D,"TPO",'caseload data'!$C:$C,'divisional &amp; regional caseload'!$B$43)</f>
        <v>0</v>
      </c>
      <c r="D47" s="94">
        <f>SUMIFS('caseload data'!F:F,'caseload data'!$D:$D,"TPO",'caseload data'!$C:$C,'divisional &amp; regional caseload'!$B$43)</f>
        <v>0</v>
      </c>
      <c r="E47" s="94">
        <f>SUMIFS('caseload data'!G:G,'caseload data'!$D:$D,"TPO",'caseload data'!$C:$C,'divisional &amp; regional caseload'!$B$43)</f>
        <v>0</v>
      </c>
      <c r="F47" s="94">
        <f>SUMIFS('caseload data'!H:H,'caseload data'!$D:$D,"TPO",'caseload data'!$C:$C,'divisional &amp; regional caseload'!$B$43)</f>
        <v>0</v>
      </c>
      <c r="G47" s="94">
        <f>SUMIFS('caseload data'!I:I,'caseload data'!$D:$D,"TPO",'caseload data'!$C:$C,'divisional &amp; regional caseload'!$B$43)</f>
        <v>0</v>
      </c>
      <c r="H47" s="94">
        <f>SUMIFS('caseload data'!J:J,'caseload data'!$D:$D,"TPO",'caseload data'!$C:$C,'divisional &amp; regional caseload'!$B$43)</f>
        <v>0</v>
      </c>
      <c r="I47" s="94">
        <f>SUMIFS('caseload data'!K:K,'caseload data'!$D:$D,"TPO",'caseload data'!$C:$C,'divisional &amp; regional caseload'!$B$43)</f>
        <v>0</v>
      </c>
      <c r="J47" s="94">
        <f>SUMIFS('caseload data'!L:L,'caseload data'!$D:$D,"TPO",'caseload data'!$C:$C,'divisional &amp; regional caseload'!$B$43)</f>
        <v>0</v>
      </c>
      <c r="K47" s="94">
        <f>SUMIFS('caseload data'!M:M,'caseload data'!$D:$D,"TPO",'caseload data'!$C:$C,'divisional &amp; regional caseload'!$B$43)</f>
        <v>0</v>
      </c>
      <c r="L47" s="94">
        <f>SUMIFS('caseload data'!N:N,'caseload data'!$D:$D,"TPO",'caseload data'!$C:$C,'divisional &amp; regional caseload'!$B$43)</f>
        <v>0</v>
      </c>
      <c r="M47" s="94">
        <f>SUMIFS('caseload data'!O:O,'caseload data'!$D:$D,"TPO",'caseload data'!$C:$C,'divisional &amp; regional caseload'!$B$43)</f>
        <v>0</v>
      </c>
      <c r="N47" s="94">
        <f>SUMIFS('caseload data'!P:P,'caseload data'!$D:$D,"TPO",'caseload data'!$C:$C,'divisional &amp; regional caseload'!$B$43)</f>
        <v>0</v>
      </c>
      <c r="O47" s="94">
        <f>SUMIFS('caseload data'!Q:Q,'caseload data'!$D:$D,"TPO",'caseload data'!$C:$C,'divisional &amp; regional caseload'!$B$43)</f>
        <v>0</v>
      </c>
      <c r="P47" s="94">
        <f>SUMIFS('caseload data'!R:R,'caseload data'!$D:$D,"TPO",'caseload data'!$C:$C,'divisional &amp; regional caseload'!$B$43)</f>
        <v>0</v>
      </c>
      <c r="Q47" s="94">
        <f>SUMIFS('caseload data'!S:S,'caseload data'!$D:$D,"TPO",'caseload data'!$C:$C,'divisional &amp; regional caseload'!$B$43)</f>
        <v>0</v>
      </c>
      <c r="R47" s="94">
        <f>SUMIFS('caseload data'!T:T,'caseload data'!$D:$D,"TPO",'caseload data'!$C:$C,'divisional &amp; regional caseload'!$B$43)</f>
        <v>0</v>
      </c>
      <c r="S47" s="91"/>
      <c r="T47" s="97" t="s">
        <v>1008</v>
      </c>
      <c r="U47" s="94">
        <f>SUMIFS('caseload data'!E:E,'caseload data'!$D:$D,"TPO",'caseload data'!$C:$C,'divisional &amp; regional caseload'!$T$43)</f>
        <v>0</v>
      </c>
      <c r="V47" s="94">
        <f>SUMIFS('caseload data'!F:F,'caseload data'!$D:$D,"TPO",'caseload data'!$C:$C,'divisional &amp; regional caseload'!$T$43)</f>
        <v>0</v>
      </c>
      <c r="W47" s="94">
        <f>SUMIFS('caseload data'!G:G,'caseload data'!$D:$D,"TPO",'caseload data'!$C:$C,'divisional &amp; regional caseload'!$T$43)</f>
        <v>0</v>
      </c>
      <c r="X47" s="94">
        <f>SUMIFS('caseload data'!H:H,'caseload data'!$D:$D,"TPO",'caseload data'!$C:$C,'divisional &amp; regional caseload'!$T$43)</f>
        <v>0</v>
      </c>
      <c r="Y47" s="94">
        <f>SUMIFS('caseload data'!I:I,'caseload data'!$D:$D,"TPO",'caseload data'!$C:$C,'divisional &amp; regional caseload'!$T$43)</f>
        <v>0</v>
      </c>
      <c r="Z47" s="94">
        <f>SUMIFS('caseload data'!J:J,'caseload data'!$D:$D,"TPO",'caseload data'!$C:$C,'divisional &amp; regional caseload'!$T$43)</f>
        <v>0</v>
      </c>
      <c r="AA47" s="94">
        <f>SUMIFS('caseload data'!K:K,'caseload data'!$D:$D,"TPO",'caseload data'!$C:$C,'divisional &amp; regional caseload'!$T$43)</f>
        <v>0</v>
      </c>
      <c r="AB47" s="94">
        <f>SUMIFS('caseload data'!L:L,'caseload data'!$D:$D,"TPO",'caseload data'!$C:$C,'divisional &amp; regional caseload'!$T$43)</f>
        <v>0</v>
      </c>
      <c r="AC47" s="94">
        <f>SUMIFS('caseload data'!M:M,'caseload data'!$D:$D,"TPO",'caseload data'!$C:$C,'divisional &amp; regional caseload'!$T$43)</f>
        <v>0</v>
      </c>
      <c r="AD47" s="94">
        <f>SUMIFS('caseload data'!N:N,'caseload data'!$D:$D,"TPO",'caseload data'!$C:$C,'divisional &amp; regional caseload'!$T$43)</f>
        <v>0</v>
      </c>
      <c r="AE47" s="94">
        <f>SUMIFS('caseload data'!O:O,'caseload data'!$D:$D,"TPO",'caseload data'!$C:$C,'divisional &amp; regional caseload'!$T$43)</f>
        <v>0</v>
      </c>
      <c r="AF47" s="94">
        <f>SUMIFS('caseload data'!P:P,'caseload data'!$D:$D,"TPO",'caseload data'!$C:$C,'divisional &amp; regional caseload'!$T$43)</f>
        <v>0</v>
      </c>
      <c r="AG47" s="94">
        <f>SUMIFS('caseload data'!Q:Q,'caseload data'!$D:$D,"TPO",'caseload data'!$C:$C,'divisional &amp; regional caseload'!$T$43)</f>
        <v>0</v>
      </c>
      <c r="AH47" s="94">
        <f>SUMIFS('caseload data'!R:R,'caseload data'!$D:$D,"TPO",'caseload data'!$C:$C,'divisional &amp; regional caseload'!$T$43)</f>
        <v>0</v>
      </c>
      <c r="AI47" s="94">
        <f>SUMIFS('caseload data'!S:S,'caseload data'!$D:$D,"TPO",'caseload data'!$C:$C,'divisional &amp; regional caseload'!$T$43)</f>
        <v>0</v>
      </c>
      <c r="AJ47" s="94">
        <f>SUMIFS('caseload data'!T:T,'caseload data'!$D:$D,"TPO",'caseload data'!$C:$C,'divisional &amp; regional caseload'!$T$43)</f>
        <v>0</v>
      </c>
    </row>
    <row r="48" spans="2:36" x14ac:dyDescent="0.15">
      <c r="B48" s="98" t="s">
        <v>1009</v>
      </c>
      <c r="C48" s="94">
        <f>SUMIFS('caseload data'!E:E,'caseload data'!$D:$D,"SPO",'caseload data'!$C:$C,'divisional &amp; regional caseload'!$B$43)</f>
        <v>0</v>
      </c>
      <c r="D48" s="94">
        <f>SUMIFS('caseload data'!F:F,'caseload data'!$D:$D,"SPO",'caseload data'!$C:$C,'divisional &amp; regional caseload'!$B$43)</f>
        <v>0</v>
      </c>
      <c r="E48" s="94">
        <f>SUMIFS('caseload data'!G:G,'caseload data'!$D:$D,"SPO",'caseload data'!$C:$C,'divisional &amp; regional caseload'!$B$43)</f>
        <v>0</v>
      </c>
      <c r="F48" s="94">
        <f>SUMIFS('caseload data'!H:H,'caseload data'!$D:$D,"SPO",'caseload data'!$C:$C,'divisional &amp; regional caseload'!$B$43)</f>
        <v>0</v>
      </c>
      <c r="G48" s="94">
        <f>SUMIFS('caseload data'!I:I,'caseload data'!$D:$D,"SPO",'caseload data'!$C:$C,'divisional &amp; regional caseload'!$B$43)</f>
        <v>0</v>
      </c>
      <c r="H48" s="94">
        <f>SUMIFS('caseload data'!J:J,'caseload data'!$D:$D,"SPO",'caseload data'!$C:$C,'divisional &amp; regional caseload'!$B$43)</f>
        <v>0</v>
      </c>
      <c r="I48" s="94">
        <f>SUMIFS('caseload data'!K:K,'caseload data'!$D:$D,"SPO",'caseload data'!$C:$C,'divisional &amp; regional caseload'!$B$43)</f>
        <v>0</v>
      </c>
      <c r="J48" s="94">
        <f>SUMIFS('caseload data'!L:L,'caseload data'!$D:$D,"SPO",'caseload data'!$C:$C,'divisional &amp; regional caseload'!$B$43)</f>
        <v>0</v>
      </c>
      <c r="K48" s="94">
        <f>SUMIFS('caseload data'!M:M,'caseload data'!$D:$D,"SPO",'caseload data'!$C:$C,'divisional &amp; regional caseload'!$B$43)</f>
        <v>0</v>
      </c>
      <c r="L48" s="94">
        <f>SUMIFS('caseload data'!N:N,'caseload data'!$D:$D,"SPO",'caseload data'!$C:$C,'divisional &amp; regional caseload'!$B$43)</f>
        <v>0</v>
      </c>
      <c r="M48" s="94">
        <f>SUMIFS('caseload data'!O:O,'caseload data'!$D:$D,"SPO",'caseload data'!$C:$C,'divisional &amp; regional caseload'!$B$43)</f>
        <v>0</v>
      </c>
      <c r="N48" s="94">
        <f>SUMIFS('caseload data'!P:P,'caseload data'!$D:$D,"SPO",'caseload data'!$C:$C,'divisional &amp; regional caseload'!$B$43)</f>
        <v>0</v>
      </c>
      <c r="O48" s="94">
        <f>SUMIFS('caseload data'!Q:Q,'caseload data'!$D:$D,"SPO",'caseload data'!$C:$C,'divisional &amp; regional caseload'!$B$43)</f>
        <v>0</v>
      </c>
      <c r="P48" s="94">
        <f>SUMIFS('caseload data'!R:R,'caseload data'!$D:$D,"SPO",'caseload data'!$C:$C,'divisional &amp; regional caseload'!$B$43)</f>
        <v>0</v>
      </c>
      <c r="Q48" s="94">
        <f>SUMIFS('caseload data'!S:S,'caseload data'!$D:$D,"SPO",'caseload data'!$C:$C,'divisional &amp; regional caseload'!$B$43)</f>
        <v>0</v>
      </c>
      <c r="R48" s="94">
        <f>SUMIFS('caseload data'!T:T,'caseload data'!$D:$D,"SPO",'caseload data'!$C:$C,'divisional &amp; regional caseload'!$B$43)</f>
        <v>0</v>
      </c>
      <c r="S48" s="91"/>
      <c r="T48" s="98" t="s">
        <v>1009</v>
      </c>
      <c r="U48" s="94">
        <f>SUMIFS('caseload data'!E:E,'caseload data'!$D:$D,"SPO",'caseload data'!$C:$C,'divisional &amp; regional caseload'!$T$43)</f>
        <v>0</v>
      </c>
      <c r="V48" s="94">
        <f>SUMIFS('caseload data'!F:F,'caseload data'!$D:$D,"SPO",'caseload data'!$C:$C,'divisional &amp; regional caseload'!$T$43)</f>
        <v>0</v>
      </c>
      <c r="W48" s="94">
        <f>SUMIFS('caseload data'!G:G,'caseload data'!$D:$D,"SPO",'caseload data'!$C:$C,'divisional &amp; regional caseload'!$T$43)</f>
        <v>0</v>
      </c>
      <c r="X48" s="94">
        <f>SUMIFS('caseload data'!H:H,'caseload data'!$D:$D,"SPO",'caseload data'!$C:$C,'divisional &amp; regional caseload'!$T$43)</f>
        <v>0</v>
      </c>
      <c r="Y48" s="94">
        <f>SUMIFS('caseload data'!I:I,'caseload data'!$D:$D,"SPO",'caseload data'!$C:$C,'divisional &amp; regional caseload'!$T$43)</f>
        <v>0</v>
      </c>
      <c r="Z48" s="94">
        <f>SUMIFS('caseload data'!J:J,'caseload data'!$D:$D,"SPO",'caseload data'!$C:$C,'divisional &amp; regional caseload'!$T$43)</f>
        <v>0</v>
      </c>
      <c r="AA48" s="94">
        <f>SUMIFS('caseload data'!K:K,'caseload data'!$D:$D,"SPO",'caseload data'!$C:$C,'divisional &amp; regional caseload'!$T$43)</f>
        <v>0</v>
      </c>
      <c r="AB48" s="94">
        <f>SUMIFS('caseload data'!L:L,'caseload data'!$D:$D,"SPO",'caseload data'!$C:$C,'divisional &amp; regional caseload'!$T$43)</f>
        <v>0</v>
      </c>
      <c r="AC48" s="94">
        <f>SUMIFS('caseload data'!M:M,'caseload data'!$D:$D,"SPO",'caseload data'!$C:$C,'divisional &amp; regional caseload'!$T$43)</f>
        <v>0</v>
      </c>
      <c r="AD48" s="94">
        <f>SUMIFS('caseload data'!N:N,'caseload data'!$D:$D,"SPO",'caseload data'!$C:$C,'divisional &amp; regional caseload'!$T$43)</f>
        <v>0</v>
      </c>
      <c r="AE48" s="94">
        <f>SUMIFS('caseload data'!O:O,'caseload data'!$D:$D,"SPO",'caseload data'!$C:$C,'divisional &amp; regional caseload'!$T$43)</f>
        <v>0</v>
      </c>
      <c r="AF48" s="94">
        <f>SUMIFS('caseload data'!P:P,'caseload data'!$D:$D,"SPO",'caseload data'!$C:$C,'divisional &amp; regional caseload'!$T$43)</f>
        <v>0</v>
      </c>
      <c r="AG48" s="94">
        <f>SUMIFS('caseload data'!Q:Q,'caseload data'!$D:$D,"SPO",'caseload data'!$C:$C,'divisional &amp; regional caseload'!$T$43)</f>
        <v>0</v>
      </c>
      <c r="AH48" s="94">
        <f>SUMIFS('caseload data'!R:R,'caseload data'!$D:$D,"SPO",'caseload data'!$C:$C,'divisional &amp; regional caseload'!$T$43)</f>
        <v>0</v>
      </c>
      <c r="AI48" s="94">
        <f>SUMIFS('caseload data'!S:S,'caseload data'!$D:$D,"SPO",'caseload data'!$C:$C,'divisional &amp; regional caseload'!$T$43)</f>
        <v>0</v>
      </c>
      <c r="AJ48" s="94">
        <f>SUMIFS('caseload data'!T:T,'caseload data'!$D:$D,"SPO",'caseload data'!$C:$C,'divisional &amp; regional caseload'!$T$43)</f>
        <v>0</v>
      </c>
    </row>
    <row r="49" spans="2:36" x14ac:dyDescent="0.15">
      <c r="B49" s="91"/>
      <c r="C49" s="91"/>
      <c r="D49" s="91"/>
      <c r="E49" s="91"/>
      <c r="F49" s="91"/>
      <c r="G49" s="91"/>
      <c r="H49" s="91"/>
      <c r="I49" s="91"/>
      <c r="J49" s="91"/>
      <c r="K49" s="91"/>
      <c r="L49" s="91"/>
      <c r="M49" s="91"/>
      <c r="N49" s="91"/>
      <c r="O49" s="91"/>
      <c r="P49" s="91"/>
      <c r="Q49" s="91"/>
      <c r="R49" s="91"/>
      <c r="S49" s="91"/>
      <c r="T49" s="91"/>
      <c r="U49" s="91"/>
      <c r="V49" s="91"/>
      <c r="W49" s="91"/>
      <c r="X49" s="91"/>
      <c r="Y49" s="91"/>
      <c r="Z49" s="91"/>
      <c r="AA49" s="91"/>
    </row>
    <row r="50" spans="2:36" ht="30" customHeight="1" x14ac:dyDescent="0.15">
      <c r="B50" s="289">
        <f>HLOOKUP($B$5,Region_Table,14,0)</f>
        <v>0</v>
      </c>
      <c r="C50" s="515" t="s">
        <v>1097</v>
      </c>
      <c r="D50" s="516"/>
      <c r="E50" s="516"/>
      <c r="F50" s="516"/>
      <c r="G50" s="516"/>
      <c r="H50" s="516"/>
      <c r="I50" s="516"/>
      <c r="J50" s="516"/>
      <c r="K50" s="516"/>
      <c r="L50" s="516"/>
      <c r="M50" s="520"/>
      <c r="N50" s="520"/>
      <c r="O50" s="521"/>
      <c r="P50" s="510">
        <f>SUMIF('caseload data'!$C:$C,'divisional &amp; regional caseload'!B50,'caseload data'!V:V)</f>
        <v>0</v>
      </c>
      <c r="Q50" s="511"/>
      <c r="R50" s="512"/>
      <c r="S50" s="91"/>
      <c r="T50" s="289">
        <f>HLOOKUP($B$5,Region_Table,15,0)</f>
        <v>0</v>
      </c>
      <c r="U50" s="515" t="s">
        <v>1097</v>
      </c>
      <c r="V50" s="516"/>
      <c r="W50" s="516"/>
      <c r="X50" s="516"/>
      <c r="Y50" s="516"/>
      <c r="Z50" s="516"/>
      <c r="AA50" s="516"/>
      <c r="AB50" s="516"/>
      <c r="AC50" s="516"/>
      <c r="AD50" s="516"/>
      <c r="AE50" s="516"/>
      <c r="AF50" s="516"/>
      <c r="AG50" s="517"/>
      <c r="AH50" s="510">
        <f>SUMIF('caseload data'!$C:$C,'divisional &amp; regional caseload'!T50,'caseload data'!V:V)</f>
        <v>0</v>
      </c>
      <c r="AI50" s="511"/>
      <c r="AJ50" s="512"/>
    </row>
    <row r="51" spans="2:36" x14ac:dyDescent="0.15">
      <c r="B51" s="95" t="s">
        <v>1005</v>
      </c>
      <c r="C51" s="38" t="s">
        <v>869</v>
      </c>
      <c r="D51" s="38" t="s">
        <v>870</v>
      </c>
      <c r="E51" s="38" t="s">
        <v>871</v>
      </c>
      <c r="F51" s="38" t="s">
        <v>872</v>
      </c>
      <c r="G51" s="38" t="s">
        <v>873</v>
      </c>
      <c r="H51" s="38" t="s">
        <v>874</v>
      </c>
      <c r="I51" s="38" t="s">
        <v>875</v>
      </c>
      <c r="J51" s="38" t="s">
        <v>876</v>
      </c>
      <c r="K51" s="38" t="s">
        <v>877</v>
      </c>
      <c r="L51" s="38" t="s">
        <v>878</v>
      </c>
      <c r="M51" s="38" t="s">
        <v>879</v>
      </c>
      <c r="N51" s="38" t="s">
        <v>880</v>
      </c>
      <c r="O51" s="38" t="s">
        <v>881</v>
      </c>
      <c r="P51" s="38" t="s">
        <v>882</v>
      </c>
      <c r="Q51" s="38" t="s">
        <v>883</v>
      </c>
      <c r="R51" s="38" t="s">
        <v>884</v>
      </c>
      <c r="S51" s="91"/>
      <c r="T51" s="95" t="s">
        <v>1005</v>
      </c>
      <c r="U51" s="38" t="s">
        <v>869</v>
      </c>
      <c r="V51" s="38" t="s">
        <v>870</v>
      </c>
      <c r="W51" s="38" t="s">
        <v>871</v>
      </c>
      <c r="X51" s="38" t="s">
        <v>872</v>
      </c>
      <c r="Y51" s="38" t="s">
        <v>873</v>
      </c>
      <c r="Z51" s="38" t="s">
        <v>874</v>
      </c>
      <c r="AA51" s="38" t="s">
        <v>875</v>
      </c>
      <c r="AB51" s="38" t="s">
        <v>876</v>
      </c>
      <c r="AC51" s="38" t="s">
        <v>877</v>
      </c>
      <c r="AD51" s="38" t="s">
        <v>878</v>
      </c>
      <c r="AE51" s="38" t="s">
        <v>879</v>
      </c>
      <c r="AF51" s="38" t="s">
        <v>880</v>
      </c>
      <c r="AG51" s="38" t="s">
        <v>881</v>
      </c>
      <c r="AH51" s="38" t="s">
        <v>882</v>
      </c>
      <c r="AI51" s="38" t="s">
        <v>883</v>
      </c>
      <c r="AJ51" s="38" t="s">
        <v>884</v>
      </c>
    </row>
    <row r="52" spans="2:36" x14ac:dyDescent="0.15">
      <c r="B52" s="96" t="s">
        <v>1002</v>
      </c>
      <c r="C52" s="94">
        <f>SUMIFS('caseload data'!E:E,'caseload data'!$D:$D,"PO",'caseload data'!$C:$C,'divisional &amp; regional caseload'!$B$50)</f>
        <v>0</v>
      </c>
      <c r="D52" s="94">
        <f>SUMIFS('caseload data'!F:F,'caseload data'!$D:$D,"PO",'caseload data'!$C:$C,'divisional &amp; regional caseload'!$B$50)</f>
        <v>0</v>
      </c>
      <c r="E52" s="94">
        <f>SUMIFS('caseload data'!G:G,'caseload data'!$D:$D,"PO",'caseload data'!$C:$C,'divisional &amp; regional caseload'!$B$50)</f>
        <v>0</v>
      </c>
      <c r="F52" s="94">
        <f>SUMIFS('caseload data'!H:H,'caseload data'!$D:$D,"PO",'caseload data'!$C:$C,'divisional &amp; regional caseload'!$B$50)</f>
        <v>0</v>
      </c>
      <c r="G52" s="94">
        <f>SUMIFS('caseload data'!I:I,'caseload data'!$D:$D,"PO",'caseload data'!$C:$C,'divisional &amp; regional caseload'!$B$50)</f>
        <v>0</v>
      </c>
      <c r="H52" s="94">
        <f>SUMIFS('caseload data'!J:J,'caseload data'!$D:$D,"PO",'caseload data'!$C:$C,'divisional &amp; regional caseload'!$B$50)</f>
        <v>0</v>
      </c>
      <c r="I52" s="94">
        <f>SUMIFS('caseload data'!K:K,'caseload data'!$D:$D,"PO",'caseload data'!$C:$C,'divisional &amp; regional caseload'!$B$50)</f>
        <v>0</v>
      </c>
      <c r="J52" s="94">
        <f>SUMIFS('caseload data'!L:L,'caseload data'!$D:$D,"PO",'caseload data'!$C:$C,'divisional &amp; regional caseload'!$B$50)</f>
        <v>0</v>
      </c>
      <c r="K52" s="94">
        <f>SUMIFS('caseload data'!M:M,'caseload data'!$D:$D,"PO",'caseload data'!$C:$C,'divisional &amp; regional caseload'!$B$50)</f>
        <v>0</v>
      </c>
      <c r="L52" s="94">
        <f>SUMIFS('caseload data'!N:N,'caseload data'!$D:$D,"PO",'caseload data'!$C:$C,'divisional &amp; regional caseload'!$B$50)</f>
        <v>0</v>
      </c>
      <c r="M52" s="94">
        <f>SUMIFS('caseload data'!O:O,'caseload data'!$D:$D,"PO",'caseload data'!$C:$C,'divisional &amp; regional caseload'!$B$50)</f>
        <v>0</v>
      </c>
      <c r="N52" s="94">
        <f>SUMIFS('caseload data'!P:P,'caseload data'!$D:$D,"PO",'caseload data'!$C:$C,'divisional &amp; regional caseload'!$B$50)</f>
        <v>0</v>
      </c>
      <c r="O52" s="94">
        <f>SUMIFS('caseload data'!Q:Q,'caseload data'!$D:$D,"PO",'caseload data'!$C:$C,'divisional &amp; regional caseload'!$B$50)</f>
        <v>0</v>
      </c>
      <c r="P52" s="94">
        <f>SUMIFS('caseload data'!R:R,'caseload data'!$D:$D,"PO",'caseload data'!$C:$C,'divisional &amp; regional caseload'!$B$50)</f>
        <v>0</v>
      </c>
      <c r="Q52" s="94">
        <f>SUMIFS('caseload data'!S:S,'caseload data'!$D:$D,"PO",'caseload data'!$C:$C,'divisional &amp; regional caseload'!$B$50)</f>
        <v>0</v>
      </c>
      <c r="R52" s="94">
        <f>SUMIFS('caseload data'!T:T,'caseload data'!$D:$D,"PO",'caseload data'!$C:$C,'divisional &amp; regional caseload'!$B$50)</f>
        <v>0</v>
      </c>
      <c r="S52" s="91"/>
      <c r="T52" s="96" t="s">
        <v>1002</v>
      </c>
      <c r="U52" s="94">
        <f>SUMIFS('caseload data'!E:E,'caseload data'!$D:$D,"PO",'caseload data'!$C:$C,'divisional &amp; regional caseload'!$T$50)</f>
        <v>0</v>
      </c>
      <c r="V52" s="94">
        <f>SUMIFS('caseload data'!F:F,'caseload data'!$D:$D,"PO",'caseload data'!$C:$C,'divisional &amp; regional caseload'!$T$50)</f>
        <v>0</v>
      </c>
      <c r="W52" s="94">
        <f>SUMIFS('caseload data'!G:G,'caseload data'!$D:$D,"PO",'caseload data'!$C:$C,'divisional &amp; regional caseload'!$T$50)</f>
        <v>0</v>
      </c>
      <c r="X52" s="94">
        <f>SUMIFS('caseload data'!H:H,'caseload data'!$D:$D,"PO",'caseload data'!$C:$C,'divisional &amp; regional caseload'!$T$50)</f>
        <v>0</v>
      </c>
      <c r="Y52" s="94">
        <f>SUMIFS('caseload data'!I:I,'caseload data'!$D:$D,"PO",'caseload data'!$C:$C,'divisional &amp; regional caseload'!$T$50)</f>
        <v>0</v>
      </c>
      <c r="Z52" s="94">
        <f>SUMIFS('caseload data'!J:J,'caseload data'!$D:$D,"PO",'caseload data'!$C:$C,'divisional &amp; regional caseload'!$T$50)</f>
        <v>0</v>
      </c>
      <c r="AA52" s="94">
        <f>SUMIFS('caseload data'!K:K,'caseload data'!$D:$D,"PO",'caseload data'!$C:$C,'divisional &amp; regional caseload'!$T$50)</f>
        <v>0</v>
      </c>
      <c r="AB52" s="94">
        <f>SUMIFS('caseload data'!L:L,'caseload data'!$D:$D,"PO",'caseload data'!$C:$C,'divisional &amp; regional caseload'!$T$50)</f>
        <v>0</v>
      </c>
      <c r="AC52" s="94">
        <f>SUMIFS('caseload data'!M:M,'caseload data'!$D:$D,"PO",'caseload data'!$C:$C,'divisional &amp; regional caseload'!$T$50)</f>
        <v>0</v>
      </c>
      <c r="AD52" s="94">
        <f>SUMIFS('caseload data'!N:N,'caseload data'!$D:$D,"PO",'caseload data'!$C:$C,'divisional &amp; regional caseload'!$T$50)</f>
        <v>0</v>
      </c>
      <c r="AE52" s="94">
        <f>SUMIFS('caseload data'!O:O,'caseload data'!$D:$D,"PO",'caseload data'!$C:$C,'divisional &amp; regional caseload'!$T$50)</f>
        <v>0</v>
      </c>
      <c r="AF52" s="94">
        <f>SUMIFS('caseload data'!P:P,'caseload data'!$D:$D,"PO",'caseload data'!$C:$C,'divisional &amp; regional caseload'!$T$50)</f>
        <v>0</v>
      </c>
      <c r="AG52" s="94">
        <f>SUMIFS('caseload data'!Q:Q,'caseload data'!$D:$D,"PO",'caseload data'!$C:$C,'divisional &amp; regional caseload'!$T$50)</f>
        <v>0</v>
      </c>
      <c r="AH52" s="94">
        <f>SUMIFS('caseload data'!R:R,'caseload data'!$D:$D,"PO",'caseload data'!$C:$C,'divisional &amp; regional caseload'!$T$50)</f>
        <v>0</v>
      </c>
      <c r="AI52" s="94">
        <f>SUMIFS('caseload data'!S:S,'caseload data'!$D:$D,"PO",'caseload data'!$C:$C,'divisional &amp; regional caseload'!$T$50)</f>
        <v>0</v>
      </c>
      <c r="AJ52" s="94">
        <f>SUMIFS('caseload data'!T:T,'caseload data'!$D:$D,"PO",'caseload data'!$C:$C,'divisional &amp; regional caseload'!$T$50)</f>
        <v>0</v>
      </c>
    </row>
    <row r="53" spans="2:36" x14ac:dyDescent="0.15">
      <c r="B53" s="97" t="s">
        <v>1007</v>
      </c>
      <c r="C53" s="94">
        <f>SUMIFS('caseload data'!E:E,'caseload data'!$D:$D,"PSO",'caseload data'!$C:$C,'divisional &amp; regional caseload'!$B$50)</f>
        <v>0</v>
      </c>
      <c r="D53" s="94">
        <f>SUMIFS('caseload data'!F:F,'caseload data'!$D:$D,"PSO",'caseload data'!$C:$C,'divisional &amp; regional caseload'!$B$50)</f>
        <v>0</v>
      </c>
      <c r="E53" s="94">
        <f>SUMIFS('caseload data'!G:G,'caseload data'!$D:$D,"PSO",'caseload data'!$C:$C,'divisional &amp; regional caseload'!$B$50)</f>
        <v>0</v>
      </c>
      <c r="F53" s="94">
        <f>SUMIFS('caseload data'!H:H,'caseload data'!$D:$D,"PSO",'caseload data'!$C:$C,'divisional &amp; regional caseload'!$B$50)</f>
        <v>0</v>
      </c>
      <c r="G53" s="94">
        <f>SUMIFS('caseload data'!I:I,'caseload data'!$D:$D,"PSO",'caseload data'!$C:$C,'divisional &amp; regional caseload'!$B$50)</f>
        <v>0</v>
      </c>
      <c r="H53" s="94">
        <f>SUMIFS('caseload data'!J:J,'caseload data'!$D:$D,"PSO",'caseload data'!$C:$C,'divisional &amp; regional caseload'!$B$50)</f>
        <v>0</v>
      </c>
      <c r="I53" s="94">
        <f>SUMIFS('caseload data'!K:K,'caseload data'!$D:$D,"PSO",'caseload data'!$C:$C,'divisional &amp; regional caseload'!$B$50)</f>
        <v>0</v>
      </c>
      <c r="J53" s="94">
        <f>SUMIFS('caseload data'!L:L,'caseload data'!$D:$D,"PSO",'caseload data'!$C:$C,'divisional &amp; regional caseload'!$B$50)</f>
        <v>0</v>
      </c>
      <c r="K53" s="94">
        <f>SUMIFS('caseload data'!M:M,'caseload data'!$D:$D,"PSO",'caseload data'!$C:$C,'divisional &amp; regional caseload'!$B$50)</f>
        <v>0</v>
      </c>
      <c r="L53" s="94">
        <f>SUMIFS('caseload data'!N:N,'caseload data'!$D:$D,"PSO",'caseload data'!$C:$C,'divisional &amp; regional caseload'!$B$50)</f>
        <v>0</v>
      </c>
      <c r="M53" s="94">
        <f>SUMIFS('caseload data'!O:O,'caseload data'!$D:$D,"PSO",'caseload data'!$C:$C,'divisional &amp; regional caseload'!$B$50)</f>
        <v>0</v>
      </c>
      <c r="N53" s="94">
        <f>SUMIFS('caseload data'!P:P,'caseload data'!$D:$D,"PSO",'caseload data'!$C:$C,'divisional &amp; regional caseload'!$B$50)</f>
        <v>0</v>
      </c>
      <c r="O53" s="94">
        <f>SUMIFS('caseload data'!Q:Q,'caseload data'!$D:$D,"PSO",'caseload data'!$C:$C,'divisional &amp; regional caseload'!$B$50)</f>
        <v>0</v>
      </c>
      <c r="P53" s="94">
        <f>SUMIFS('caseload data'!R:R,'caseload data'!$D:$D,"PSO",'caseload data'!$C:$C,'divisional &amp; regional caseload'!$B$50)</f>
        <v>0</v>
      </c>
      <c r="Q53" s="94">
        <f>SUMIFS('caseload data'!S:S,'caseload data'!$D:$D,"PSO",'caseload data'!$C:$C,'divisional &amp; regional caseload'!$B$50)</f>
        <v>0</v>
      </c>
      <c r="R53" s="94">
        <f>SUMIFS('caseload data'!T:T,'caseload data'!$D:$D,"PSO",'caseload data'!$C:$C,'divisional &amp; regional caseload'!$B$50)</f>
        <v>0</v>
      </c>
      <c r="S53" s="91"/>
      <c r="T53" s="97" t="s">
        <v>1007</v>
      </c>
      <c r="U53" s="94">
        <f>SUMIFS('caseload data'!E:E,'caseload data'!$D:$D,"PSO",'caseload data'!$C:$C,'divisional &amp; regional caseload'!$T$50)</f>
        <v>0</v>
      </c>
      <c r="V53" s="94">
        <f>SUMIFS('caseload data'!F:F,'caseload data'!$D:$D,"PSO",'caseload data'!$C:$C,'divisional &amp; regional caseload'!$T$50)</f>
        <v>0</v>
      </c>
      <c r="W53" s="94">
        <f>SUMIFS('caseload data'!G:G,'caseload data'!$D:$D,"PSO",'caseload data'!$C:$C,'divisional &amp; regional caseload'!$T$50)</f>
        <v>0</v>
      </c>
      <c r="X53" s="94">
        <f>SUMIFS('caseload data'!H:H,'caseload data'!$D:$D,"PSO",'caseload data'!$C:$C,'divisional &amp; regional caseload'!$T$50)</f>
        <v>0</v>
      </c>
      <c r="Y53" s="94">
        <f>SUMIFS('caseload data'!I:I,'caseload data'!$D:$D,"PSO",'caseload data'!$C:$C,'divisional &amp; regional caseload'!$T$50)</f>
        <v>0</v>
      </c>
      <c r="Z53" s="94">
        <f>SUMIFS('caseload data'!J:J,'caseload data'!$D:$D,"PSO",'caseload data'!$C:$C,'divisional &amp; regional caseload'!$T$50)</f>
        <v>0</v>
      </c>
      <c r="AA53" s="94">
        <f>SUMIFS('caseload data'!K:K,'caseload data'!$D:$D,"PSO",'caseload data'!$C:$C,'divisional &amp; regional caseload'!$T$50)</f>
        <v>0</v>
      </c>
      <c r="AB53" s="94">
        <f>SUMIFS('caseload data'!L:L,'caseload data'!$D:$D,"PSO",'caseload data'!$C:$C,'divisional &amp; regional caseload'!$T$50)</f>
        <v>0</v>
      </c>
      <c r="AC53" s="94">
        <f>SUMIFS('caseload data'!M:M,'caseload data'!$D:$D,"PSO",'caseload data'!$C:$C,'divisional &amp; regional caseload'!$T$50)</f>
        <v>0</v>
      </c>
      <c r="AD53" s="94">
        <f>SUMIFS('caseload data'!N:N,'caseload data'!$D:$D,"PSO",'caseload data'!$C:$C,'divisional &amp; regional caseload'!$T$50)</f>
        <v>0</v>
      </c>
      <c r="AE53" s="94">
        <f>SUMIFS('caseload data'!O:O,'caseload data'!$D:$D,"PSO",'caseload data'!$C:$C,'divisional &amp; regional caseload'!$T$50)</f>
        <v>0</v>
      </c>
      <c r="AF53" s="94">
        <f>SUMIFS('caseload data'!P:P,'caseload data'!$D:$D,"PSO",'caseload data'!$C:$C,'divisional &amp; regional caseload'!$T$50)</f>
        <v>0</v>
      </c>
      <c r="AG53" s="94">
        <f>SUMIFS('caseload data'!Q:Q,'caseload data'!$D:$D,"PSO",'caseload data'!$C:$C,'divisional &amp; regional caseload'!$T$50)</f>
        <v>0</v>
      </c>
      <c r="AH53" s="94">
        <f>SUMIFS('caseload data'!R:R,'caseload data'!$D:$D,"PSO",'caseload data'!$C:$C,'divisional &amp; regional caseload'!$T$50)</f>
        <v>0</v>
      </c>
      <c r="AI53" s="94">
        <f>SUMIFS('caseload data'!S:S,'caseload data'!$D:$D,"PSO",'caseload data'!$C:$C,'divisional &amp; regional caseload'!$T$50)</f>
        <v>0</v>
      </c>
      <c r="AJ53" s="94">
        <f>SUMIFS('caseload data'!T:T,'caseload data'!$D:$D,"PSO",'caseload data'!$C:$C,'divisional &amp; regional caseload'!$T$50)</f>
        <v>0</v>
      </c>
    </row>
    <row r="54" spans="2:36" x14ac:dyDescent="0.15">
      <c r="B54" s="97" t="s">
        <v>1008</v>
      </c>
      <c r="C54" s="94">
        <f>SUMIFS('caseload data'!E:E,'caseload data'!$D:$D,"TPO",'caseload data'!$C:$C,'divisional &amp; regional caseload'!$B$50)</f>
        <v>0</v>
      </c>
      <c r="D54" s="94">
        <f>SUMIFS('caseload data'!F:F,'caseload data'!$D:$D,"TPO",'caseload data'!$C:$C,'divisional &amp; regional caseload'!$B$50)</f>
        <v>0</v>
      </c>
      <c r="E54" s="94">
        <f>SUMIFS('caseload data'!G:G,'caseload data'!$D:$D,"TPO",'caseload data'!$C:$C,'divisional &amp; regional caseload'!$B$50)</f>
        <v>0</v>
      </c>
      <c r="F54" s="94">
        <f>SUMIFS('caseload data'!H:H,'caseload data'!$D:$D,"TPO",'caseload data'!$C:$C,'divisional &amp; regional caseload'!$B$50)</f>
        <v>0</v>
      </c>
      <c r="G54" s="94">
        <f>SUMIFS('caseload data'!I:I,'caseload data'!$D:$D,"TPO",'caseload data'!$C:$C,'divisional &amp; regional caseload'!$B$50)</f>
        <v>0</v>
      </c>
      <c r="H54" s="94">
        <f>SUMIFS('caseload data'!J:J,'caseload data'!$D:$D,"TPO",'caseload data'!$C:$C,'divisional &amp; regional caseload'!$B$50)</f>
        <v>0</v>
      </c>
      <c r="I54" s="94">
        <f>SUMIFS('caseload data'!K:K,'caseload data'!$D:$D,"TPO",'caseload data'!$C:$C,'divisional &amp; regional caseload'!$B$50)</f>
        <v>0</v>
      </c>
      <c r="J54" s="94">
        <f>SUMIFS('caseload data'!L:L,'caseload data'!$D:$D,"TPO",'caseload data'!$C:$C,'divisional &amp; regional caseload'!$B$50)</f>
        <v>0</v>
      </c>
      <c r="K54" s="94">
        <f>SUMIFS('caseload data'!M:M,'caseload data'!$D:$D,"TPO",'caseload data'!$C:$C,'divisional &amp; regional caseload'!$B$50)</f>
        <v>0</v>
      </c>
      <c r="L54" s="94">
        <f>SUMIFS('caseload data'!N:N,'caseload data'!$D:$D,"TPO",'caseload data'!$C:$C,'divisional &amp; regional caseload'!$B$50)</f>
        <v>0</v>
      </c>
      <c r="M54" s="94">
        <f>SUMIFS('caseload data'!O:O,'caseload data'!$D:$D,"TPO",'caseload data'!$C:$C,'divisional &amp; regional caseload'!$B$50)</f>
        <v>0</v>
      </c>
      <c r="N54" s="94">
        <f>SUMIFS('caseload data'!P:P,'caseload data'!$D:$D,"TPO",'caseload data'!$C:$C,'divisional &amp; regional caseload'!$B$50)</f>
        <v>0</v>
      </c>
      <c r="O54" s="94">
        <f>SUMIFS('caseload data'!Q:Q,'caseload data'!$D:$D,"TPO",'caseload data'!$C:$C,'divisional &amp; regional caseload'!$B$50)</f>
        <v>0</v>
      </c>
      <c r="P54" s="94">
        <f>SUMIFS('caseload data'!R:R,'caseload data'!$D:$D,"TPO",'caseload data'!$C:$C,'divisional &amp; regional caseload'!$B$50)</f>
        <v>0</v>
      </c>
      <c r="Q54" s="94">
        <f>SUMIFS('caseload data'!S:S,'caseload data'!$D:$D,"TPO",'caseload data'!$C:$C,'divisional &amp; regional caseload'!$B$50)</f>
        <v>0</v>
      </c>
      <c r="R54" s="94">
        <f>SUMIFS('caseload data'!T:T,'caseload data'!$D:$D,"TPO",'caseload data'!$C:$C,'divisional &amp; regional caseload'!$B$50)</f>
        <v>0</v>
      </c>
      <c r="S54" s="91"/>
      <c r="T54" s="97" t="s">
        <v>1008</v>
      </c>
      <c r="U54" s="94">
        <f>SUMIFS('caseload data'!E:E,'caseload data'!$D:$D,"TPO",'caseload data'!$C:$C,'divisional &amp; regional caseload'!$T$50)</f>
        <v>0</v>
      </c>
      <c r="V54" s="94">
        <f>SUMIFS('caseload data'!F:F,'caseload data'!$D:$D,"TPO",'caseload data'!$C:$C,'divisional &amp; regional caseload'!$T$50)</f>
        <v>0</v>
      </c>
      <c r="W54" s="94">
        <f>SUMIFS('caseload data'!G:G,'caseload data'!$D:$D,"TPO",'caseload data'!$C:$C,'divisional &amp; regional caseload'!$T$50)</f>
        <v>0</v>
      </c>
      <c r="X54" s="94">
        <f>SUMIFS('caseload data'!H:H,'caseload data'!$D:$D,"TPO",'caseload data'!$C:$C,'divisional &amp; regional caseload'!$T$50)</f>
        <v>0</v>
      </c>
      <c r="Y54" s="94">
        <f>SUMIFS('caseload data'!I:I,'caseload data'!$D:$D,"TPO",'caseload data'!$C:$C,'divisional &amp; regional caseload'!$T$50)</f>
        <v>0</v>
      </c>
      <c r="Z54" s="94">
        <f>SUMIFS('caseload data'!J:J,'caseload data'!$D:$D,"TPO",'caseload data'!$C:$C,'divisional &amp; regional caseload'!$T$50)</f>
        <v>0</v>
      </c>
      <c r="AA54" s="94">
        <f>SUMIFS('caseload data'!K:K,'caseload data'!$D:$D,"TPO",'caseload data'!$C:$C,'divisional &amp; regional caseload'!$T$50)</f>
        <v>0</v>
      </c>
      <c r="AB54" s="94">
        <f>SUMIFS('caseload data'!L:L,'caseload data'!$D:$D,"TPO",'caseload data'!$C:$C,'divisional &amp; regional caseload'!$T$50)</f>
        <v>0</v>
      </c>
      <c r="AC54" s="94">
        <f>SUMIFS('caseload data'!M:M,'caseload data'!$D:$D,"TPO",'caseload data'!$C:$C,'divisional &amp; regional caseload'!$T$50)</f>
        <v>0</v>
      </c>
      <c r="AD54" s="94">
        <f>SUMIFS('caseload data'!N:N,'caseload data'!$D:$D,"TPO",'caseload data'!$C:$C,'divisional &amp; regional caseload'!$T$50)</f>
        <v>0</v>
      </c>
      <c r="AE54" s="94">
        <f>SUMIFS('caseload data'!O:O,'caseload data'!$D:$D,"TPO",'caseload data'!$C:$C,'divisional &amp; regional caseload'!$T$50)</f>
        <v>0</v>
      </c>
      <c r="AF54" s="94">
        <f>SUMIFS('caseload data'!P:P,'caseload data'!$D:$D,"TPO",'caseload data'!$C:$C,'divisional &amp; regional caseload'!$T$50)</f>
        <v>0</v>
      </c>
      <c r="AG54" s="94">
        <f>SUMIFS('caseload data'!Q:Q,'caseload data'!$D:$D,"TPO",'caseload data'!$C:$C,'divisional &amp; regional caseload'!$T$50)</f>
        <v>0</v>
      </c>
      <c r="AH54" s="94">
        <f>SUMIFS('caseload data'!R:R,'caseload data'!$D:$D,"TPO",'caseload data'!$C:$C,'divisional &amp; regional caseload'!$T$50)</f>
        <v>0</v>
      </c>
      <c r="AI54" s="94">
        <f>SUMIFS('caseload data'!S:S,'caseload data'!$D:$D,"TPO",'caseload data'!$C:$C,'divisional &amp; regional caseload'!$T$50)</f>
        <v>0</v>
      </c>
      <c r="AJ54" s="94">
        <f>SUMIFS('caseload data'!T:T,'caseload data'!$D:$D,"TPO",'caseload data'!$C:$C,'divisional &amp; regional caseload'!$T$50)</f>
        <v>0</v>
      </c>
    </row>
    <row r="55" spans="2:36" x14ac:dyDescent="0.15">
      <c r="B55" s="98" t="s">
        <v>1009</v>
      </c>
      <c r="C55" s="94">
        <f>SUMIFS('caseload data'!E:E,'caseload data'!$D:$D,"SPO",'caseload data'!$C:$C,'divisional &amp; regional caseload'!$B$50)</f>
        <v>0</v>
      </c>
      <c r="D55" s="94">
        <f>SUMIFS('caseload data'!F:F,'caseload data'!$D:$D,"SPO",'caseload data'!$C:$C,'divisional &amp; regional caseload'!$B$50)</f>
        <v>0</v>
      </c>
      <c r="E55" s="94">
        <f>SUMIFS('caseload data'!G:G,'caseload data'!$D:$D,"SPO",'caseload data'!$C:$C,'divisional &amp; regional caseload'!$B$50)</f>
        <v>0</v>
      </c>
      <c r="F55" s="94">
        <f>SUMIFS('caseload data'!H:H,'caseload data'!$D:$D,"SPO",'caseload data'!$C:$C,'divisional &amp; regional caseload'!$B$50)</f>
        <v>0</v>
      </c>
      <c r="G55" s="94">
        <f>SUMIFS('caseload data'!I:I,'caseload data'!$D:$D,"SPO",'caseload data'!$C:$C,'divisional &amp; regional caseload'!$B$50)</f>
        <v>0</v>
      </c>
      <c r="H55" s="94">
        <f>SUMIFS('caseload data'!J:J,'caseload data'!$D:$D,"SPO",'caseload data'!$C:$C,'divisional &amp; regional caseload'!$B$50)</f>
        <v>0</v>
      </c>
      <c r="I55" s="94">
        <f>SUMIFS('caseload data'!K:K,'caseload data'!$D:$D,"SPO",'caseload data'!$C:$C,'divisional &amp; regional caseload'!$B$50)</f>
        <v>0</v>
      </c>
      <c r="J55" s="94">
        <f>SUMIFS('caseload data'!L:L,'caseload data'!$D:$D,"SPO",'caseload data'!$C:$C,'divisional &amp; regional caseload'!$B$50)</f>
        <v>0</v>
      </c>
      <c r="K55" s="94">
        <f>SUMIFS('caseload data'!M:M,'caseload data'!$D:$D,"SPO",'caseload data'!$C:$C,'divisional &amp; regional caseload'!$B$50)</f>
        <v>0</v>
      </c>
      <c r="L55" s="94">
        <f>SUMIFS('caseload data'!N:N,'caseload data'!$D:$D,"SPO",'caseload data'!$C:$C,'divisional &amp; regional caseload'!$B$50)</f>
        <v>0</v>
      </c>
      <c r="M55" s="94">
        <f>SUMIFS('caseload data'!O:O,'caseload data'!$D:$D,"SPO",'caseload data'!$C:$C,'divisional &amp; regional caseload'!$B$50)</f>
        <v>0</v>
      </c>
      <c r="N55" s="94">
        <f>SUMIFS('caseload data'!P:P,'caseload data'!$D:$D,"SPO",'caseload data'!$C:$C,'divisional &amp; regional caseload'!$B$50)</f>
        <v>0</v>
      </c>
      <c r="O55" s="94">
        <f>SUMIFS('caseload data'!Q:Q,'caseload data'!$D:$D,"SPO",'caseload data'!$C:$C,'divisional &amp; regional caseload'!$B$50)</f>
        <v>0</v>
      </c>
      <c r="P55" s="94">
        <f>SUMIFS('caseload data'!R:R,'caseload data'!$D:$D,"SPO",'caseload data'!$C:$C,'divisional &amp; regional caseload'!$B$50)</f>
        <v>0</v>
      </c>
      <c r="Q55" s="94">
        <f>SUMIFS('caseload data'!S:S,'caseload data'!$D:$D,"SPO",'caseload data'!$C:$C,'divisional &amp; regional caseload'!$B$50)</f>
        <v>0</v>
      </c>
      <c r="R55" s="94">
        <f>SUMIFS('caseload data'!T:T,'caseload data'!$D:$D,"SPO",'caseload data'!$C:$C,'divisional &amp; regional caseload'!$B$50)</f>
        <v>0</v>
      </c>
      <c r="S55" s="91"/>
      <c r="T55" s="98" t="s">
        <v>1009</v>
      </c>
      <c r="U55" s="94">
        <f>SUMIFS('caseload data'!E:E,'caseload data'!$D:$D,"SPO",'caseload data'!$C:$C,'divisional &amp; regional caseload'!$T$50)</f>
        <v>0</v>
      </c>
      <c r="V55" s="94">
        <f>SUMIFS('caseload data'!F:F,'caseload data'!$D:$D,"SPO",'caseload data'!$C:$C,'divisional &amp; regional caseload'!$T$50)</f>
        <v>0</v>
      </c>
      <c r="W55" s="94">
        <f>SUMIFS('caseload data'!G:G,'caseload data'!$D:$D,"SPO",'caseload data'!$C:$C,'divisional &amp; regional caseload'!$T$50)</f>
        <v>0</v>
      </c>
      <c r="X55" s="94">
        <f>SUMIFS('caseload data'!H:H,'caseload data'!$D:$D,"SPO",'caseload data'!$C:$C,'divisional &amp; regional caseload'!$T$50)</f>
        <v>0</v>
      </c>
      <c r="Y55" s="94">
        <f>SUMIFS('caseload data'!I:I,'caseload data'!$D:$D,"SPO",'caseload data'!$C:$C,'divisional &amp; regional caseload'!$T$50)</f>
        <v>0</v>
      </c>
      <c r="Z55" s="94">
        <f>SUMIFS('caseload data'!J:J,'caseload data'!$D:$D,"SPO",'caseload data'!$C:$C,'divisional &amp; regional caseload'!$T$50)</f>
        <v>0</v>
      </c>
      <c r="AA55" s="94">
        <f>SUMIFS('caseload data'!K:K,'caseload data'!$D:$D,"SPO",'caseload data'!$C:$C,'divisional &amp; regional caseload'!$T$50)</f>
        <v>0</v>
      </c>
      <c r="AB55" s="94">
        <f>SUMIFS('caseload data'!L:L,'caseload data'!$D:$D,"SPO",'caseload data'!$C:$C,'divisional &amp; regional caseload'!$T$50)</f>
        <v>0</v>
      </c>
      <c r="AC55" s="94">
        <f>SUMIFS('caseload data'!M:M,'caseload data'!$D:$D,"SPO",'caseload data'!$C:$C,'divisional &amp; regional caseload'!$T$50)</f>
        <v>0</v>
      </c>
      <c r="AD55" s="94">
        <f>SUMIFS('caseload data'!N:N,'caseload data'!$D:$D,"SPO",'caseload data'!$C:$C,'divisional &amp; regional caseload'!$T$50)</f>
        <v>0</v>
      </c>
      <c r="AE55" s="94">
        <f>SUMIFS('caseload data'!O:O,'caseload data'!$D:$D,"SPO",'caseload data'!$C:$C,'divisional &amp; regional caseload'!$T$50)</f>
        <v>0</v>
      </c>
      <c r="AF55" s="94">
        <f>SUMIFS('caseload data'!P:P,'caseload data'!$D:$D,"SPO",'caseload data'!$C:$C,'divisional &amp; regional caseload'!$T$50)</f>
        <v>0</v>
      </c>
      <c r="AG55" s="94">
        <f>SUMIFS('caseload data'!Q:Q,'caseload data'!$D:$D,"SPO",'caseload data'!$C:$C,'divisional &amp; regional caseload'!$T$50)</f>
        <v>0</v>
      </c>
      <c r="AH55" s="94">
        <f>SUMIFS('caseload data'!R:R,'caseload data'!$D:$D,"SPO",'caseload data'!$C:$C,'divisional &amp; regional caseload'!$T$50)</f>
        <v>0</v>
      </c>
      <c r="AI55" s="94">
        <f>SUMIFS('caseload data'!S:S,'caseload data'!$D:$D,"SPO",'caseload data'!$C:$C,'divisional &amp; regional caseload'!$T$50)</f>
        <v>0</v>
      </c>
      <c r="AJ55" s="94">
        <f>SUMIFS('caseload data'!T:T,'caseload data'!$D:$D,"SPO",'caseload data'!$C:$C,'divisional &amp; regional caseload'!$T$50)</f>
        <v>0</v>
      </c>
    </row>
    <row r="56" spans="2:36" x14ac:dyDescent="0.15">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row>
    <row r="57" spans="2:36" ht="28.5" customHeight="1" x14ac:dyDescent="0.15">
      <c r="B57" s="289">
        <f>HLOOKUP($B$5,Region_Table,16,0)</f>
        <v>0</v>
      </c>
      <c r="C57" s="515" t="s">
        <v>1097</v>
      </c>
      <c r="D57" s="516"/>
      <c r="E57" s="516"/>
      <c r="F57" s="516"/>
      <c r="G57" s="516"/>
      <c r="H57" s="516"/>
      <c r="I57" s="516"/>
      <c r="J57" s="516"/>
      <c r="K57" s="516"/>
      <c r="L57" s="516"/>
      <c r="M57" s="520"/>
      <c r="N57" s="520"/>
      <c r="O57" s="521"/>
      <c r="P57" s="510">
        <f>SUMIF('caseload data'!$C:$C,'divisional &amp; regional caseload'!B57,'caseload data'!V:V)</f>
        <v>0</v>
      </c>
      <c r="Q57" s="511"/>
      <c r="R57" s="512"/>
      <c r="S57" s="91"/>
      <c r="T57" s="289">
        <f>HLOOKUP($B$5,Region_Table,17,0)</f>
        <v>0</v>
      </c>
      <c r="U57" s="515" t="s">
        <v>1097</v>
      </c>
      <c r="V57" s="516"/>
      <c r="W57" s="516"/>
      <c r="X57" s="516"/>
      <c r="Y57" s="516"/>
      <c r="Z57" s="516"/>
      <c r="AA57" s="516"/>
      <c r="AB57" s="516"/>
      <c r="AC57" s="516"/>
      <c r="AD57" s="516"/>
      <c r="AE57" s="516"/>
      <c r="AF57" s="516"/>
      <c r="AG57" s="517"/>
      <c r="AH57" s="510">
        <f>SUMIF('caseload data'!$C:$C,'divisional &amp; regional caseload'!T57,'caseload data'!V:V)</f>
        <v>0</v>
      </c>
      <c r="AI57" s="511"/>
      <c r="AJ57" s="512"/>
    </row>
    <row r="58" spans="2:36" x14ac:dyDescent="0.15">
      <c r="B58" s="95" t="s">
        <v>1005</v>
      </c>
      <c r="C58" s="38" t="s">
        <v>869</v>
      </c>
      <c r="D58" s="38" t="s">
        <v>870</v>
      </c>
      <c r="E58" s="38" t="s">
        <v>871</v>
      </c>
      <c r="F58" s="38" t="s">
        <v>872</v>
      </c>
      <c r="G58" s="38" t="s">
        <v>873</v>
      </c>
      <c r="H58" s="38" t="s">
        <v>874</v>
      </c>
      <c r="I58" s="38" t="s">
        <v>875</v>
      </c>
      <c r="J58" s="38" t="s">
        <v>876</v>
      </c>
      <c r="K58" s="38" t="s">
        <v>877</v>
      </c>
      <c r="L58" s="38" t="s">
        <v>878</v>
      </c>
      <c r="M58" s="38" t="s">
        <v>879</v>
      </c>
      <c r="N58" s="38" t="s">
        <v>880</v>
      </c>
      <c r="O58" s="38" t="s">
        <v>881</v>
      </c>
      <c r="P58" s="38" t="s">
        <v>882</v>
      </c>
      <c r="Q58" s="38" t="s">
        <v>883</v>
      </c>
      <c r="R58" s="38" t="s">
        <v>884</v>
      </c>
      <c r="S58" s="91"/>
      <c r="T58" s="95" t="s">
        <v>1005</v>
      </c>
      <c r="U58" s="38" t="s">
        <v>869</v>
      </c>
      <c r="V58" s="38" t="s">
        <v>870</v>
      </c>
      <c r="W58" s="38" t="s">
        <v>871</v>
      </c>
      <c r="X58" s="38" t="s">
        <v>872</v>
      </c>
      <c r="Y58" s="38" t="s">
        <v>873</v>
      </c>
      <c r="Z58" s="38" t="s">
        <v>874</v>
      </c>
      <c r="AA58" s="38" t="s">
        <v>875</v>
      </c>
      <c r="AB58" s="38" t="s">
        <v>876</v>
      </c>
      <c r="AC58" s="38" t="s">
        <v>877</v>
      </c>
      <c r="AD58" s="38" t="s">
        <v>878</v>
      </c>
      <c r="AE58" s="38" t="s">
        <v>879</v>
      </c>
      <c r="AF58" s="38" t="s">
        <v>880</v>
      </c>
      <c r="AG58" s="38" t="s">
        <v>881</v>
      </c>
      <c r="AH58" s="38" t="s">
        <v>882</v>
      </c>
      <c r="AI58" s="38" t="s">
        <v>883</v>
      </c>
      <c r="AJ58" s="38" t="s">
        <v>884</v>
      </c>
    </row>
    <row r="59" spans="2:36" x14ac:dyDescent="0.15">
      <c r="B59" s="96" t="s">
        <v>1002</v>
      </c>
      <c r="C59" s="94">
        <f>SUMIFS('caseload data'!E:E,'caseload data'!$D:$D,"PO",'caseload data'!$C:$C,'divisional &amp; regional caseload'!$B$57)</f>
        <v>0</v>
      </c>
      <c r="D59" s="94">
        <f>SUMIFS('caseload data'!F:F,'caseload data'!$D:$D,"PO",'caseload data'!$C:$C,'divisional &amp; regional caseload'!$B$57)</f>
        <v>0</v>
      </c>
      <c r="E59" s="94">
        <f>SUMIFS('caseload data'!G:G,'caseload data'!$D:$D,"PO",'caseload data'!$C:$C,'divisional &amp; regional caseload'!$B$57)</f>
        <v>0</v>
      </c>
      <c r="F59" s="94">
        <f>SUMIFS('caseload data'!H:H,'caseload data'!$D:$D,"PO",'caseload data'!$C:$C,'divisional &amp; regional caseload'!$B$57)</f>
        <v>0</v>
      </c>
      <c r="G59" s="94">
        <f>SUMIFS('caseload data'!I:I,'caseload data'!$D:$D,"PO",'caseload data'!$C:$C,'divisional &amp; regional caseload'!$B$57)</f>
        <v>0</v>
      </c>
      <c r="H59" s="94">
        <f>SUMIFS('caseload data'!J:J,'caseload data'!$D:$D,"PO",'caseload data'!$C:$C,'divisional &amp; regional caseload'!$B$57)</f>
        <v>0</v>
      </c>
      <c r="I59" s="94">
        <f>SUMIFS('caseload data'!K:K,'caseload data'!$D:$D,"PO",'caseload data'!$C:$C,'divisional &amp; regional caseload'!$B$57)</f>
        <v>0</v>
      </c>
      <c r="J59" s="94">
        <f>SUMIFS('caseload data'!L:L,'caseload data'!$D:$D,"PO",'caseload data'!$C:$C,'divisional &amp; regional caseload'!$B$57)</f>
        <v>0</v>
      </c>
      <c r="K59" s="94">
        <f>SUMIFS('caseload data'!M:M,'caseload data'!$D:$D,"PO",'caseload data'!$C:$C,'divisional &amp; regional caseload'!$B$57)</f>
        <v>0</v>
      </c>
      <c r="L59" s="94">
        <f>SUMIFS('caseload data'!N:N,'caseload data'!$D:$D,"PO",'caseload data'!$C:$C,'divisional &amp; regional caseload'!$B$57)</f>
        <v>0</v>
      </c>
      <c r="M59" s="94">
        <f>SUMIFS('caseload data'!O:O,'caseload data'!$D:$D,"PO",'caseload data'!$C:$C,'divisional &amp; regional caseload'!$B$57)</f>
        <v>0</v>
      </c>
      <c r="N59" s="94">
        <f>SUMIFS('caseload data'!P:P,'caseload data'!$D:$D,"PO",'caseload data'!$C:$C,'divisional &amp; regional caseload'!$B$57)</f>
        <v>0</v>
      </c>
      <c r="O59" s="94">
        <f>SUMIFS('caseload data'!Q:Q,'caseload data'!$D:$D,"PO",'caseload data'!$C:$C,'divisional &amp; regional caseload'!$B$57)</f>
        <v>0</v>
      </c>
      <c r="P59" s="94">
        <f>SUMIFS('caseload data'!R:R,'caseload data'!$D:$D,"PO",'caseload data'!$C:$C,'divisional &amp; regional caseload'!$B$57)</f>
        <v>0</v>
      </c>
      <c r="Q59" s="94">
        <f>SUMIFS('caseload data'!S:S,'caseload data'!$D:$D,"PO",'caseload data'!$C:$C,'divisional &amp; regional caseload'!$B$57)</f>
        <v>0</v>
      </c>
      <c r="R59" s="94">
        <f>SUMIFS('caseload data'!T:T,'caseload data'!$D:$D,"PO",'caseload data'!$C:$C,'divisional &amp; regional caseload'!$B$57)</f>
        <v>0</v>
      </c>
      <c r="S59" s="91"/>
      <c r="T59" s="96" t="s">
        <v>1002</v>
      </c>
      <c r="U59" s="94">
        <f>SUMIFS('caseload data'!E:E,'caseload data'!$D:$D,"PO",'caseload data'!$C:$C,'divisional &amp; regional caseload'!$T$57)</f>
        <v>0</v>
      </c>
      <c r="V59" s="94">
        <f>SUMIFS('caseload data'!F:F,'caseload data'!$D:$D,"PO",'caseload data'!$C:$C,'divisional &amp; regional caseload'!$T$57)</f>
        <v>0</v>
      </c>
      <c r="W59" s="94">
        <f>SUMIFS('caseload data'!G:G,'caseload data'!$D:$D,"PO",'caseload data'!$C:$C,'divisional &amp; regional caseload'!$T$57)</f>
        <v>0</v>
      </c>
      <c r="X59" s="94">
        <f>SUMIFS('caseload data'!H:H,'caseload data'!$D:$D,"PO",'caseload data'!$C:$C,'divisional &amp; regional caseload'!$T$57)</f>
        <v>0</v>
      </c>
      <c r="Y59" s="94">
        <f>SUMIFS('caseload data'!I:I,'caseload data'!$D:$D,"PO",'caseload data'!$C:$C,'divisional &amp; regional caseload'!$T$57)</f>
        <v>0</v>
      </c>
      <c r="Z59" s="94">
        <f>SUMIFS('caseload data'!J:J,'caseload data'!$D:$D,"PO",'caseload data'!$C:$C,'divisional &amp; regional caseload'!$T$57)</f>
        <v>0</v>
      </c>
      <c r="AA59" s="94">
        <f>SUMIFS('caseload data'!K:K,'caseload data'!$D:$D,"PO",'caseload data'!$C:$C,'divisional &amp; regional caseload'!$T$57)</f>
        <v>0</v>
      </c>
      <c r="AB59" s="94">
        <f>SUMIFS('caseload data'!L:L,'caseload data'!$D:$D,"PO",'caseload data'!$C:$C,'divisional &amp; regional caseload'!$T$57)</f>
        <v>0</v>
      </c>
      <c r="AC59" s="94">
        <f>SUMIFS('caseload data'!M:M,'caseload data'!$D:$D,"PO",'caseload data'!$C:$C,'divisional &amp; regional caseload'!$T$57)</f>
        <v>0</v>
      </c>
      <c r="AD59" s="94">
        <f>SUMIFS('caseload data'!N:N,'caseload data'!$D:$D,"PO",'caseload data'!$C:$C,'divisional &amp; regional caseload'!$T$57)</f>
        <v>0</v>
      </c>
      <c r="AE59" s="94">
        <f>SUMIFS('caseload data'!O:O,'caseload data'!$D:$D,"PO",'caseload data'!$C:$C,'divisional &amp; regional caseload'!$T$57)</f>
        <v>0</v>
      </c>
      <c r="AF59" s="94">
        <f>SUMIFS('caseload data'!P:P,'caseload data'!$D:$D,"PO",'caseload data'!$C:$C,'divisional &amp; regional caseload'!$T$57)</f>
        <v>0</v>
      </c>
      <c r="AG59" s="94">
        <f>SUMIFS('caseload data'!Q:Q,'caseload data'!$D:$D,"PO",'caseload data'!$C:$C,'divisional &amp; regional caseload'!$T$57)</f>
        <v>0</v>
      </c>
      <c r="AH59" s="94">
        <f>SUMIFS('caseload data'!R:R,'caseload data'!$D:$D,"PO",'caseload data'!$C:$C,'divisional &amp; regional caseload'!$T$57)</f>
        <v>0</v>
      </c>
      <c r="AI59" s="94">
        <f>SUMIFS('caseload data'!S:S,'caseload data'!$D:$D,"PO",'caseload data'!$C:$C,'divisional &amp; regional caseload'!$T$57)</f>
        <v>0</v>
      </c>
      <c r="AJ59" s="94">
        <f>SUMIFS('caseload data'!T:T,'caseload data'!$D:$D,"PO",'caseload data'!$C:$C,'divisional &amp; regional caseload'!$T$57)</f>
        <v>0</v>
      </c>
    </row>
    <row r="60" spans="2:36" x14ac:dyDescent="0.15">
      <c r="B60" s="97" t="s">
        <v>1007</v>
      </c>
      <c r="C60" s="94">
        <f>SUMIFS('caseload data'!E:E,'caseload data'!$D:$D,"PSO",'caseload data'!$C:$C,'divisional &amp; regional caseload'!$B$57)</f>
        <v>0</v>
      </c>
      <c r="D60" s="94">
        <f>SUMIFS('caseload data'!F:F,'caseload data'!$D:$D,"PSO",'caseload data'!$C:$C,'divisional &amp; regional caseload'!$B$57)</f>
        <v>0</v>
      </c>
      <c r="E60" s="94">
        <f>SUMIFS('caseload data'!G:G,'caseload data'!$D:$D,"PSO",'caseload data'!$C:$C,'divisional &amp; regional caseload'!$B$57)</f>
        <v>0</v>
      </c>
      <c r="F60" s="94">
        <f>SUMIFS('caseload data'!H:H,'caseload data'!$D:$D,"PSO",'caseload data'!$C:$C,'divisional &amp; regional caseload'!$B$57)</f>
        <v>0</v>
      </c>
      <c r="G60" s="94">
        <f>SUMIFS('caseload data'!I:I,'caseload data'!$D:$D,"PSO",'caseload data'!$C:$C,'divisional &amp; regional caseload'!$B$57)</f>
        <v>0</v>
      </c>
      <c r="H60" s="94">
        <f>SUMIFS('caseload data'!J:J,'caseload data'!$D:$D,"PSO",'caseload data'!$C:$C,'divisional &amp; regional caseload'!$B$57)</f>
        <v>0</v>
      </c>
      <c r="I60" s="94">
        <f>SUMIFS('caseload data'!K:K,'caseload data'!$D:$D,"PSO",'caseload data'!$C:$C,'divisional &amp; regional caseload'!$B$57)</f>
        <v>0</v>
      </c>
      <c r="J60" s="94">
        <f>SUMIFS('caseload data'!L:L,'caseload data'!$D:$D,"PSO",'caseload data'!$C:$C,'divisional &amp; regional caseload'!$B$57)</f>
        <v>0</v>
      </c>
      <c r="K60" s="94">
        <f>SUMIFS('caseload data'!M:M,'caseload data'!$D:$D,"PSO",'caseload data'!$C:$C,'divisional &amp; regional caseload'!$B$57)</f>
        <v>0</v>
      </c>
      <c r="L60" s="94">
        <f>SUMIFS('caseload data'!N:N,'caseload data'!$D:$D,"PSO",'caseload data'!$C:$C,'divisional &amp; regional caseload'!$B$57)</f>
        <v>0</v>
      </c>
      <c r="M60" s="94">
        <f>SUMIFS('caseload data'!O:O,'caseload data'!$D:$D,"PSO",'caseload data'!$C:$C,'divisional &amp; regional caseload'!$B$57)</f>
        <v>0</v>
      </c>
      <c r="N60" s="94">
        <f>SUMIFS('caseload data'!P:P,'caseload data'!$D:$D,"PSO",'caseload data'!$C:$C,'divisional &amp; regional caseload'!$B$57)</f>
        <v>0</v>
      </c>
      <c r="O60" s="94">
        <f>SUMIFS('caseload data'!Q:Q,'caseload data'!$D:$D,"PSO",'caseload data'!$C:$C,'divisional &amp; regional caseload'!$B$57)</f>
        <v>0</v>
      </c>
      <c r="P60" s="94">
        <f>SUMIFS('caseload data'!R:R,'caseload data'!$D:$D,"PSO",'caseload data'!$C:$C,'divisional &amp; regional caseload'!$B$57)</f>
        <v>0</v>
      </c>
      <c r="Q60" s="94">
        <f>SUMIFS('caseload data'!S:S,'caseload data'!$D:$D,"PSO",'caseload data'!$C:$C,'divisional &amp; regional caseload'!$B$57)</f>
        <v>0</v>
      </c>
      <c r="R60" s="94">
        <f>SUMIFS('caseload data'!T:T,'caseload data'!$D:$D,"PSO",'caseload data'!$C:$C,'divisional &amp; regional caseload'!$B$57)</f>
        <v>0</v>
      </c>
      <c r="S60" s="91"/>
      <c r="T60" s="97" t="s">
        <v>1007</v>
      </c>
      <c r="U60" s="94">
        <f>SUMIFS('caseload data'!E:E,'caseload data'!$D:$D,"PSO",'caseload data'!$C:$C,'divisional &amp; regional caseload'!$T$57)</f>
        <v>0</v>
      </c>
      <c r="V60" s="94">
        <f>SUMIFS('caseload data'!F:F,'caseload data'!$D:$D,"PSO",'caseload data'!$C:$C,'divisional &amp; regional caseload'!$T$57)</f>
        <v>0</v>
      </c>
      <c r="W60" s="94">
        <f>SUMIFS('caseload data'!G:G,'caseload data'!$D:$D,"PSO",'caseload data'!$C:$C,'divisional &amp; regional caseload'!$T$57)</f>
        <v>0</v>
      </c>
      <c r="X60" s="94">
        <f>SUMIFS('caseload data'!H:H,'caseload data'!$D:$D,"PSO",'caseload data'!$C:$C,'divisional &amp; regional caseload'!$T$57)</f>
        <v>0</v>
      </c>
      <c r="Y60" s="94">
        <f>SUMIFS('caseload data'!I:I,'caseload data'!$D:$D,"PSO",'caseload data'!$C:$C,'divisional &amp; regional caseload'!$T$57)</f>
        <v>0</v>
      </c>
      <c r="Z60" s="94">
        <f>SUMIFS('caseload data'!J:J,'caseload data'!$D:$D,"PSO",'caseload data'!$C:$C,'divisional &amp; regional caseload'!$T$57)</f>
        <v>0</v>
      </c>
      <c r="AA60" s="94">
        <f>SUMIFS('caseload data'!K:K,'caseload data'!$D:$D,"PSO",'caseload data'!$C:$C,'divisional &amp; regional caseload'!$T$57)</f>
        <v>0</v>
      </c>
      <c r="AB60" s="94">
        <f>SUMIFS('caseload data'!L:L,'caseload data'!$D:$D,"PSO",'caseload data'!$C:$C,'divisional &amp; regional caseload'!$T$57)</f>
        <v>0</v>
      </c>
      <c r="AC60" s="94">
        <f>SUMIFS('caseload data'!M:M,'caseload data'!$D:$D,"PSO",'caseload data'!$C:$C,'divisional &amp; regional caseload'!$T$57)</f>
        <v>0</v>
      </c>
      <c r="AD60" s="94">
        <f>SUMIFS('caseload data'!N:N,'caseload data'!$D:$D,"PSO",'caseload data'!$C:$C,'divisional &amp; regional caseload'!$T$57)</f>
        <v>0</v>
      </c>
      <c r="AE60" s="94">
        <f>SUMIFS('caseload data'!O:O,'caseload data'!$D:$D,"PSO",'caseload data'!$C:$C,'divisional &amp; regional caseload'!$T$57)</f>
        <v>0</v>
      </c>
      <c r="AF60" s="94">
        <f>SUMIFS('caseload data'!P:P,'caseload data'!$D:$D,"PSO",'caseload data'!$C:$C,'divisional &amp; regional caseload'!$T$57)</f>
        <v>0</v>
      </c>
      <c r="AG60" s="94">
        <f>SUMIFS('caseload data'!Q:Q,'caseload data'!$D:$D,"PSO",'caseload data'!$C:$C,'divisional &amp; regional caseload'!$T$57)</f>
        <v>0</v>
      </c>
      <c r="AH60" s="94">
        <f>SUMIFS('caseload data'!R:R,'caseload data'!$D:$D,"PSO",'caseload data'!$C:$C,'divisional &amp; regional caseload'!$T$57)</f>
        <v>0</v>
      </c>
      <c r="AI60" s="94">
        <f>SUMIFS('caseload data'!S:S,'caseload data'!$D:$D,"PSO",'caseload data'!$C:$C,'divisional &amp; regional caseload'!$T$57)</f>
        <v>0</v>
      </c>
      <c r="AJ60" s="94">
        <f>SUMIFS('caseload data'!T:T,'caseload data'!$D:$D,"PSO",'caseload data'!$C:$C,'divisional &amp; regional caseload'!$T$57)</f>
        <v>0</v>
      </c>
    </row>
    <row r="61" spans="2:36" x14ac:dyDescent="0.15">
      <c r="B61" s="97" t="s">
        <v>1008</v>
      </c>
      <c r="C61" s="94">
        <f>SUMIFS('caseload data'!E:E,'caseload data'!$D:$D,"TPO",'caseload data'!$C:$C,'divisional &amp; regional caseload'!$B$57)</f>
        <v>0</v>
      </c>
      <c r="D61" s="94">
        <f>SUMIFS('caseload data'!F:F,'caseload data'!$D:$D,"TPO",'caseload data'!$C:$C,'divisional &amp; regional caseload'!$B$57)</f>
        <v>0</v>
      </c>
      <c r="E61" s="94">
        <f>SUMIFS('caseload data'!G:G,'caseload data'!$D:$D,"TPO",'caseload data'!$C:$C,'divisional &amp; regional caseload'!$B$57)</f>
        <v>0</v>
      </c>
      <c r="F61" s="94">
        <f>SUMIFS('caseload data'!H:H,'caseload data'!$D:$D,"TPO",'caseload data'!$C:$C,'divisional &amp; regional caseload'!$B$57)</f>
        <v>0</v>
      </c>
      <c r="G61" s="94">
        <f>SUMIFS('caseload data'!I:I,'caseload data'!$D:$D,"TPO",'caseload data'!$C:$C,'divisional &amp; regional caseload'!$B$57)</f>
        <v>0</v>
      </c>
      <c r="H61" s="94">
        <f>SUMIFS('caseload data'!J:J,'caseload data'!$D:$D,"TPO",'caseload data'!$C:$C,'divisional &amp; regional caseload'!$B$57)</f>
        <v>0</v>
      </c>
      <c r="I61" s="94">
        <f>SUMIFS('caseload data'!K:K,'caseload data'!$D:$D,"TPO",'caseload data'!$C:$C,'divisional &amp; regional caseload'!$B$57)</f>
        <v>0</v>
      </c>
      <c r="J61" s="94">
        <f>SUMIFS('caseload data'!L:L,'caseload data'!$D:$D,"TPO",'caseload data'!$C:$C,'divisional &amp; regional caseload'!$B$57)</f>
        <v>0</v>
      </c>
      <c r="K61" s="94">
        <f>SUMIFS('caseload data'!M:M,'caseload data'!$D:$D,"TPO",'caseload data'!$C:$C,'divisional &amp; regional caseload'!$B$57)</f>
        <v>0</v>
      </c>
      <c r="L61" s="94">
        <f>SUMIFS('caseload data'!N:N,'caseload data'!$D:$D,"TPO",'caseload data'!$C:$C,'divisional &amp; regional caseload'!$B$57)</f>
        <v>0</v>
      </c>
      <c r="M61" s="94">
        <f>SUMIFS('caseload data'!O:O,'caseload data'!$D:$D,"TPO",'caseload data'!$C:$C,'divisional &amp; regional caseload'!$B$57)</f>
        <v>0</v>
      </c>
      <c r="N61" s="94">
        <f>SUMIFS('caseload data'!P:P,'caseload data'!$D:$D,"TPO",'caseload data'!$C:$C,'divisional &amp; regional caseload'!$B$57)</f>
        <v>0</v>
      </c>
      <c r="O61" s="94">
        <f>SUMIFS('caseload data'!Q:Q,'caseload data'!$D:$D,"TPO",'caseload data'!$C:$C,'divisional &amp; regional caseload'!$B$57)</f>
        <v>0</v>
      </c>
      <c r="P61" s="94">
        <f>SUMIFS('caseload data'!R:R,'caseload data'!$D:$D,"TPO",'caseload data'!$C:$C,'divisional &amp; regional caseload'!$B$57)</f>
        <v>0</v>
      </c>
      <c r="Q61" s="94">
        <f>SUMIFS('caseload data'!S:S,'caseload data'!$D:$D,"TPO",'caseload data'!$C:$C,'divisional &amp; regional caseload'!$B$57)</f>
        <v>0</v>
      </c>
      <c r="R61" s="94">
        <f>SUMIFS('caseload data'!T:T,'caseload data'!$D:$D,"TPO",'caseload data'!$C:$C,'divisional &amp; regional caseload'!$B$57)</f>
        <v>0</v>
      </c>
      <c r="S61" s="91"/>
      <c r="T61" s="97" t="s">
        <v>1008</v>
      </c>
      <c r="U61" s="94">
        <f>SUMIFS('caseload data'!E:E,'caseload data'!$D:$D,"TPO",'caseload data'!$C:$C,'divisional &amp; regional caseload'!$T$57)</f>
        <v>0</v>
      </c>
      <c r="V61" s="94">
        <f>SUMIFS('caseload data'!F:F,'caseload data'!$D:$D,"TPO",'caseload data'!$C:$C,'divisional &amp; regional caseload'!$T$57)</f>
        <v>0</v>
      </c>
      <c r="W61" s="94">
        <f>SUMIFS('caseload data'!G:G,'caseload data'!$D:$D,"TPO",'caseload data'!$C:$C,'divisional &amp; regional caseload'!$T$57)</f>
        <v>0</v>
      </c>
      <c r="X61" s="94">
        <f>SUMIFS('caseload data'!H:H,'caseload data'!$D:$D,"TPO",'caseload data'!$C:$C,'divisional &amp; regional caseload'!$T$57)</f>
        <v>0</v>
      </c>
      <c r="Y61" s="94">
        <f>SUMIFS('caseload data'!I:I,'caseload data'!$D:$D,"TPO",'caseload data'!$C:$C,'divisional &amp; regional caseload'!$T$57)</f>
        <v>0</v>
      </c>
      <c r="Z61" s="94">
        <f>SUMIFS('caseload data'!J:J,'caseload data'!$D:$D,"TPO",'caseload data'!$C:$C,'divisional &amp; regional caseload'!$T$57)</f>
        <v>0</v>
      </c>
      <c r="AA61" s="94">
        <f>SUMIFS('caseload data'!K:K,'caseload data'!$D:$D,"TPO",'caseload data'!$C:$C,'divisional &amp; regional caseload'!$T$57)</f>
        <v>0</v>
      </c>
      <c r="AB61" s="94">
        <f>SUMIFS('caseload data'!L:L,'caseload data'!$D:$D,"TPO",'caseload data'!$C:$C,'divisional &amp; regional caseload'!$T$57)</f>
        <v>0</v>
      </c>
      <c r="AC61" s="94">
        <f>SUMIFS('caseload data'!M:M,'caseload data'!$D:$D,"TPO",'caseload data'!$C:$C,'divisional &amp; regional caseload'!$T$57)</f>
        <v>0</v>
      </c>
      <c r="AD61" s="94">
        <f>SUMIFS('caseload data'!N:N,'caseload data'!$D:$D,"TPO",'caseload data'!$C:$C,'divisional &amp; regional caseload'!$T$57)</f>
        <v>0</v>
      </c>
      <c r="AE61" s="94">
        <f>SUMIFS('caseload data'!O:O,'caseload data'!$D:$D,"TPO",'caseload data'!$C:$C,'divisional &amp; regional caseload'!$T$57)</f>
        <v>0</v>
      </c>
      <c r="AF61" s="94">
        <f>SUMIFS('caseload data'!P:P,'caseload data'!$D:$D,"TPO",'caseload data'!$C:$C,'divisional &amp; regional caseload'!$T$57)</f>
        <v>0</v>
      </c>
      <c r="AG61" s="94">
        <f>SUMIFS('caseload data'!Q:Q,'caseload data'!$D:$D,"TPO",'caseload data'!$C:$C,'divisional &amp; regional caseload'!$T$57)</f>
        <v>0</v>
      </c>
      <c r="AH61" s="94">
        <f>SUMIFS('caseload data'!R:R,'caseload data'!$D:$D,"TPO",'caseload data'!$C:$C,'divisional &amp; regional caseload'!$T$57)</f>
        <v>0</v>
      </c>
      <c r="AI61" s="94">
        <f>SUMIFS('caseload data'!S:S,'caseload data'!$D:$D,"TPO",'caseload data'!$C:$C,'divisional &amp; regional caseload'!$T$57)</f>
        <v>0</v>
      </c>
      <c r="AJ61" s="94">
        <f>SUMIFS('caseload data'!T:T,'caseload data'!$D:$D,"TPO",'caseload data'!$C:$C,'divisional &amp; regional caseload'!$T$57)</f>
        <v>0</v>
      </c>
    </row>
    <row r="62" spans="2:36" x14ac:dyDescent="0.15">
      <c r="B62" s="98" t="s">
        <v>1009</v>
      </c>
      <c r="C62" s="94">
        <f>SUMIFS('caseload data'!E:E,'caseload data'!$D:$D,"SPO",'caseload data'!$C:$C,'divisional &amp; regional caseload'!$B$57)</f>
        <v>0</v>
      </c>
      <c r="D62" s="94">
        <f>SUMIFS('caseload data'!F:F,'caseload data'!$D:$D,"SPO",'caseload data'!$C:$C,'divisional &amp; regional caseload'!$B$57)</f>
        <v>0</v>
      </c>
      <c r="E62" s="94">
        <f>SUMIFS('caseload data'!G:G,'caseload data'!$D:$D,"SPO",'caseload data'!$C:$C,'divisional &amp; regional caseload'!$B$57)</f>
        <v>0</v>
      </c>
      <c r="F62" s="94">
        <f>SUMIFS('caseload data'!H:H,'caseload data'!$D:$D,"SPO",'caseload data'!$C:$C,'divisional &amp; regional caseload'!$B$57)</f>
        <v>0</v>
      </c>
      <c r="G62" s="94">
        <f>SUMIFS('caseload data'!I:I,'caseload data'!$D:$D,"SPO",'caseload data'!$C:$C,'divisional &amp; regional caseload'!$B$57)</f>
        <v>0</v>
      </c>
      <c r="H62" s="94">
        <f>SUMIFS('caseload data'!J:J,'caseload data'!$D:$D,"SPO",'caseload data'!$C:$C,'divisional &amp; regional caseload'!$B$57)</f>
        <v>0</v>
      </c>
      <c r="I62" s="94">
        <f>SUMIFS('caseload data'!K:K,'caseload data'!$D:$D,"SPO",'caseload data'!$C:$C,'divisional &amp; regional caseload'!$B$57)</f>
        <v>0</v>
      </c>
      <c r="J62" s="94">
        <f>SUMIFS('caseload data'!L:L,'caseload data'!$D:$D,"SPO",'caseload data'!$C:$C,'divisional &amp; regional caseload'!$B$57)</f>
        <v>0</v>
      </c>
      <c r="K62" s="94">
        <f>SUMIFS('caseload data'!M:M,'caseload data'!$D:$D,"SPO",'caseload data'!$C:$C,'divisional &amp; regional caseload'!$B$57)</f>
        <v>0</v>
      </c>
      <c r="L62" s="94">
        <f>SUMIFS('caseload data'!N:N,'caseload data'!$D:$D,"SPO",'caseload data'!$C:$C,'divisional &amp; regional caseload'!$B$57)</f>
        <v>0</v>
      </c>
      <c r="M62" s="94">
        <f>SUMIFS('caseload data'!O:O,'caseload data'!$D:$D,"SPO",'caseload data'!$C:$C,'divisional &amp; regional caseload'!$B$57)</f>
        <v>0</v>
      </c>
      <c r="N62" s="94">
        <f>SUMIFS('caseload data'!P:P,'caseload data'!$D:$D,"SPO",'caseload data'!$C:$C,'divisional &amp; regional caseload'!$B$57)</f>
        <v>0</v>
      </c>
      <c r="O62" s="94">
        <f>SUMIFS('caseload data'!Q:Q,'caseload data'!$D:$D,"SPO",'caseload data'!$C:$C,'divisional &amp; regional caseload'!$B$57)</f>
        <v>0</v>
      </c>
      <c r="P62" s="94">
        <f>SUMIFS('caseload data'!R:R,'caseload data'!$D:$D,"SPO",'caseload data'!$C:$C,'divisional &amp; regional caseload'!$B$57)</f>
        <v>0</v>
      </c>
      <c r="Q62" s="94">
        <f>SUMIFS('caseload data'!S:S,'caseload data'!$D:$D,"SPO",'caseload data'!$C:$C,'divisional &amp; regional caseload'!$B$57)</f>
        <v>0</v>
      </c>
      <c r="R62" s="94">
        <f>SUMIFS('caseload data'!T:T,'caseload data'!$D:$D,"SPO",'caseload data'!$C:$C,'divisional &amp; regional caseload'!$B$57)</f>
        <v>0</v>
      </c>
      <c r="S62" s="91"/>
      <c r="T62" s="98" t="s">
        <v>1009</v>
      </c>
      <c r="U62" s="94">
        <f>SUMIFS('caseload data'!E:E,'caseload data'!$D:$D,"SPO",'caseload data'!$C:$C,'divisional &amp; regional caseload'!$T$57)</f>
        <v>0</v>
      </c>
      <c r="V62" s="94">
        <f>SUMIFS('caseload data'!F:F,'caseload data'!$D:$D,"SPO",'caseload data'!$C:$C,'divisional &amp; regional caseload'!$T$57)</f>
        <v>0</v>
      </c>
      <c r="W62" s="94">
        <f>SUMIFS('caseload data'!G:G,'caseload data'!$D:$D,"SPO",'caseload data'!$C:$C,'divisional &amp; regional caseload'!$T$57)</f>
        <v>0</v>
      </c>
      <c r="X62" s="94">
        <f>SUMIFS('caseload data'!H:H,'caseload data'!$D:$D,"SPO",'caseload data'!$C:$C,'divisional &amp; regional caseload'!$T$57)</f>
        <v>0</v>
      </c>
      <c r="Y62" s="94">
        <f>SUMIFS('caseload data'!I:I,'caseload data'!$D:$D,"SPO",'caseload data'!$C:$C,'divisional &amp; regional caseload'!$T$57)</f>
        <v>0</v>
      </c>
      <c r="Z62" s="94">
        <f>SUMIFS('caseload data'!J:J,'caseload data'!$D:$D,"SPO",'caseload data'!$C:$C,'divisional &amp; regional caseload'!$T$57)</f>
        <v>0</v>
      </c>
      <c r="AA62" s="94">
        <f>SUMIFS('caseload data'!K:K,'caseload data'!$D:$D,"SPO",'caseload data'!$C:$C,'divisional &amp; regional caseload'!$T$57)</f>
        <v>0</v>
      </c>
      <c r="AB62" s="94">
        <f>SUMIFS('caseload data'!L:L,'caseload data'!$D:$D,"SPO",'caseload data'!$C:$C,'divisional &amp; regional caseload'!$T$57)</f>
        <v>0</v>
      </c>
      <c r="AC62" s="94">
        <f>SUMIFS('caseload data'!M:M,'caseload data'!$D:$D,"SPO",'caseload data'!$C:$C,'divisional &amp; regional caseload'!$T$57)</f>
        <v>0</v>
      </c>
      <c r="AD62" s="94">
        <f>SUMIFS('caseload data'!N:N,'caseload data'!$D:$D,"SPO",'caseload data'!$C:$C,'divisional &amp; regional caseload'!$T$57)</f>
        <v>0</v>
      </c>
      <c r="AE62" s="94">
        <f>SUMIFS('caseload data'!O:O,'caseload data'!$D:$D,"SPO",'caseload data'!$C:$C,'divisional &amp; regional caseload'!$T$57)</f>
        <v>0</v>
      </c>
      <c r="AF62" s="94">
        <f>SUMIFS('caseload data'!P:P,'caseload data'!$D:$D,"SPO",'caseload data'!$C:$C,'divisional &amp; regional caseload'!$T$57)</f>
        <v>0</v>
      </c>
      <c r="AG62" s="94">
        <f>SUMIFS('caseload data'!Q:Q,'caseload data'!$D:$D,"SPO",'caseload data'!$C:$C,'divisional &amp; regional caseload'!$T$57)</f>
        <v>0</v>
      </c>
      <c r="AH62" s="94">
        <f>SUMIFS('caseload data'!R:R,'caseload data'!$D:$D,"SPO",'caseload data'!$C:$C,'divisional &amp; regional caseload'!$T$57)</f>
        <v>0</v>
      </c>
      <c r="AI62" s="94">
        <f>SUMIFS('caseload data'!S:S,'caseload data'!$D:$D,"SPO",'caseload data'!$C:$C,'divisional &amp; regional caseload'!$T$57)</f>
        <v>0</v>
      </c>
      <c r="AJ62" s="94">
        <f>SUMIFS('caseload data'!T:T,'caseload data'!$D:$D,"SPO",'caseload data'!$C:$C,'divisional &amp; regional caseload'!$T$57)</f>
        <v>0</v>
      </c>
    </row>
    <row r="64" spans="2:36" ht="32.25" customHeight="1" x14ac:dyDescent="0.15">
      <c r="B64" s="289">
        <f>HLOOKUP($B$5,Region_Table,18,0)</f>
        <v>0</v>
      </c>
      <c r="C64" s="507" t="s">
        <v>1097</v>
      </c>
      <c r="D64" s="508"/>
      <c r="E64" s="508"/>
      <c r="F64" s="508"/>
      <c r="G64" s="508"/>
      <c r="H64" s="508"/>
      <c r="I64" s="508"/>
      <c r="J64" s="508"/>
      <c r="K64" s="508"/>
      <c r="L64" s="508"/>
      <c r="M64" s="518"/>
      <c r="N64" s="518"/>
      <c r="O64" s="519"/>
      <c r="P64" s="510">
        <f>SUMIF('caseload data'!$C:$C,'divisional &amp; regional caseload'!B64,'caseload data'!V:V)</f>
        <v>0</v>
      </c>
      <c r="Q64" s="511"/>
      <c r="R64" s="512"/>
      <c r="S64" s="91"/>
      <c r="T64" s="289">
        <f>HLOOKUP($B$5,Region_Table,19,0)</f>
        <v>0</v>
      </c>
      <c r="U64" s="507" t="s">
        <v>1097</v>
      </c>
      <c r="V64" s="508"/>
      <c r="W64" s="508"/>
      <c r="X64" s="508"/>
      <c r="Y64" s="508"/>
      <c r="Z64" s="508"/>
      <c r="AA64" s="508"/>
      <c r="AB64" s="508"/>
      <c r="AC64" s="508"/>
      <c r="AD64" s="508"/>
      <c r="AE64" s="508"/>
      <c r="AF64" s="508"/>
      <c r="AG64" s="509"/>
      <c r="AH64" s="510">
        <f>SUMIF('caseload data'!$C:$C,'divisional &amp; regional caseload'!T64,'caseload data'!V:V)</f>
        <v>0</v>
      </c>
      <c r="AI64" s="511"/>
      <c r="AJ64" s="512"/>
    </row>
    <row r="65" spans="2:36" x14ac:dyDescent="0.15">
      <c r="B65" s="95" t="s">
        <v>1005</v>
      </c>
      <c r="C65" s="38" t="s">
        <v>869</v>
      </c>
      <c r="D65" s="38" t="s">
        <v>870</v>
      </c>
      <c r="E65" s="38" t="s">
        <v>871</v>
      </c>
      <c r="F65" s="38" t="s">
        <v>872</v>
      </c>
      <c r="G65" s="38" t="s">
        <v>873</v>
      </c>
      <c r="H65" s="38" t="s">
        <v>874</v>
      </c>
      <c r="I65" s="38" t="s">
        <v>875</v>
      </c>
      <c r="J65" s="38" t="s">
        <v>876</v>
      </c>
      <c r="K65" s="38" t="s">
        <v>877</v>
      </c>
      <c r="L65" s="38" t="s">
        <v>878</v>
      </c>
      <c r="M65" s="38" t="s">
        <v>879</v>
      </c>
      <c r="N65" s="38" t="s">
        <v>880</v>
      </c>
      <c r="O65" s="38" t="s">
        <v>881</v>
      </c>
      <c r="P65" s="38" t="s">
        <v>882</v>
      </c>
      <c r="Q65" s="38" t="s">
        <v>883</v>
      </c>
      <c r="R65" s="38" t="s">
        <v>884</v>
      </c>
      <c r="S65" s="91"/>
      <c r="T65" s="95" t="s">
        <v>1005</v>
      </c>
      <c r="U65" s="38" t="s">
        <v>869</v>
      </c>
      <c r="V65" s="38" t="s">
        <v>870</v>
      </c>
      <c r="W65" s="38" t="s">
        <v>871</v>
      </c>
      <c r="X65" s="38" t="s">
        <v>872</v>
      </c>
      <c r="Y65" s="38" t="s">
        <v>873</v>
      </c>
      <c r="Z65" s="38" t="s">
        <v>874</v>
      </c>
      <c r="AA65" s="38" t="s">
        <v>875</v>
      </c>
      <c r="AB65" s="38" t="s">
        <v>876</v>
      </c>
      <c r="AC65" s="38" t="s">
        <v>877</v>
      </c>
      <c r="AD65" s="38" t="s">
        <v>878</v>
      </c>
      <c r="AE65" s="38" t="s">
        <v>879</v>
      </c>
      <c r="AF65" s="38" t="s">
        <v>880</v>
      </c>
      <c r="AG65" s="38" t="s">
        <v>881</v>
      </c>
      <c r="AH65" s="38" t="s">
        <v>882</v>
      </c>
      <c r="AI65" s="38" t="s">
        <v>883</v>
      </c>
      <c r="AJ65" s="38" t="s">
        <v>884</v>
      </c>
    </row>
    <row r="66" spans="2:36" x14ac:dyDescent="0.15">
      <c r="B66" s="96" t="s">
        <v>1002</v>
      </c>
      <c r="C66" s="94">
        <f>SUMIFS('caseload data'!E:E,'caseload data'!$D:$D,"PO",'caseload data'!$C:$C,'divisional &amp; regional caseload'!$B$64)</f>
        <v>0</v>
      </c>
      <c r="D66" s="94">
        <f>SUMIFS('caseload data'!F:F,'caseload data'!$D:$D,"PO",'caseload data'!$C:$C,'divisional &amp; regional caseload'!$B$64)</f>
        <v>0</v>
      </c>
      <c r="E66" s="94">
        <f>SUMIFS('caseload data'!G:G,'caseload data'!$D:$D,"PO",'caseload data'!$C:$C,'divisional &amp; regional caseload'!$B$64)</f>
        <v>0</v>
      </c>
      <c r="F66" s="94">
        <f>SUMIFS('caseload data'!H:H,'caseload data'!$D:$D,"PO",'caseload data'!$C:$C,'divisional &amp; regional caseload'!$B$64)</f>
        <v>0</v>
      </c>
      <c r="G66" s="94">
        <f>SUMIFS('caseload data'!I:I,'caseload data'!$D:$D,"PO",'caseload data'!$C:$C,'divisional &amp; regional caseload'!$B$64)</f>
        <v>0</v>
      </c>
      <c r="H66" s="94">
        <f>SUMIFS('caseload data'!J:J,'caseload data'!$D:$D,"PO",'caseload data'!$C:$C,'divisional &amp; regional caseload'!$B$64)</f>
        <v>0</v>
      </c>
      <c r="I66" s="94">
        <f>SUMIFS('caseload data'!K:K,'caseload data'!$D:$D,"PO",'caseload data'!$C:$C,'divisional &amp; regional caseload'!$B$64)</f>
        <v>0</v>
      </c>
      <c r="J66" s="94">
        <f>SUMIFS('caseload data'!L:L,'caseload data'!$D:$D,"PO",'caseload data'!$C:$C,'divisional &amp; regional caseload'!$B$64)</f>
        <v>0</v>
      </c>
      <c r="K66" s="94">
        <f>SUMIFS('caseload data'!M:M,'caseload data'!$D:$D,"PO",'caseload data'!$C:$C,'divisional &amp; regional caseload'!$B$64)</f>
        <v>0</v>
      </c>
      <c r="L66" s="94">
        <f>SUMIFS('caseload data'!N:N,'caseload data'!$D:$D,"PO",'caseload data'!$C:$C,'divisional &amp; regional caseload'!$B$64)</f>
        <v>0</v>
      </c>
      <c r="M66" s="94">
        <f>SUMIFS('caseload data'!O:O,'caseload data'!$D:$D,"PO",'caseload data'!$C:$C,'divisional &amp; regional caseload'!$B$64)</f>
        <v>0</v>
      </c>
      <c r="N66" s="94">
        <f>SUMIFS('caseload data'!P:P,'caseload data'!$D:$D,"PO",'caseload data'!$C:$C,'divisional &amp; regional caseload'!$B$64)</f>
        <v>0</v>
      </c>
      <c r="O66" s="94">
        <f>SUMIFS('caseload data'!Q:Q,'caseload data'!$D:$D,"PO",'caseload data'!$C:$C,'divisional &amp; regional caseload'!$B$64)</f>
        <v>0</v>
      </c>
      <c r="P66" s="94">
        <f>SUMIFS('caseload data'!R:R,'caseload data'!$D:$D,"PO",'caseload data'!$C:$C,'divisional &amp; regional caseload'!$B$64)</f>
        <v>0</v>
      </c>
      <c r="Q66" s="94">
        <f>SUMIFS('caseload data'!S:S,'caseload data'!$D:$D,"PO",'caseload data'!$C:$C,'divisional &amp; regional caseload'!$B$64)</f>
        <v>0</v>
      </c>
      <c r="R66" s="94">
        <f>SUMIFS('caseload data'!T:T,'caseload data'!$D:$D,"PO",'caseload data'!$C:$C,'divisional &amp; regional caseload'!$B$64)</f>
        <v>0</v>
      </c>
      <c r="S66" s="91"/>
      <c r="T66" s="96" t="s">
        <v>1002</v>
      </c>
      <c r="U66" s="94">
        <f>SUMIFS('caseload data'!E:E,'caseload data'!$D:$D,"PO",'caseload data'!$C:$C,'divisional &amp; regional caseload'!$T$64)</f>
        <v>0</v>
      </c>
      <c r="V66" s="94">
        <f>SUMIFS('caseload data'!F:F,'caseload data'!$D:$D,"PO",'caseload data'!$C:$C,'divisional &amp; regional caseload'!$T$64)</f>
        <v>0</v>
      </c>
      <c r="W66" s="94">
        <f>SUMIFS('caseload data'!G:G,'caseload data'!$D:$D,"PO",'caseload data'!$C:$C,'divisional &amp; regional caseload'!$T$64)</f>
        <v>0</v>
      </c>
      <c r="X66" s="94">
        <f>SUMIFS('caseload data'!H:H,'caseload data'!$D:$D,"PO",'caseload data'!$C:$C,'divisional &amp; regional caseload'!$T$64)</f>
        <v>0</v>
      </c>
      <c r="Y66" s="94">
        <f>SUMIFS('caseload data'!I:I,'caseload data'!$D:$D,"PO",'caseload data'!$C:$C,'divisional &amp; regional caseload'!$T$64)</f>
        <v>0</v>
      </c>
      <c r="Z66" s="94">
        <f>SUMIFS('caseload data'!J:J,'caseload data'!$D:$D,"PO",'caseload data'!$C:$C,'divisional &amp; regional caseload'!$T$64)</f>
        <v>0</v>
      </c>
      <c r="AA66" s="94">
        <f>SUMIFS('caseload data'!K:K,'caseload data'!$D:$D,"PO",'caseload data'!$C:$C,'divisional &amp; regional caseload'!$T$64)</f>
        <v>0</v>
      </c>
      <c r="AB66" s="94">
        <f>SUMIFS('caseload data'!L:L,'caseload data'!$D:$D,"PO",'caseload data'!$C:$C,'divisional &amp; regional caseload'!$T$64)</f>
        <v>0</v>
      </c>
      <c r="AC66" s="94">
        <f>SUMIFS('caseload data'!M:M,'caseload data'!$D:$D,"PO",'caseload data'!$C:$C,'divisional &amp; regional caseload'!$T$64)</f>
        <v>0</v>
      </c>
      <c r="AD66" s="94">
        <f>SUMIFS('caseload data'!N:N,'caseload data'!$D:$D,"PO",'caseload data'!$C:$C,'divisional &amp; regional caseload'!$T$64)</f>
        <v>0</v>
      </c>
      <c r="AE66" s="94">
        <f>SUMIFS('caseload data'!O:O,'caseload data'!$D:$D,"PO",'caseload data'!$C:$C,'divisional &amp; regional caseload'!$T$64)</f>
        <v>0</v>
      </c>
      <c r="AF66" s="94">
        <f>SUMIFS('caseload data'!P:P,'caseload data'!$D:$D,"PO",'caseload data'!$C:$C,'divisional &amp; regional caseload'!$T$64)</f>
        <v>0</v>
      </c>
      <c r="AG66" s="94">
        <f>SUMIFS('caseload data'!Q:Q,'caseload data'!$D:$D,"PO",'caseload data'!$C:$C,'divisional &amp; regional caseload'!$T$64)</f>
        <v>0</v>
      </c>
      <c r="AH66" s="94">
        <f>SUMIFS('caseload data'!R:R,'caseload data'!$D:$D,"PO",'caseload data'!$C:$C,'divisional &amp; regional caseload'!$T$64)</f>
        <v>0</v>
      </c>
      <c r="AI66" s="94">
        <f>SUMIFS('caseload data'!S:S,'caseload data'!$D:$D,"PO",'caseload data'!$C:$C,'divisional &amp; regional caseload'!$T$64)</f>
        <v>0</v>
      </c>
      <c r="AJ66" s="94">
        <f>SUMIFS('caseload data'!T:T,'caseload data'!$D:$D,"PO",'caseload data'!$C:$C,'divisional &amp; regional caseload'!$T$64)</f>
        <v>0</v>
      </c>
    </row>
    <row r="67" spans="2:36" x14ac:dyDescent="0.15">
      <c r="B67" s="97" t="s">
        <v>1007</v>
      </c>
      <c r="C67" s="94">
        <f>SUMIFS('caseload data'!E:E,'caseload data'!$D:$D,"PSO",'caseload data'!$C:$C,'divisional &amp; regional caseload'!$B$64)</f>
        <v>0</v>
      </c>
      <c r="D67" s="94">
        <f>SUMIFS('caseload data'!F:F,'caseload data'!$D:$D,"PSO",'caseload data'!$C:$C,'divisional &amp; regional caseload'!$B$64)</f>
        <v>0</v>
      </c>
      <c r="E67" s="94">
        <f>SUMIFS('caseload data'!G:G,'caseload data'!$D:$D,"PSO",'caseload data'!$C:$C,'divisional &amp; regional caseload'!$B$64)</f>
        <v>0</v>
      </c>
      <c r="F67" s="94">
        <f>SUMIFS('caseload data'!H:H,'caseload data'!$D:$D,"PSO",'caseload data'!$C:$C,'divisional &amp; regional caseload'!$B$64)</f>
        <v>0</v>
      </c>
      <c r="G67" s="94">
        <f>SUMIFS('caseload data'!I:I,'caseload data'!$D:$D,"PSO",'caseload data'!$C:$C,'divisional &amp; regional caseload'!$B$64)</f>
        <v>0</v>
      </c>
      <c r="H67" s="94">
        <f>SUMIFS('caseload data'!J:J,'caseload data'!$D:$D,"PSO",'caseload data'!$C:$C,'divisional &amp; regional caseload'!$B$64)</f>
        <v>0</v>
      </c>
      <c r="I67" s="94">
        <f>SUMIFS('caseload data'!K:K,'caseload data'!$D:$D,"PSO",'caseload data'!$C:$C,'divisional &amp; regional caseload'!$B$64)</f>
        <v>0</v>
      </c>
      <c r="J67" s="94">
        <f>SUMIFS('caseload data'!L:L,'caseload data'!$D:$D,"PSO",'caseload data'!$C:$C,'divisional &amp; regional caseload'!$B$64)</f>
        <v>0</v>
      </c>
      <c r="K67" s="94">
        <f>SUMIFS('caseload data'!M:M,'caseload data'!$D:$D,"PSO",'caseload data'!$C:$C,'divisional &amp; regional caseload'!$B$64)</f>
        <v>0</v>
      </c>
      <c r="L67" s="94">
        <f>SUMIFS('caseload data'!N:N,'caseload data'!$D:$D,"PSO",'caseload data'!$C:$C,'divisional &amp; regional caseload'!$B$64)</f>
        <v>0</v>
      </c>
      <c r="M67" s="94">
        <f>SUMIFS('caseload data'!O:O,'caseload data'!$D:$D,"PSO",'caseload data'!$C:$C,'divisional &amp; regional caseload'!$B$64)</f>
        <v>0</v>
      </c>
      <c r="N67" s="94">
        <f>SUMIFS('caseload data'!P:P,'caseload data'!$D:$D,"PSO",'caseload data'!$C:$C,'divisional &amp; regional caseload'!$B$64)</f>
        <v>0</v>
      </c>
      <c r="O67" s="94">
        <f>SUMIFS('caseload data'!Q:Q,'caseload data'!$D:$D,"PSO",'caseload data'!$C:$C,'divisional &amp; regional caseload'!$B$64)</f>
        <v>0</v>
      </c>
      <c r="P67" s="94">
        <f>SUMIFS('caseload data'!R:R,'caseload data'!$D:$D,"PSO",'caseload data'!$C:$C,'divisional &amp; regional caseload'!$B$64)</f>
        <v>0</v>
      </c>
      <c r="Q67" s="94">
        <f>SUMIFS('caseload data'!S:S,'caseload data'!$D:$D,"PSO",'caseload data'!$C:$C,'divisional &amp; regional caseload'!$B$64)</f>
        <v>0</v>
      </c>
      <c r="R67" s="94">
        <f>SUMIFS('caseload data'!T:T,'caseload data'!$D:$D,"PSO",'caseload data'!$C:$C,'divisional &amp; regional caseload'!$B$64)</f>
        <v>0</v>
      </c>
      <c r="S67" s="91"/>
      <c r="T67" s="97" t="s">
        <v>1007</v>
      </c>
      <c r="U67" s="94">
        <f>SUMIFS('caseload data'!E:E,'caseload data'!$D:$D,"PSO",'caseload data'!$C:$C,'divisional &amp; regional caseload'!$T$64)</f>
        <v>0</v>
      </c>
      <c r="V67" s="94">
        <f>SUMIFS('caseload data'!F:F,'caseload data'!$D:$D,"PSO",'caseload data'!$C:$C,'divisional &amp; regional caseload'!$T$64)</f>
        <v>0</v>
      </c>
      <c r="W67" s="94">
        <f>SUMIFS('caseload data'!G:G,'caseload data'!$D:$D,"PSO",'caseload data'!$C:$C,'divisional &amp; regional caseload'!$T$64)</f>
        <v>0</v>
      </c>
      <c r="X67" s="94">
        <f>SUMIFS('caseload data'!H:H,'caseload data'!$D:$D,"PSO",'caseload data'!$C:$C,'divisional &amp; regional caseload'!$T$64)</f>
        <v>0</v>
      </c>
      <c r="Y67" s="94">
        <f>SUMIFS('caseload data'!I:I,'caseload data'!$D:$D,"PSO",'caseload data'!$C:$C,'divisional &amp; regional caseload'!$T$64)</f>
        <v>0</v>
      </c>
      <c r="Z67" s="94">
        <f>SUMIFS('caseload data'!J:J,'caseload data'!$D:$D,"PSO",'caseload data'!$C:$C,'divisional &amp; regional caseload'!$T$64)</f>
        <v>0</v>
      </c>
      <c r="AA67" s="94">
        <f>SUMIFS('caseload data'!K:K,'caseload data'!$D:$D,"PSO",'caseload data'!$C:$C,'divisional &amp; regional caseload'!$T$64)</f>
        <v>0</v>
      </c>
      <c r="AB67" s="94">
        <f>SUMIFS('caseload data'!L:L,'caseload data'!$D:$D,"PSO",'caseload data'!$C:$C,'divisional &amp; regional caseload'!$T$64)</f>
        <v>0</v>
      </c>
      <c r="AC67" s="94">
        <f>SUMIFS('caseload data'!M:M,'caseload data'!$D:$D,"PSO",'caseload data'!$C:$C,'divisional &amp; regional caseload'!$T$64)</f>
        <v>0</v>
      </c>
      <c r="AD67" s="94">
        <f>SUMIFS('caseload data'!N:N,'caseload data'!$D:$D,"PSO",'caseload data'!$C:$C,'divisional &amp; regional caseload'!$T$64)</f>
        <v>0</v>
      </c>
      <c r="AE67" s="94">
        <f>SUMIFS('caseload data'!O:O,'caseload data'!$D:$D,"PSO",'caseload data'!$C:$C,'divisional &amp; regional caseload'!$T$64)</f>
        <v>0</v>
      </c>
      <c r="AF67" s="94">
        <f>SUMIFS('caseload data'!P:P,'caseload data'!$D:$D,"PSO",'caseload data'!$C:$C,'divisional &amp; regional caseload'!$T$64)</f>
        <v>0</v>
      </c>
      <c r="AG67" s="94">
        <f>SUMIFS('caseload data'!Q:Q,'caseload data'!$D:$D,"PSO",'caseload data'!$C:$C,'divisional &amp; regional caseload'!$T$64)</f>
        <v>0</v>
      </c>
      <c r="AH67" s="94">
        <f>SUMIFS('caseload data'!R:R,'caseload data'!$D:$D,"PSO",'caseload data'!$C:$C,'divisional &amp; regional caseload'!$T$64)</f>
        <v>0</v>
      </c>
      <c r="AI67" s="94">
        <f>SUMIFS('caseload data'!S:S,'caseload data'!$D:$D,"PSO",'caseload data'!$C:$C,'divisional &amp; regional caseload'!$T$64)</f>
        <v>0</v>
      </c>
      <c r="AJ67" s="94">
        <f>SUMIFS('caseload data'!T:T,'caseload data'!$D:$D,"PSO",'caseload data'!$C:$C,'divisional &amp; regional caseload'!$T$64)</f>
        <v>0</v>
      </c>
    </row>
    <row r="68" spans="2:36" x14ac:dyDescent="0.15">
      <c r="B68" s="97" t="s">
        <v>1008</v>
      </c>
      <c r="C68" s="94">
        <f>SUMIFS('caseload data'!E:E,'caseload data'!$D:$D,"TPO",'caseload data'!$C:$C,'divisional &amp; regional caseload'!$B$64)</f>
        <v>0</v>
      </c>
      <c r="D68" s="94">
        <f>SUMIFS('caseload data'!F:F,'caseload data'!$D:$D,"TPO",'caseload data'!$C:$C,'divisional &amp; regional caseload'!$B$64)</f>
        <v>0</v>
      </c>
      <c r="E68" s="94">
        <f>SUMIFS('caseload data'!G:G,'caseload data'!$D:$D,"TPO",'caseload data'!$C:$C,'divisional &amp; regional caseload'!$B$64)</f>
        <v>0</v>
      </c>
      <c r="F68" s="94">
        <f>SUMIFS('caseload data'!H:H,'caseload data'!$D:$D,"TPO",'caseload data'!$C:$C,'divisional &amp; regional caseload'!$B$64)</f>
        <v>0</v>
      </c>
      <c r="G68" s="94">
        <f>SUMIFS('caseload data'!I:I,'caseload data'!$D:$D,"TPO",'caseload data'!$C:$C,'divisional &amp; regional caseload'!$B$64)</f>
        <v>0</v>
      </c>
      <c r="H68" s="94">
        <f>SUMIFS('caseload data'!J:J,'caseload data'!$D:$D,"TPO",'caseload data'!$C:$C,'divisional &amp; regional caseload'!$B$64)</f>
        <v>0</v>
      </c>
      <c r="I68" s="94">
        <f>SUMIFS('caseload data'!K:K,'caseload data'!$D:$D,"TPO",'caseload data'!$C:$C,'divisional &amp; regional caseload'!$B$64)</f>
        <v>0</v>
      </c>
      <c r="J68" s="94">
        <f>SUMIFS('caseload data'!L:L,'caseload data'!$D:$D,"TPO",'caseload data'!$C:$C,'divisional &amp; regional caseload'!$B$64)</f>
        <v>0</v>
      </c>
      <c r="K68" s="94">
        <f>SUMIFS('caseload data'!M:M,'caseload data'!$D:$D,"TPO",'caseload data'!$C:$C,'divisional &amp; regional caseload'!$B$64)</f>
        <v>0</v>
      </c>
      <c r="L68" s="94">
        <f>SUMIFS('caseload data'!N:N,'caseload data'!$D:$D,"TPO",'caseload data'!$C:$C,'divisional &amp; regional caseload'!$B$64)</f>
        <v>0</v>
      </c>
      <c r="M68" s="94">
        <f>SUMIFS('caseload data'!O:O,'caseload data'!$D:$D,"TPO",'caseload data'!$C:$C,'divisional &amp; regional caseload'!$B$64)</f>
        <v>0</v>
      </c>
      <c r="N68" s="94">
        <f>SUMIFS('caseload data'!P:P,'caseload data'!$D:$D,"TPO",'caseload data'!$C:$C,'divisional &amp; regional caseload'!$B$64)</f>
        <v>0</v>
      </c>
      <c r="O68" s="94">
        <f>SUMIFS('caseload data'!Q:Q,'caseload data'!$D:$D,"TPO",'caseload data'!$C:$C,'divisional &amp; regional caseload'!$B$64)</f>
        <v>0</v>
      </c>
      <c r="P68" s="94">
        <f>SUMIFS('caseload data'!R:R,'caseload data'!$D:$D,"TPO",'caseload data'!$C:$C,'divisional &amp; regional caseload'!$B$64)</f>
        <v>0</v>
      </c>
      <c r="Q68" s="94">
        <f>SUMIFS('caseload data'!S:S,'caseload data'!$D:$D,"TPO",'caseload data'!$C:$C,'divisional &amp; regional caseload'!$B$64)</f>
        <v>0</v>
      </c>
      <c r="R68" s="94">
        <f>SUMIFS('caseload data'!T:T,'caseload data'!$D:$D,"TPO",'caseload data'!$C:$C,'divisional &amp; regional caseload'!$B$64)</f>
        <v>0</v>
      </c>
      <c r="S68" s="91"/>
      <c r="T68" s="97" t="s">
        <v>1008</v>
      </c>
      <c r="U68" s="94">
        <f>SUMIFS('caseload data'!E:E,'caseload data'!$D:$D,"TPO",'caseload data'!$C:$C,'divisional &amp; regional caseload'!$T$64)</f>
        <v>0</v>
      </c>
      <c r="V68" s="94">
        <f>SUMIFS('caseload data'!F:F,'caseload data'!$D:$D,"TPO",'caseload data'!$C:$C,'divisional &amp; regional caseload'!$T$64)</f>
        <v>0</v>
      </c>
      <c r="W68" s="94">
        <f>SUMIFS('caseload data'!G:G,'caseload data'!$D:$D,"TPO",'caseload data'!$C:$C,'divisional &amp; regional caseload'!$T$64)</f>
        <v>0</v>
      </c>
      <c r="X68" s="94">
        <f>SUMIFS('caseload data'!H:H,'caseload data'!$D:$D,"TPO",'caseload data'!$C:$C,'divisional &amp; regional caseload'!$T$64)</f>
        <v>0</v>
      </c>
      <c r="Y68" s="94">
        <f>SUMIFS('caseload data'!I:I,'caseload data'!$D:$D,"TPO",'caseload data'!$C:$C,'divisional &amp; regional caseload'!$T$64)</f>
        <v>0</v>
      </c>
      <c r="Z68" s="94">
        <f>SUMIFS('caseload data'!J:J,'caseload data'!$D:$D,"TPO",'caseload data'!$C:$C,'divisional &amp; regional caseload'!$T$64)</f>
        <v>0</v>
      </c>
      <c r="AA68" s="94">
        <f>SUMIFS('caseload data'!K:K,'caseload data'!$D:$D,"TPO",'caseload data'!$C:$C,'divisional &amp; regional caseload'!$T$64)</f>
        <v>0</v>
      </c>
      <c r="AB68" s="94">
        <f>SUMIFS('caseload data'!L:L,'caseload data'!$D:$D,"TPO",'caseload data'!$C:$C,'divisional &amp; regional caseload'!$T$64)</f>
        <v>0</v>
      </c>
      <c r="AC68" s="94">
        <f>SUMIFS('caseload data'!M:M,'caseload data'!$D:$D,"TPO",'caseload data'!$C:$C,'divisional &amp; regional caseload'!$T$64)</f>
        <v>0</v>
      </c>
      <c r="AD68" s="94">
        <f>SUMIFS('caseload data'!N:N,'caseload data'!$D:$D,"TPO",'caseload data'!$C:$C,'divisional &amp; regional caseload'!$T$64)</f>
        <v>0</v>
      </c>
      <c r="AE68" s="94">
        <f>SUMIFS('caseload data'!O:O,'caseload data'!$D:$D,"TPO",'caseload data'!$C:$C,'divisional &amp; regional caseload'!$T$64)</f>
        <v>0</v>
      </c>
      <c r="AF68" s="94">
        <f>SUMIFS('caseload data'!P:P,'caseload data'!$D:$D,"TPO",'caseload data'!$C:$C,'divisional &amp; regional caseload'!$T$64)</f>
        <v>0</v>
      </c>
      <c r="AG68" s="94">
        <f>SUMIFS('caseload data'!Q:Q,'caseload data'!$D:$D,"TPO",'caseload data'!$C:$C,'divisional &amp; regional caseload'!$T$64)</f>
        <v>0</v>
      </c>
      <c r="AH68" s="94">
        <f>SUMIFS('caseload data'!R:R,'caseload data'!$D:$D,"TPO",'caseload data'!$C:$C,'divisional &amp; regional caseload'!$T$64)</f>
        <v>0</v>
      </c>
      <c r="AI68" s="94">
        <f>SUMIFS('caseload data'!S:S,'caseload data'!$D:$D,"TPO",'caseload data'!$C:$C,'divisional &amp; regional caseload'!$T$64)</f>
        <v>0</v>
      </c>
      <c r="AJ68" s="94">
        <f>SUMIFS('caseload data'!T:T,'caseload data'!$D:$D,"TPO",'caseload data'!$C:$C,'divisional &amp; regional caseload'!$T$64)</f>
        <v>0</v>
      </c>
    </row>
    <row r="69" spans="2:36" x14ac:dyDescent="0.15">
      <c r="B69" s="98" t="s">
        <v>1009</v>
      </c>
      <c r="C69" s="94">
        <f>SUMIFS('caseload data'!E:E,'caseload data'!$D:$D,"SPO",'caseload data'!$C:$C,'divisional &amp; regional caseload'!$B$64)</f>
        <v>0</v>
      </c>
      <c r="D69" s="94">
        <f>SUMIFS('caseload data'!F:F,'caseload data'!$D:$D,"SPO",'caseload data'!$C:$C,'divisional &amp; regional caseload'!$B$64)</f>
        <v>0</v>
      </c>
      <c r="E69" s="94">
        <f>SUMIFS('caseload data'!G:G,'caseload data'!$D:$D,"SPO",'caseload data'!$C:$C,'divisional &amp; regional caseload'!$B$64)</f>
        <v>0</v>
      </c>
      <c r="F69" s="94">
        <f>SUMIFS('caseload data'!H:H,'caseload data'!$D:$D,"SPO",'caseload data'!$C:$C,'divisional &amp; regional caseload'!$B$64)</f>
        <v>0</v>
      </c>
      <c r="G69" s="94">
        <f>SUMIFS('caseload data'!I:I,'caseload data'!$D:$D,"SPO",'caseload data'!$C:$C,'divisional &amp; regional caseload'!$B$64)</f>
        <v>0</v>
      </c>
      <c r="H69" s="94">
        <f>SUMIFS('caseload data'!J:J,'caseload data'!$D:$D,"SPO",'caseload data'!$C:$C,'divisional &amp; regional caseload'!$B$64)</f>
        <v>0</v>
      </c>
      <c r="I69" s="94">
        <f>SUMIFS('caseload data'!K:K,'caseload data'!$D:$D,"SPO",'caseload data'!$C:$C,'divisional &amp; regional caseload'!$B$64)</f>
        <v>0</v>
      </c>
      <c r="J69" s="94">
        <f>SUMIFS('caseload data'!L:L,'caseload data'!$D:$D,"SPO",'caseload data'!$C:$C,'divisional &amp; regional caseload'!$B$64)</f>
        <v>0</v>
      </c>
      <c r="K69" s="94">
        <f>SUMIFS('caseload data'!M:M,'caseload data'!$D:$D,"SPO",'caseload data'!$C:$C,'divisional &amp; regional caseload'!$B$64)</f>
        <v>0</v>
      </c>
      <c r="L69" s="94">
        <f>SUMIFS('caseload data'!N:N,'caseload data'!$D:$D,"SPO",'caseload data'!$C:$C,'divisional &amp; regional caseload'!$B$64)</f>
        <v>0</v>
      </c>
      <c r="M69" s="94">
        <f>SUMIFS('caseload data'!O:O,'caseload data'!$D:$D,"SPO",'caseload data'!$C:$C,'divisional &amp; regional caseload'!$B$64)</f>
        <v>0</v>
      </c>
      <c r="N69" s="94">
        <f>SUMIFS('caseload data'!P:P,'caseload data'!$D:$D,"SPO",'caseload data'!$C:$C,'divisional &amp; regional caseload'!$B$64)</f>
        <v>0</v>
      </c>
      <c r="O69" s="94">
        <f>SUMIFS('caseload data'!Q:Q,'caseload data'!$D:$D,"SPO",'caseload data'!$C:$C,'divisional &amp; regional caseload'!$B$64)</f>
        <v>0</v>
      </c>
      <c r="P69" s="94">
        <f>SUMIFS('caseload data'!R:R,'caseload data'!$D:$D,"SPO",'caseload data'!$C:$C,'divisional &amp; regional caseload'!$B$64)</f>
        <v>0</v>
      </c>
      <c r="Q69" s="94">
        <f>SUMIFS('caseload data'!S:S,'caseload data'!$D:$D,"SPO",'caseload data'!$C:$C,'divisional &amp; regional caseload'!$B$64)</f>
        <v>0</v>
      </c>
      <c r="R69" s="94">
        <f>SUMIFS('caseload data'!T:T,'caseload data'!$D:$D,"SPO",'caseload data'!$C:$C,'divisional &amp; regional caseload'!$B$64)</f>
        <v>0</v>
      </c>
      <c r="S69" s="91"/>
      <c r="T69" s="98" t="s">
        <v>1009</v>
      </c>
      <c r="U69" s="94">
        <f>SUMIFS('caseload data'!E:E,'caseload data'!$D:$D,"SPO",'caseload data'!$C:$C,'divisional &amp; regional caseload'!$T$64)</f>
        <v>0</v>
      </c>
      <c r="V69" s="94">
        <f>SUMIFS('caseload data'!F:F,'caseload data'!$D:$D,"SPO",'caseload data'!$C:$C,'divisional &amp; regional caseload'!$T$64)</f>
        <v>0</v>
      </c>
      <c r="W69" s="94">
        <f>SUMIFS('caseload data'!G:G,'caseload data'!$D:$D,"SPO",'caseload data'!$C:$C,'divisional &amp; regional caseload'!$T$64)</f>
        <v>0</v>
      </c>
      <c r="X69" s="94">
        <f>SUMIFS('caseload data'!H:H,'caseload data'!$D:$D,"SPO",'caseload data'!$C:$C,'divisional &amp; regional caseload'!$T$64)</f>
        <v>0</v>
      </c>
      <c r="Y69" s="94">
        <f>SUMIFS('caseload data'!I:I,'caseload data'!$D:$D,"SPO",'caseload data'!$C:$C,'divisional &amp; regional caseload'!$T$64)</f>
        <v>0</v>
      </c>
      <c r="Z69" s="94">
        <f>SUMIFS('caseload data'!J:J,'caseload data'!$D:$D,"SPO",'caseload data'!$C:$C,'divisional &amp; regional caseload'!$T$64)</f>
        <v>0</v>
      </c>
      <c r="AA69" s="94">
        <f>SUMIFS('caseload data'!K:K,'caseload data'!$D:$D,"SPO",'caseload data'!$C:$C,'divisional &amp; regional caseload'!$T$64)</f>
        <v>0</v>
      </c>
      <c r="AB69" s="94">
        <f>SUMIFS('caseload data'!L:L,'caseload data'!$D:$D,"SPO",'caseload data'!$C:$C,'divisional &amp; regional caseload'!$T$64)</f>
        <v>0</v>
      </c>
      <c r="AC69" s="94">
        <f>SUMIFS('caseload data'!M:M,'caseload data'!$D:$D,"SPO",'caseload data'!$C:$C,'divisional &amp; regional caseload'!$T$64)</f>
        <v>0</v>
      </c>
      <c r="AD69" s="94">
        <f>SUMIFS('caseload data'!N:N,'caseload data'!$D:$D,"SPO",'caseload data'!$C:$C,'divisional &amp; regional caseload'!$T$64)</f>
        <v>0</v>
      </c>
      <c r="AE69" s="94">
        <f>SUMIFS('caseload data'!O:O,'caseload data'!$D:$D,"SPO",'caseload data'!$C:$C,'divisional &amp; regional caseload'!$T$64)</f>
        <v>0</v>
      </c>
      <c r="AF69" s="94">
        <f>SUMIFS('caseload data'!P:P,'caseload data'!$D:$D,"SPO",'caseload data'!$C:$C,'divisional &amp; regional caseload'!$T$64)</f>
        <v>0</v>
      </c>
      <c r="AG69" s="94">
        <f>SUMIFS('caseload data'!Q:Q,'caseload data'!$D:$D,"SPO",'caseload data'!$C:$C,'divisional &amp; regional caseload'!$T$64)</f>
        <v>0</v>
      </c>
      <c r="AH69" s="94">
        <f>SUMIFS('caseload data'!R:R,'caseload data'!$D:$D,"SPO",'caseload data'!$C:$C,'divisional &amp; regional caseload'!$T$64)</f>
        <v>0</v>
      </c>
      <c r="AI69" s="94">
        <f>SUMIFS('caseload data'!S:S,'caseload data'!$D:$D,"SPO",'caseload data'!$C:$C,'divisional &amp; regional caseload'!$T$64)</f>
        <v>0</v>
      </c>
      <c r="AJ69" s="94">
        <f>SUMIFS('caseload data'!T:T,'caseload data'!$D:$D,"SPO",'caseload data'!$C:$C,'divisional &amp; regional caseload'!$T$64)</f>
        <v>0</v>
      </c>
    </row>
    <row r="71" spans="2:36" ht="41.25" customHeight="1" x14ac:dyDescent="0.15">
      <c r="B71" s="289">
        <f>HLOOKUP($B$5,Region_Table,20,0)</f>
        <v>0</v>
      </c>
      <c r="C71" s="507" t="s">
        <v>1097</v>
      </c>
      <c r="D71" s="508"/>
      <c r="E71" s="508"/>
      <c r="F71" s="508"/>
      <c r="G71" s="508"/>
      <c r="H71" s="508"/>
      <c r="I71" s="508"/>
      <c r="J71" s="508"/>
      <c r="K71" s="508"/>
      <c r="L71" s="508"/>
      <c r="M71" s="518"/>
      <c r="N71" s="518"/>
      <c r="O71" s="519"/>
      <c r="P71" s="510">
        <f>SUMIF('caseload data'!$C:$C,'divisional &amp; regional caseload'!B71,'caseload data'!V:V)</f>
        <v>0</v>
      </c>
      <c r="Q71" s="511"/>
      <c r="R71" s="512"/>
      <c r="T71" s="289">
        <f>HLOOKUP($B$5,Region_Table,21,0)</f>
        <v>0</v>
      </c>
      <c r="U71" s="507" t="s">
        <v>1097</v>
      </c>
      <c r="V71" s="508"/>
      <c r="W71" s="508"/>
      <c r="X71" s="508"/>
      <c r="Y71" s="508"/>
      <c r="Z71" s="508"/>
      <c r="AA71" s="508"/>
      <c r="AB71" s="508"/>
      <c r="AC71" s="508"/>
      <c r="AD71" s="508"/>
      <c r="AE71" s="508"/>
      <c r="AF71" s="508"/>
      <c r="AG71" s="509"/>
      <c r="AH71" s="510">
        <f>SUMIF('caseload data'!$C:$C,'divisional &amp; regional caseload'!T71,'caseload data'!V:V)</f>
        <v>0</v>
      </c>
      <c r="AI71" s="513"/>
      <c r="AJ71" s="514"/>
    </row>
    <row r="72" spans="2:36" x14ac:dyDescent="0.15">
      <c r="B72" s="95" t="s">
        <v>1005</v>
      </c>
      <c r="C72" s="38" t="s">
        <v>869</v>
      </c>
      <c r="D72" s="38" t="s">
        <v>870</v>
      </c>
      <c r="E72" s="38" t="s">
        <v>871</v>
      </c>
      <c r="F72" s="38" t="s">
        <v>872</v>
      </c>
      <c r="G72" s="38" t="s">
        <v>873</v>
      </c>
      <c r="H72" s="38" t="s">
        <v>874</v>
      </c>
      <c r="I72" s="38" t="s">
        <v>875</v>
      </c>
      <c r="J72" s="38" t="s">
        <v>876</v>
      </c>
      <c r="K72" s="38" t="s">
        <v>877</v>
      </c>
      <c r="L72" s="38" t="s">
        <v>878</v>
      </c>
      <c r="M72" s="38" t="s">
        <v>879</v>
      </c>
      <c r="N72" s="38" t="s">
        <v>880</v>
      </c>
      <c r="O72" s="38" t="s">
        <v>881</v>
      </c>
      <c r="P72" s="38" t="s">
        <v>882</v>
      </c>
      <c r="Q72" s="38" t="s">
        <v>883</v>
      </c>
      <c r="R72" s="38" t="s">
        <v>884</v>
      </c>
      <c r="T72" s="95" t="s">
        <v>1005</v>
      </c>
      <c r="U72" s="38" t="s">
        <v>869</v>
      </c>
      <c r="V72" s="38" t="s">
        <v>870</v>
      </c>
      <c r="W72" s="38" t="s">
        <v>871</v>
      </c>
      <c r="X72" s="38" t="s">
        <v>872</v>
      </c>
      <c r="Y72" s="38" t="s">
        <v>873</v>
      </c>
      <c r="Z72" s="38" t="s">
        <v>874</v>
      </c>
      <c r="AA72" s="38" t="s">
        <v>875</v>
      </c>
      <c r="AB72" s="38" t="s">
        <v>876</v>
      </c>
      <c r="AC72" s="38" t="s">
        <v>877</v>
      </c>
      <c r="AD72" s="38" t="s">
        <v>878</v>
      </c>
      <c r="AE72" s="38" t="s">
        <v>879</v>
      </c>
      <c r="AF72" s="38" t="s">
        <v>880</v>
      </c>
      <c r="AG72" s="38" t="s">
        <v>881</v>
      </c>
      <c r="AH72" s="38" t="s">
        <v>882</v>
      </c>
      <c r="AI72" s="38" t="s">
        <v>883</v>
      </c>
      <c r="AJ72" s="38" t="s">
        <v>884</v>
      </c>
    </row>
    <row r="73" spans="2:36" x14ac:dyDescent="0.15">
      <c r="B73" s="96" t="s">
        <v>1002</v>
      </c>
      <c r="C73" s="94">
        <f>SUMIFS('caseload data'!E:E,'caseload data'!$D:$D,"PO",'caseload data'!$C:$C,'divisional &amp; regional caseload'!$B$71)</f>
        <v>0</v>
      </c>
      <c r="D73" s="94">
        <f>SUMIFS('caseload data'!F:F,'caseload data'!$D:$D,"PO",'caseload data'!$C:$C,'divisional &amp; regional caseload'!$B$71)</f>
        <v>0</v>
      </c>
      <c r="E73" s="94">
        <f>SUMIFS('caseload data'!G:G,'caseload data'!$D:$D,"PO",'caseload data'!$C:$C,'divisional &amp; regional caseload'!$B$71)</f>
        <v>0</v>
      </c>
      <c r="F73" s="94">
        <f>SUMIFS('caseload data'!H:H,'caseload data'!$D:$D,"PO",'caseload data'!$C:$C,'divisional &amp; regional caseload'!$B$71)</f>
        <v>0</v>
      </c>
      <c r="G73" s="94">
        <f>SUMIFS('caseload data'!I:I,'caseload data'!$D:$D,"PO",'caseload data'!$C:$C,'divisional &amp; regional caseload'!$B$71)</f>
        <v>0</v>
      </c>
      <c r="H73" s="94">
        <f>SUMIFS('caseload data'!J:J,'caseload data'!$D:$D,"PO",'caseload data'!$C:$C,'divisional &amp; regional caseload'!$B$71)</f>
        <v>0</v>
      </c>
      <c r="I73" s="94">
        <f>SUMIFS('caseload data'!K:K,'caseload data'!$D:$D,"PO",'caseload data'!$C:$C,'divisional &amp; regional caseload'!$B$71)</f>
        <v>0</v>
      </c>
      <c r="J73" s="94">
        <f>SUMIFS('caseload data'!L:L,'caseload data'!$D:$D,"PO",'caseload data'!$C:$C,'divisional &amp; regional caseload'!$B$71)</f>
        <v>0</v>
      </c>
      <c r="K73" s="94">
        <f>SUMIFS('caseload data'!M:M,'caseload data'!$D:$D,"PO",'caseload data'!$C:$C,'divisional &amp; regional caseload'!$B$71)</f>
        <v>0</v>
      </c>
      <c r="L73" s="94">
        <f>SUMIFS('caseload data'!N:N,'caseload data'!$D:$D,"PO",'caseload data'!$C:$C,'divisional &amp; regional caseload'!$B$71)</f>
        <v>0</v>
      </c>
      <c r="M73" s="94">
        <f>SUMIFS('caseload data'!O:O,'caseload data'!$D:$D,"PO",'caseload data'!$C:$C,'divisional &amp; regional caseload'!$B$71)</f>
        <v>0</v>
      </c>
      <c r="N73" s="94">
        <f>SUMIFS('caseload data'!P:P,'caseload data'!$D:$D,"PO",'caseload data'!$C:$C,'divisional &amp; regional caseload'!$B$71)</f>
        <v>0</v>
      </c>
      <c r="O73" s="94">
        <f>SUMIFS('caseload data'!Q:Q,'caseload data'!$D:$D,"PO",'caseload data'!$C:$C,'divisional &amp; regional caseload'!$B$71)</f>
        <v>0</v>
      </c>
      <c r="P73" s="94">
        <f>SUMIFS('caseload data'!R:R,'caseload data'!$D:$D,"PO",'caseload data'!$C:$C,'divisional &amp; regional caseload'!$B$71)</f>
        <v>0</v>
      </c>
      <c r="Q73" s="94">
        <f>SUMIFS('caseload data'!S:S,'caseload data'!$D:$D,"PO",'caseload data'!$C:$C,'divisional &amp; regional caseload'!$B$71)</f>
        <v>0</v>
      </c>
      <c r="R73" s="94">
        <f>SUMIFS('caseload data'!T:T,'caseload data'!$D:$D,"PO",'caseload data'!$C:$C,'divisional &amp; regional caseload'!$B$71)</f>
        <v>0</v>
      </c>
      <c r="T73" s="96" t="s">
        <v>1002</v>
      </c>
      <c r="U73" s="94">
        <f>SUMIFS('caseload data'!E:E,'caseload data'!$D:$D,"PO",'caseload data'!$C:$C,'divisional &amp; regional caseload'!$T$71)</f>
        <v>0</v>
      </c>
      <c r="V73" s="94">
        <f>SUMIFS('caseload data'!F:F,'caseload data'!$D:$D,"PO",'caseload data'!$C:$C,'divisional &amp; regional caseload'!$T$71)</f>
        <v>0</v>
      </c>
      <c r="W73" s="94">
        <f>SUMIFS('caseload data'!G:G,'caseload data'!$D:$D,"PO",'caseload data'!$C:$C,'divisional &amp; regional caseload'!$T$71)</f>
        <v>0</v>
      </c>
      <c r="X73" s="94">
        <f>SUMIFS('caseload data'!H:H,'caseload data'!$D:$D,"PO",'caseload data'!$C:$C,'divisional &amp; regional caseload'!$T$71)</f>
        <v>0</v>
      </c>
      <c r="Y73" s="94">
        <f>SUMIFS('caseload data'!I:I,'caseload data'!$D:$D,"PO",'caseload data'!$C:$C,'divisional &amp; regional caseload'!$T$71)</f>
        <v>0</v>
      </c>
      <c r="Z73" s="94">
        <f>SUMIFS('caseload data'!J:J,'caseload data'!$D:$D,"PO",'caseload data'!$C:$C,'divisional &amp; regional caseload'!$T$71)</f>
        <v>0</v>
      </c>
      <c r="AA73" s="94">
        <f>SUMIFS('caseload data'!K:K,'caseload data'!$D:$D,"PO",'caseload data'!$C:$C,'divisional &amp; regional caseload'!$T$71)</f>
        <v>0</v>
      </c>
      <c r="AB73" s="94">
        <f>SUMIFS('caseload data'!L:L,'caseload data'!$D:$D,"PO",'caseload data'!$C:$C,'divisional &amp; regional caseload'!$T$71)</f>
        <v>0</v>
      </c>
      <c r="AC73" s="94">
        <f>SUMIFS('caseload data'!M:M,'caseload data'!$D:$D,"PO",'caseload data'!$C:$C,'divisional &amp; regional caseload'!$T$71)</f>
        <v>0</v>
      </c>
      <c r="AD73" s="94">
        <f>SUMIFS('caseload data'!N:N,'caseload data'!$D:$D,"PO",'caseload data'!$C:$C,'divisional &amp; regional caseload'!$T$71)</f>
        <v>0</v>
      </c>
      <c r="AE73" s="94">
        <f>SUMIFS('caseload data'!O:O,'caseload data'!$D:$D,"PO",'caseload data'!$C:$C,'divisional &amp; regional caseload'!$T$71)</f>
        <v>0</v>
      </c>
      <c r="AF73" s="94">
        <f>SUMIFS('caseload data'!P:P,'caseload data'!$D:$D,"PO",'caseload data'!$C:$C,'divisional &amp; regional caseload'!$T$71)</f>
        <v>0</v>
      </c>
      <c r="AG73" s="94">
        <f>SUMIFS('caseload data'!Q:Q,'caseload data'!$D:$D,"PO",'caseload data'!$C:$C,'divisional &amp; regional caseload'!$T$71)</f>
        <v>0</v>
      </c>
      <c r="AH73" s="94">
        <f>SUMIFS('caseload data'!R:R,'caseload data'!$D:$D,"PO",'caseload data'!$C:$C,'divisional &amp; regional caseload'!$T$71)</f>
        <v>0</v>
      </c>
      <c r="AI73" s="94">
        <f>SUMIFS('caseload data'!S:S,'caseload data'!$D:$D,"PO",'caseload data'!$C:$C,'divisional &amp; regional caseload'!$T$71)</f>
        <v>0</v>
      </c>
      <c r="AJ73" s="94">
        <f>SUMIFS('caseload data'!T:T,'caseload data'!$D:$D,"PO",'caseload data'!$C:$C,'divisional &amp; regional caseload'!$T$71)</f>
        <v>0</v>
      </c>
    </row>
    <row r="74" spans="2:36" x14ac:dyDescent="0.15">
      <c r="B74" s="97" t="s">
        <v>1007</v>
      </c>
      <c r="C74" s="94">
        <f>SUMIFS('caseload data'!E:E,'caseload data'!$D:$D,"PSO",'caseload data'!$C:$C,'divisional &amp; regional caseload'!$B$71)</f>
        <v>0</v>
      </c>
      <c r="D74" s="94">
        <f>SUMIFS('caseload data'!F:F,'caseload data'!$D:$D,"PSO",'caseload data'!$C:$C,'divisional &amp; regional caseload'!$B$71)</f>
        <v>0</v>
      </c>
      <c r="E74" s="94">
        <f>SUMIFS('caseload data'!G:G,'caseload data'!$D:$D,"PSO",'caseload data'!$C:$C,'divisional &amp; regional caseload'!$B$71)</f>
        <v>0</v>
      </c>
      <c r="F74" s="94">
        <f>SUMIFS('caseload data'!H:H,'caseload data'!$D:$D,"PSO",'caseload data'!$C:$C,'divisional &amp; regional caseload'!$B$71)</f>
        <v>0</v>
      </c>
      <c r="G74" s="94">
        <f>SUMIFS('caseload data'!I:I,'caseload data'!$D:$D,"PSO",'caseload data'!$C:$C,'divisional &amp; regional caseload'!$B$71)</f>
        <v>0</v>
      </c>
      <c r="H74" s="94">
        <f>SUMIFS('caseload data'!J:J,'caseload data'!$D:$D,"PSO",'caseload data'!$C:$C,'divisional &amp; regional caseload'!$B$71)</f>
        <v>0</v>
      </c>
      <c r="I74" s="94">
        <f>SUMIFS('caseload data'!K:K,'caseload data'!$D:$D,"PSO",'caseload data'!$C:$C,'divisional &amp; regional caseload'!$B$71)</f>
        <v>0</v>
      </c>
      <c r="J74" s="94">
        <f>SUMIFS('caseload data'!L:L,'caseload data'!$D:$D,"PSO",'caseload data'!$C:$C,'divisional &amp; regional caseload'!$B$71)</f>
        <v>0</v>
      </c>
      <c r="K74" s="94">
        <f>SUMIFS('caseload data'!M:M,'caseload data'!$D:$D,"PSO",'caseload data'!$C:$C,'divisional &amp; regional caseload'!$B$71)</f>
        <v>0</v>
      </c>
      <c r="L74" s="94">
        <f>SUMIFS('caseload data'!N:N,'caseload data'!$D:$D,"PSO",'caseload data'!$C:$C,'divisional &amp; regional caseload'!$B$71)</f>
        <v>0</v>
      </c>
      <c r="M74" s="94">
        <f>SUMIFS('caseload data'!O:O,'caseload data'!$D:$D,"PSO",'caseload data'!$C:$C,'divisional &amp; regional caseload'!$B$71)</f>
        <v>0</v>
      </c>
      <c r="N74" s="94">
        <f>SUMIFS('caseload data'!P:P,'caseload data'!$D:$D,"PSO",'caseload data'!$C:$C,'divisional &amp; regional caseload'!$B$71)</f>
        <v>0</v>
      </c>
      <c r="O74" s="94">
        <f>SUMIFS('caseload data'!Q:Q,'caseload data'!$D:$D,"PSO",'caseload data'!$C:$C,'divisional &amp; regional caseload'!$B$71)</f>
        <v>0</v>
      </c>
      <c r="P74" s="94">
        <f>SUMIFS('caseload data'!R:R,'caseload data'!$D:$D,"PSO",'caseload data'!$C:$C,'divisional &amp; regional caseload'!$B$71)</f>
        <v>0</v>
      </c>
      <c r="Q74" s="94">
        <f>SUMIFS('caseload data'!S:S,'caseload data'!$D:$D,"PSO",'caseload data'!$C:$C,'divisional &amp; regional caseload'!$B$71)</f>
        <v>0</v>
      </c>
      <c r="R74" s="94">
        <f>SUMIFS('caseload data'!T:T,'caseload data'!$D:$D,"PSO",'caseload data'!$C:$C,'divisional &amp; regional caseload'!$B$71)</f>
        <v>0</v>
      </c>
      <c r="T74" s="97" t="s">
        <v>1007</v>
      </c>
      <c r="U74" s="94">
        <f>SUMIFS('caseload data'!E:E,'caseload data'!$D:$D,"PSO",'caseload data'!$C:$C,'divisional &amp; regional caseload'!$T$71)</f>
        <v>0</v>
      </c>
      <c r="V74" s="94">
        <f>SUMIFS('caseload data'!F:F,'caseload data'!$D:$D,"PSO",'caseload data'!$C:$C,'divisional &amp; regional caseload'!$T$71)</f>
        <v>0</v>
      </c>
      <c r="W74" s="94">
        <f>SUMIFS('caseload data'!G:G,'caseload data'!$D:$D,"PSO",'caseload data'!$C:$C,'divisional &amp; regional caseload'!$T$71)</f>
        <v>0</v>
      </c>
      <c r="X74" s="94">
        <f>SUMIFS('caseload data'!H:H,'caseload data'!$D:$D,"PSO",'caseload data'!$C:$C,'divisional &amp; regional caseload'!$T$71)</f>
        <v>0</v>
      </c>
      <c r="Y74" s="94">
        <f>SUMIFS('caseload data'!I:I,'caseload data'!$D:$D,"PSO",'caseload data'!$C:$C,'divisional &amp; regional caseload'!$T$71)</f>
        <v>0</v>
      </c>
      <c r="Z74" s="94">
        <f>SUMIFS('caseload data'!J:J,'caseload data'!$D:$D,"PSO",'caseload data'!$C:$C,'divisional &amp; regional caseload'!$T$71)</f>
        <v>0</v>
      </c>
      <c r="AA74" s="94">
        <f>SUMIFS('caseload data'!K:K,'caseload data'!$D:$D,"PSO",'caseload data'!$C:$C,'divisional &amp; regional caseload'!$T$71)</f>
        <v>0</v>
      </c>
      <c r="AB74" s="94">
        <f>SUMIFS('caseload data'!L:L,'caseload data'!$D:$D,"PSO",'caseload data'!$C:$C,'divisional &amp; regional caseload'!$T$71)</f>
        <v>0</v>
      </c>
      <c r="AC74" s="94">
        <f>SUMIFS('caseload data'!M:M,'caseload data'!$D:$D,"PSO",'caseload data'!$C:$C,'divisional &amp; regional caseload'!$T$71)</f>
        <v>0</v>
      </c>
      <c r="AD74" s="94">
        <f>SUMIFS('caseload data'!N:N,'caseload data'!$D:$D,"PSO",'caseload data'!$C:$C,'divisional &amp; regional caseload'!$T$71)</f>
        <v>0</v>
      </c>
      <c r="AE74" s="94">
        <f>SUMIFS('caseload data'!O:O,'caseload data'!$D:$D,"PSO",'caseload data'!$C:$C,'divisional &amp; regional caseload'!$T$71)</f>
        <v>0</v>
      </c>
      <c r="AF74" s="94">
        <f>SUMIFS('caseload data'!P:P,'caseload data'!$D:$D,"PSO",'caseload data'!$C:$C,'divisional &amp; regional caseload'!$T$71)</f>
        <v>0</v>
      </c>
      <c r="AG74" s="94">
        <f>SUMIFS('caseload data'!Q:Q,'caseload data'!$D:$D,"PSO",'caseload data'!$C:$C,'divisional &amp; regional caseload'!$T$71)</f>
        <v>0</v>
      </c>
      <c r="AH74" s="94">
        <f>SUMIFS('caseload data'!R:R,'caseload data'!$D:$D,"PSO",'caseload data'!$C:$C,'divisional &amp; regional caseload'!$T$71)</f>
        <v>0</v>
      </c>
      <c r="AI74" s="94">
        <f>SUMIFS('caseload data'!S:S,'caseload data'!$D:$D,"PSO",'caseload data'!$C:$C,'divisional &amp; regional caseload'!$T$71)</f>
        <v>0</v>
      </c>
      <c r="AJ74" s="94">
        <f>SUMIFS('caseload data'!T:T,'caseload data'!$D:$D,"PSO",'caseload data'!$C:$C,'divisional &amp; regional caseload'!$T$71)</f>
        <v>0</v>
      </c>
    </row>
    <row r="75" spans="2:36" x14ac:dyDescent="0.15">
      <c r="B75" s="97" t="s">
        <v>1008</v>
      </c>
      <c r="C75" s="94">
        <f>SUMIFS('caseload data'!E:E,'caseload data'!$D:$D,"TPO",'caseload data'!$C:$C,'divisional &amp; regional caseload'!$B$71)</f>
        <v>0</v>
      </c>
      <c r="D75" s="94">
        <f>SUMIFS('caseload data'!F:F,'caseload data'!$D:$D,"TPO",'caseload data'!$C:$C,'divisional &amp; regional caseload'!$B$71)</f>
        <v>0</v>
      </c>
      <c r="E75" s="94">
        <f>SUMIFS('caseload data'!G:G,'caseload data'!$D:$D,"TPO",'caseload data'!$C:$C,'divisional &amp; regional caseload'!$B$71)</f>
        <v>0</v>
      </c>
      <c r="F75" s="94">
        <f>SUMIFS('caseload data'!H:H,'caseload data'!$D:$D,"TPO",'caseload data'!$C:$C,'divisional &amp; regional caseload'!$B$71)</f>
        <v>0</v>
      </c>
      <c r="G75" s="94">
        <f>SUMIFS('caseload data'!I:I,'caseload data'!$D:$D,"TPO",'caseload data'!$C:$C,'divisional &amp; regional caseload'!$B$71)</f>
        <v>0</v>
      </c>
      <c r="H75" s="94">
        <f>SUMIFS('caseload data'!J:J,'caseload data'!$D:$D,"TPO",'caseload data'!$C:$C,'divisional &amp; regional caseload'!$B$71)</f>
        <v>0</v>
      </c>
      <c r="I75" s="94">
        <f>SUMIFS('caseload data'!K:K,'caseload data'!$D:$D,"TPO",'caseload data'!$C:$C,'divisional &amp; regional caseload'!$B$71)</f>
        <v>0</v>
      </c>
      <c r="J75" s="94">
        <f>SUMIFS('caseload data'!L:L,'caseload data'!$D:$D,"TPO",'caseload data'!$C:$C,'divisional &amp; regional caseload'!$B$71)</f>
        <v>0</v>
      </c>
      <c r="K75" s="94">
        <f>SUMIFS('caseload data'!M:M,'caseload data'!$D:$D,"TPO",'caseload data'!$C:$C,'divisional &amp; regional caseload'!$B$71)</f>
        <v>0</v>
      </c>
      <c r="L75" s="94">
        <f>SUMIFS('caseload data'!N:N,'caseload data'!$D:$D,"TPO",'caseload data'!$C:$C,'divisional &amp; regional caseload'!$B$71)</f>
        <v>0</v>
      </c>
      <c r="M75" s="94">
        <f>SUMIFS('caseload data'!O:O,'caseload data'!$D:$D,"TPO",'caseload data'!$C:$C,'divisional &amp; regional caseload'!$B$71)</f>
        <v>0</v>
      </c>
      <c r="N75" s="94">
        <f>SUMIFS('caseload data'!P:P,'caseload data'!$D:$D,"TPO",'caseload data'!$C:$C,'divisional &amp; regional caseload'!$B$71)</f>
        <v>0</v>
      </c>
      <c r="O75" s="94">
        <f>SUMIFS('caseload data'!Q:Q,'caseload data'!$D:$D,"TPO",'caseload data'!$C:$C,'divisional &amp; regional caseload'!$B$71)</f>
        <v>0</v>
      </c>
      <c r="P75" s="94">
        <f>SUMIFS('caseload data'!R:R,'caseload data'!$D:$D,"TPO",'caseload data'!$C:$C,'divisional &amp; regional caseload'!$B$71)</f>
        <v>0</v>
      </c>
      <c r="Q75" s="94">
        <f>SUMIFS('caseload data'!S:S,'caseload data'!$D:$D,"TPO",'caseload data'!$C:$C,'divisional &amp; regional caseload'!$B$71)</f>
        <v>0</v>
      </c>
      <c r="R75" s="94">
        <f>SUMIFS('caseload data'!T:T,'caseload data'!$D:$D,"TPO",'caseload data'!$C:$C,'divisional &amp; regional caseload'!$B$71)</f>
        <v>0</v>
      </c>
      <c r="T75" s="97" t="s">
        <v>1008</v>
      </c>
      <c r="U75" s="94">
        <f>SUMIFS('caseload data'!E:E,'caseload data'!$D:$D,"TPO",'caseload data'!$C:$C,'divisional &amp; regional caseload'!$T$71)</f>
        <v>0</v>
      </c>
      <c r="V75" s="94">
        <f>SUMIFS('caseload data'!F:F,'caseload data'!$D:$D,"TPO",'caseload data'!$C:$C,'divisional &amp; regional caseload'!$T$71)</f>
        <v>0</v>
      </c>
      <c r="W75" s="94">
        <f>SUMIFS('caseload data'!G:G,'caseload data'!$D:$D,"TPO",'caseload data'!$C:$C,'divisional &amp; regional caseload'!$T$71)</f>
        <v>0</v>
      </c>
      <c r="X75" s="94">
        <f>SUMIFS('caseload data'!H:H,'caseload data'!$D:$D,"TPO",'caseload data'!$C:$C,'divisional &amp; regional caseload'!$T$71)</f>
        <v>0</v>
      </c>
      <c r="Y75" s="94">
        <f>SUMIFS('caseload data'!I:I,'caseload data'!$D:$D,"TPO",'caseload data'!$C:$C,'divisional &amp; regional caseload'!$T$71)</f>
        <v>0</v>
      </c>
      <c r="Z75" s="94">
        <f>SUMIFS('caseload data'!J:J,'caseload data'!$D:$D,"TPO",'caseload data'!$C:$C,'divisional &amp; regional caseload'!$T$71)</f>
        <v>0</v>
      </c>
      <c r="AA75" s="94">
        <f>SUMIFS('caseload data'!K:K,'caseload data'!$D:$D,"TPO",'caseload data'!$C:$C,'divisional &amp; regional caseload'!$T$71)</f>
        <v>0</v>
      </c>
      <c r="AB75" s="94">
        <f>SUMIFS('caseload data'!L:L,'caseload data'!$D:$D,"TPO",'caseload data'!$C:$C,'divisional &amp; regional caseload'!$T$71)</f>
        <v>0</v>
      </c>
      <c r="AC75" s="94">
        <f>SUMIFS('caseload data'!M:M,'caseload data'!$D:$D,"TPO",'caseload data'!$C:$C,'divisional &amp; regional caseload'!$T$71)</f>
        <v>0</v>
      </c>
      <c r="AD75" s="94">
        <f>SUMIFS('caseload data'!N:N,'caseload data'!$D:$D,"TPO",'caseload data'!$C:$C,'divisional &amp; regional caseload'!$T$71)</f>
        <v>0</v>
      </c>
      <c r="AE75" s="94">
        <f>SUMIFS('caseload data'!O:O,'caseload data'!$D:$D,"TPO",'caseload data'!$C:$C,'divisional &amp; regional caseload'!$T$71)</f>
        <v>0</v>
      </c>
      <c r="AF75" s="94">
        <f>SUMIFS('caseload data'!P:P,'caseload data'!$D:$D,"TPO",'caseload data'!$C:$C,'divisional &amp; regional caseload'!$T$71)</f>
        <v>0</v>
      </c>
      <c r="AG75" s="94">
        <f>SUMIFS('caseload data'!Q:Q,'caseload data'!$D:$D,"TPO",'caseload data'!$C:$C,'divisional &amp; regional caseload'!$T$71)</f>
        <v>0</v>
      </c>
      <c r="AH75" s="94">
        <f>SUMIFS('caseload data'!R:R,'caseload data'!$D:$D,"TPO",'caseload data'!$C:$C,'divisional &amp; regional caseload'!$T$71)</f>
        <v>0</v>
      </c>
      <c r="AI75" s="94">
        <f>SUMIFS('caseload data'!S:S,'caseload data'!$D:$D,"TPO",'caseload data'!$C:$C,'divisional &amp; regional caseload'!$T$71)</f>
        <v>0</v>
      </c>
      <c r="AJ75" s="94">
        <f>SUMIFS('caseload data'!T:T,'caseload data'!$D:$D,"TPO",'caseload data'!$C:$C,'divisional &amp; regional caseload'!$T$71)</f>
        <v>0</v>
      </c>
    </row>
    <row r="76" spans="2:36" x14ac:dyDescent="0.15">
      <c r="B76" s="98" t="s">
        <v>1009</v>
      </c>
      <c r="C76" s="94">
        <f>SUMIFS('caseload data'!E:E,'caseload data'!$D:$D,"SPO",'caseload data'!$C:$C,'divisional &amp; regional caseload'!$B$71)</f>
        <v>0</v>
      </c>
      <c r="D76" s="94">
        <f>SUMIFS('caseload data'!F:F,'caseload data'!$D:$D,"SPO",'caseload data'!$C:$C,'divisional &amp; regional caseload'!$B$71)</f>
        <v>0</v>
      </c>
      <c r="E76" s="94">
        <f>SUMIFS('caseload data'!G:G,'caseload data'!$D:$D,"SPO",'caseload data'!$C:$C,'divisional &amp; regional caseload'!$B$71)</f>
        <v>0</v>
      </c>
      <c r="F76" s="94">
        <f>SUMIFS('caseload data'!H:H,'caseload data'!$D:$D,"SPO",'caseload data'!$C:$C,'divisional &amp; regional caseload'!$B$71)</f>
        <v>0</v>
      </c>
      <c r="G76" s="94">
        <f>SUMIFS('caseload data'!I:I,'caseload data'!$D:$D,"SPO",'caseload data'!$C:$C,'divisional &amp; regional caseload'!$B$71)</f>
        <v>0</v>
      </c>
      <c r="H76" s="94">
        <f>SUMIFS('caseload data'!J:J,'caseload data'!$D:$D,"SPO",'caseload data'!$C:$C,'divisional &amp; regional caseload'!$B$71)</f>
        <v>0</v>
      </c>
      <c r="I76" s="94">
        <f>SUMIFS('caseload data'!K:K,'caseload data'!$D:$D,"SPO",'caseload data'!$C:$C,'divisional &amp; regional caseload'!$B$71)</f>
        <v>0</v>
      </c>
      <c r="J76" s="94">
        <f>SUMIFS('caseload data'!L:L,'caseload data'!$D:$D,"SPO",'caseload data'!$C:$C,'divisional &amp; regional caseload'!$B$71)</f>
        <v>0</v>
      </c>
      <c r="K76" s="94">
        <f>SUMIFS('caseload data'!M:M,'caseload data'!$D:$D,"SPO",'caseload data'!$C:$C,'divisional &amp; regional caseload'!$B$71)</f>
        <v>0</v>
      </c>
      <c r="L76" s="94">
        <f>SUMIFS('caseload data'!N:N,'caseload data'!$D:$D,"SPO",'caseload data'!$C:$C,'divisional &amp; regional caseload'!$B$71)</f>
        <v>0</v>
      </c>
      <c r="M76" s="94">
        <f>SUMIFS('caseload data'!O:O,'caseload data'!$D:$D,"SPO",'caseload data'!$C:$C,'divisional &amp; regional caseload'!$B$71)</f>
        <v>0</v>
      </c>
      <c r="N76" s="94">
        <f>SUMIFS('caseload data'!P:P,'caseload data'!$D:$D,"SPO",'caseload data'!$C:$C,'divisional &amp; regional caseload'!$B$71)</f>
        <v>0</v>
      </c>
      <c r="O76" s="94">
        <f>SUMIFS('caseload data'!Q:Q,'caseload data'!$D:$D,"SPO",'caseload data'!$C:$C,'divisional &amp; regional caseload'!$B$71)</f>
        <v>0</v>
      </c>
      <c r="P76" s="94">
        <f>SUMIFS('caseload data'!R:R,'caseload data'!$D:$D,"SPO",'caseload data'!$C:$C,'divisional &amp; regional caseload'!$B$71)</f>
        <v>0</v>
      </c>
      <c r="Q76" s="94">
        <f>SUMIFS('caseload data'!S:S,'caseload data'!$D:$D,"SPO",'caseload data'!$C:$C,'divisional &amp; regional caseload'!$B$71)</f>
        <v>0</v>
      </c>
      <c r="R76" s="94">
        <f>SUMIFS('caseload data'!T:T,'caseload data'!$D:$D,"SPO",'caseload data'!$C:$C,'divisional &amp; regional caseload'!$B$71)</f>
        <v>0</v>
      </c>
      <c r="T76" s="98" t="s">
        <v>1009</v>
      </c>
      <c r="U76" s="94">
        <f>SUMIFS('caseload data'!E:E,'caseload data'!$D:$D,"SPO",'caseload data'!$C:$C,'divisional &amp; regional caseload'!$T$71)</f>
        <v>0</v>
      </c>
      <c r="V76" s="94">
        <f>SUMIFS('caseload data'!F:F,'caseload data'!$D:$D,"SPO",'caseload data'!$C:$C,'divisional &amp; regional caseload'!$T$71)</f>
        <v>0</v>
      </c>
      <c r="W76" s="94">
        <f>SUMIFS('caseload data'!G:G,'caseload data'!$D:$D,"SPO",'caseload data'!$C:$C,'divisional &amp; regional caseload'!$T$71)</f>
        <v>0</v>
      </c>
      <c r="X76" s="94">
        <f>SUMIFS('caseload data'!H:H,'caseload data'!$D:$D,"SPO",'caseload data'!$C:$C,'divisional &amp; regional caseload'!$T$71)</f>
        <v>0</v>
      </c>
      <c r="Y76" s="94">
        <f>SUMIFS('caseload data'!I:I,'caseload data'!$D:$D,"SPO",'caseload data'!$C:$C,'divisional &amp; regional caseload'!$T$71)</f>
        <v>0</v>
      </c>
      <c r="Z76" s="94">
        <f>SUMIFS('caseload data'!J:J,'caseload data'!$D:$D,"SPO",'caseload data'!$C:$C,'divisional &amp; regional caseload'!$T$71)</f>
        <v>0</v>
      </c>
      <c r="AA76" s="94">
        <f>SUMIFS('caseload data'!K:K,'caseload data'!$D:$D,"SPO",'caseload data'!$C:$C,'divisional &amp; regional caseload'!$T$71)</f>
        <v>0</v>
      </c>
      <c r="AB76" s="94">
        <f>SUMIFS('caseload data'!L:L,'caseload data'!$D:$D,"SPO",'caseload data'!$C:$C,'divisional &amp; regional caseload'!$T$71)</f>
        <v>0</v>
      </c>
      <c r="AC76" s="94">
        <f>SUMIFS('caseload data'!M:M,'caseload data'!$D:$D,"SPO",'caseload data'!$C:$C,'divisional &amp; regional caseload'!$T$71)</f>
        <v>0</v>
      </c>
      <c r="AD76" s="94">
        <f>SUMIFS('caseload data'!N:N,'caseload data'!$D:$D,"SPO",'caseload data'!$C:$C,'divisional &amp; regional caseload'!$T$71)</f>
        <v>0</v>
      </c>
      <c r="AE76" s="94">
        <f>SUMIFS('caseload data'!O:O,'caseload data'!$D:$D,"SPO",'caseload data'!$C:$C,'divisional &amp; regional caseload'!$T$71)</f>
        <v>0</v>
      </c>
      <c r="AF76" s="94">
        <f>SUMIFS('caseload data'!P:P,'caseload data'!$D:$D,"SPO",'caseload data'!$C:$C,'divisional &amp; regional caseload'!$T$71)</f>
        <v>0</v>
      </c>
      <c r="AG76" s="94">
        <f>SUMIFS('caseload data'!Q:Q,'caseload data'!$D:$D,"SPO",'caseload data'!$C:$C,'divisional &amp; regional caseload'!$T$71)</f>
        <v>0</v>
      </c>
      <c r="AH76" s="94">
        <f>SUMIFS('caseload data'!R:R,'caseload data'!$D:$D,"SPO",'caseload data'!$C:$C,'divisional &amp; regional caseload'!$T$71)</f>
        <v>0</v>
      </c>
      <c r="AI76" s="94">
        <f>SUMIFS('caseload data'!S:S,'caseload data'!$D:$D,"SPO",'caseload data'!$C:$C,'divisional &amp; regional caseload'!$T$71)</f>
        <v>0</v>
      </c>
      <c r="AJ76" s="94">
        <f>SUMIFS('caseload data'!T:T,'caseload data'!$D:$D,"SPO",'caseload data'!$C:$C,'divisional &amp; regional caseload'!$T$71)</f>
        <v>0</v>
      </c>
    </row>
    <row r="78" spans="2:36" ht="30" customHeight="1" x14ac:dyDescent="0.15">
      <c r="B78" s="289">
        <f>HLOOKUP($B$5,Region_Table,22,0)</f>
        <v>0</v>
      </c>
      <c r="C78" s="507" t="s">
        <v>1097</v>
      </c>
      <c r="D78" s="508"/>
      <c r="E78" s="508"/>
      <c r="F78" s="508"/>
      <c r="G78" s="508"/>
      <c r="H78" s="508"/>
      <c r="I78" s="508"/>
      <c r="J78" s="508"/>
      <c r="K78" s="508"/>
      <c r="L78" s="508"/>
      <c r="M78" s="518"/>
      <c r="N78" s="518"/>
      <c r="O78" s="519"/>
      <c r="P78" s="510">
        <f>SUMIF('caseload data'!$C:$C,'divisional &amp; regional caseload'!B78,'caseload data'!V:V)</f>
        <v>0</v>
      </c>
      <c r="Q78" s="511"/>
      <c r="R78" s="512"/>
      <c r="T78" s="289">
        <f>HLOOKUP($B$5,Region_Table,23,0)</f>
        <v>0</v>
      </c>
      <c r="U78" s="507" t="s">
        <v>1097</v>
      </c>
      <c r="V78" s="508"/>
      <c r="W78" s="508"/>
      <c r="X78" s="508"/>
      <c r="Y78" s="508"/>
      <c r="Z78" s="508"/>
      <c r="AA78" s="508"/>
      <c r="AB78" s="508"/>
      <c r="AC78" s="508"/>
      <c r="AD78" s="508"/>
      <c r="AE78" s="508"/>
      <c r="AF78" s="508"/>
      <c r="AG78" s="509"/>
      <c r="AH78" s="510">
        <f>SUMIF('caseload data'!$C:$C,'divisional &amp; regional caseload'!T78,'caseload data'!V:V)</f>
        <v>0</v>
      </c>
      <c r="AI78" s="513"/>
      <c r="AJ78" s="514"/>
    </row>
    <row r="79" spans="2:36" x14ac:dyDescent="0.15">
      <c r="B79" s="95" t="s">
        <v>1005</v>
      </c>
      <c r="C79" s="38" t="s">
        <v>869</v>
      </c>
      <c r="D79" s="38" t="s">
        <v>870</v>
      </c>
      <c r="E79" s="38" t="s">
        <v>871</v>
      </c>
      <c r="F79" s="38" t="s">
        <v>872</v>
      </c>
      <c r="G79" s="38" t="s">
        <v>873</v>
      </c>
      <c r="H79" s="38" t="s">
        <v>874</v>
      </c>
      <c r="I79" s="38" t="s">
        <v>875</v>
      </c>
      <c r="J79" s="38" t="s">
        <v>876</v>
      </c>
      <c r="K79" s="38" t="s">
        <v>877</v>
      </c>
      <c r="L79" s="38" t="s">
        <v>878</v>
      </c>
      <c r="M79" s="38" t="s">
        <v>879</v>
      </c>
      <c r="N79" s="38" t="s">
        <v>880</v>
      </c>
      <c r="O79" s="38" t="s">
        <v>881</v>
      </c>
      <c r="P79" s="38" t="s">
        <v>882</v>
      </c>
      <c r="Q79" s="38" t="s">
        <v>883</v>
      </c>
      <c r="R79" s="38" t="s">
        <v>884</v>
      </c>
      <c r="T79" s="95" t="s">
        <v>1005</v>
      </c>
      <c r="U79" s="38" t="s">
        <v>869</v>
      </c>
      <c r="V79" s="38" t="s">
        <v>870</v>
      </c>
      <c r="W79" s="38" t="s">
        <v>871</v>
      </c>
      <c r="X79" s="38" t="s">
        <v>872</v>
      </c>
      <c r="Y79" s="38" t="s">
        <v>873</v>
      </c>
      <c r="Z79" s="38" t="s">
        <v>874</v>
      </c>
      <c r="AA79" s="38" t="s">
        <v>875</v>
      </c>
      <c r="AB79" s="38" t="s">
        <v>876</v>
      </c>
      <c r="AC79" s="38" t="s">
        <v>877</v>
      </c>
      <c r="AD79" s="38" t="s">
        <v>878</v>
      </c>
      <c r="AE79" s="38" t="s">
        <v>879</v>
      </c>
      <c r="AF79" s="38" t="s">
        <v>880</v>
      </c>
      <c r="AG79" s="38" t="s">
        <v>881</v>
      </c>
      <c r="AH79" s="38" t="s">
        <v>882</v>
      </c>
      <c r="AI79" s="38" t="s">
        <v>883</v>
      </c>
      <c r="AJ79" s="38" t="s">
        <v>884</v>
      </c>
    </row>
    <row r="80" spans="2:36" x14ac:dyDescent="0.15">
      <c r="B80" s="96" t="s">
        <v>1002</v>
      </c>
      <c r="C80" s="94">
        <f>SUMIFS('caseload data'!E:E,'caseload data'!$D:$D,"PO",'caseload data'!$C:$C,'divisional &amp; regional caseload'!$B$78)</f>
        <v>0</v>
      </c>
      <c r="D80" s="94">
        <f>SUMIFS('caseload data'!F:F,'caseload data'!$D:$D,"PO",'caseload data'!$C:$C,'divisional &amp; regional caseload'!$B$78)</f>
        <v>0</v>
      </c>
      <c r="E80" s="94">
        <f>SUMIFS('caseload data'!G:G,'caseload data'!$D:$D,"PO",'caseload data'!$C:$C,'divisional &amp; regional caseload'!$B$78)</f>
        <v>0</v>
      </c>
      <c r="F80" s="94">
        <f>SUMIFS('caseload data'!H:H,'caseload data'!$D:$D,"PO",'caseload data'!$C:$C,'divisional &amp; regional caseload'!$B$78)</f>
        <v>0</v>
      </c>
      <c r="G80" s="94">
        <f>SUMIFS('caseload data'!I:I,'caseload data'!$D:$D,"PO",'caseload data'!$C:$C,'divisional &amp; regional caseload'!$B$78)</f>
        <v>0</v>
      </c>
      <c r="H80" s="94">
        <f>SUMIFS('caseload data'!J:J,'caseload data'!$D:$D,"PO",'caseload data'!$C:$C,'divisional &amp; regional caseload'!$B$78)</f>
        <v>0</v>
      </c>
      <c r="I80" s="94">
        <f>SUMIFS('caseload data'!K:K,'caseload data'!$D:$D,"PO",'caseload data'!$C:$C,'divisional &amp; regional caseload'!$B$78)</f>
        <v>0</v>
      </c>
      <c r="J80" s="94">
        <f>SUMIFS('caseload data'!L:L,'caseload data'!$D:$D,"PO",'caseload data'!$C:$C,'divisional &amp; regional caseload'!$B$78)</f>
        <v>0</v>
      </c>
      <c r="K80" s="94">
        <f>SUMIFS('caseload data'!M:M,'caseload data'!$D:$D,"PO",'caseload data'!$C:$C,'divisional &amp; regional caseload'!$B$78)</f>
        <v>0</v>
      </c>
      <c r="L80" s="94">
        <f>SUMIFS('caseload data'!N:N,'caseload data'!$D:$D,"PO",'caseload data'!$C:$C,'divisional &amp; regional caseload'!$B$78)</f>
        <v>0</v>
      </c>
      <c r="M80" s="94">
        <f>SUMIFS('caseload data'!O:O,'caseload data'!$D:$D,"PO",'caseload data'!$C:$C,'divisional &amp; regional caseload'!$B$78)</f>
        <v>0</v>
      </c>
      <c r="N80" s="94">
        <f>SUMIFS('caseload data'!P:P,'caseload data'!$D:$D,"PO",'caseload data'!$C:$C,'divisional &amp; regional caseload'!$B$78)</f>
        <v>0</v>
      </c>
      <c r="O80" s="94">
        <f>SUMIFS('caseload data'!Q:Q,'caseload data'!$D:$D,"PO",'caseload data'!$C:$C,'divisional &amp; regional caseload'!$B$78)</f>
        <v>0</v>
      </c>
      <c r="P80" s="94">
        <f>SUMIFS('caseload data'!R:R,'caseload data'!$D:$D,"PO",'caseload data'!$C:$C,'divisional &amp; regional caseload'!$B$78)</f>
        <v>0</v>
      </c>
      <c r="Q80" s="94">
        <f>SUMIFS('caseload data'!S:S,'caseload data'!$D:$D,"PO",'caseload data'!$C:$C,'divisional &amp; regional caseload'!$B$78)</f>
        <v>0</v>
      </c>
      <c r="R80" s="94">
        <f>SUMIFS('caseload data'!T:T,'caseload data'!$D:$D,"PO",'caseload data'!$C:$C,'divisional &amp; regional caseload'!$B$78)</f>
        <v>0</v>
      </c>
      <c r="T80" s="96" t="s">
        <v>1002</v>
      </c>
      <c r="U80" s="94">
        <f>SUMIFS('caseload data'!E:E,'caseload data'!$D:$D,"PO",'caseload data'!$C:$C,'divisional &amp; regional caseload'!$T$64)</f>
        <v>0</v>
      </c>
      <c r="V80" s="94">
        <f>SUMIFS('caseload data'!F:F,'caseload data'!$D:$D,"PO",'caseload data'!$C:$C,'divisional &amp; regional caseload'!$T$64)</f>
        <v>0</v>
      </c>
      <c r="W80" s="94">
        <f>SUMIFS('caseload data'!G:G,'caseload data'!$D:$D,"PO",'caseload data'!$C:$C,'divisional &amp; regional caseload'!$T$64)</f>
        <v>0</v>
      </c>
      <c r="X80" s="94">
        <f>SUMIFS('caseload data'!H:H,'caseload data'!$D:$D,"PO",'caseload data'!$C:$C,'divisional &amp; regional caseload'!$T$64)</f>
        <v>0</v>
      </c>
      <c r="Y80" s="94">
        <f>SUMIFS('caseload data'!I:I,'caseload data'!$D:$D,"PO",'caseload data'!$C:$C,'divisional &amp; regional caseload'!$T$64)</f>
        <v>0</v>
      </c>
      <c r="Z80" s="94">
        <f>SUMIFS('caseload data'!J:J,'caseload data'!$D:$D,"PO",'caseload data'!$C:$C,'divisional &amp; regional caseload'!$T$64)</f>
        <v>0</v>
      </c>
      <c r="AA80" s="94">
        <f>SUMIFS('caseload data'!K:K,'caseload data'!$D:$D,"PO",'caseload data'!$C:$C,'divisional &amp; regional caseload'!$T$64)</f>
        <v>0</v>
      </c>
      <c r="AB80" s="94">
        <f>SUMIFS('caseload data'!L:L,'caseload data'!$D:$D,"PO",'caseload data'!$C:$C,'divisional &amp; regional caseload'!$T$64)</f>
        <v>0</v>
      </c>
      <c r="AC80" s="94">
        <f>SUMIFS('caseload data'!M:M,'caseload data'!$D:$D,"PO",'caseload data'!$C:$C,'divisional &amp; regional caseload'!$T$64)</f>
        <v>0</v>
      </c>
      <c r="AD80" s="94">
        <f>SUMIFS('caseload data'!N:N,'caseload data'!$D:$D,"PO",'caseload data'!$C:$C,'divisional &amp; regional caseload'!$T$64)</f>
        <v>0</v>
      </c>
      <c r="AE80" s="94">
        <f>SUMIFS('caseload data'!O:O,'caseload data'!$D:$D,"PO",'caseload data'!$C:$C,'divisional &amp; regional caseload'!$T$64)</f>
        <v>0</v>
      </c>
      <c r="AF80" s="94">
        <f>SUMIFS('caseload data'!P:P,'caseload data'!$D:$D,"PO",'caseload data'!$C:$C,'divisional &amp; regional caseload'!$T$64)</f>
        <v>0</v>
      </c>
      <c r="AG80" s="94">
        <f>SUMIFS('caseload data'!Q:Q,'caseload data'!$D:$D,"PO",'caseload data'!$C:$C,'divisional &amp; regional caseload'!$T$64)</f>
        <v>0</v>
      </c>
      <c r="AH80" s="94">
        <f>SUMIFS('caseload data'!R:R,'caseload data'!$D:$D,"PO",'caseload data'!$C:$C,'divisional &amp; regional caseload'!$T$64)</f>
        <v>0</v>
      </c>
      <c r="AI80" s="94">
        <f>SUMIFS('caseload data'!S:S,'caseload data'!$D:$D,"PO",'caseload data'!$C:$C,'divisional &amp; regional caseload'!$T$64)</f>
        <v>0</v>
      </c>
      <c r="AJ80" s="94">
        <f>SUMIFS('caseload data'!T:T,'caseload data'!$D:$D,"PO",'caseload data'!$C:$C,'divisional &amp; regional caseload'!$T$64)</f>
        <v>0</v>
      </c>
    </row>
    <row r="81" spans="2:36" x14ac:dyDescent="0.15">
      <c r="B81" s="97" t="s">
        <v>1007</v>
      </c>
      <c r="C81" s="94">
        <f>SUMIFS('caseload data'!E:E,'caseload data'!$D:$D,"PSO",'caseload data'!$C:$C,'divisional &amp; regional caseload'!$B$78)</f>
        <v>0</v>
      </c>
      <c r="D81" s="94">
        <f>SUMIFS('caseload data'!F:F,'caseload data'!$D:$D,"PSO",'caseload data'!$C:$C,'divisional &amp; regional caseload'!$B$78)</f>
        <v>0</v>
      </c>
      <c r="E81" s="94">
        <f>SUMIFS('caseload data'!G:G,'caseload data'!$D:$D,"PSO",'caseload data'!$C:$C,'divisional &amp; regional caseload'!$B$78)</f>
        <v>0</v>
      </c>
      <c r="F81" s="94">
        <f>SUMIFS('caseload data'!H:H,'caseload data'!$D:$D,"PSO",'caseload data'!$C:$C,'divisional &amp; regional caseload'!$B$78)</f>
        <v>0</v>
      </c>
      <c r="G81" s="94">
        <f>SUMIFS('caseload data'!I:I,'caseload data'!$D:$D,"PSO",'caseload data'!$C:$C,'divisional &amp; regional caseload'!$B$78)</f>
        <v>0</v>
      </c>
      <c r="H81" s="94">
        <f>SUMIFS('caseload data'!J:J,'caseload data'!$D:$D,"PSO",'caseload data'!$C:$C,'divisional &amp; regional caseload'!$B$78)</f>
        <v>0</v>
      </c>
      <c r="I81" s="94">
        <f>SUMIFS('caseload data'!K:K,'caseload data'!$D:$D,"PSO",'caseload data'!$C:$C,'divisional &amp; regional caseload'!$B$78)</f>
        <v>0</v>
      </c>
      <c r="J81" s="94">
        <f>SUMIFS('caseload data'!L:L,'caseload data'!$D:$D,"PSO",'caseload data'!$C:$C,'divisional &amp; regional caseload'!$B$78)</f>
        <v>0</v>
      </c>
      <c r="K81" s="94">
        <f>SUMIFS('caseload data'!M:M,'caseload data'!$D:$D,"PSO",'caseload data'!$C:$C,'divisional &amp; regional caseload'!$B$78)</f>
        <v>0</v>
      </c>
      <c r="L81" s="94">
        <f>SUMIFS('caseload data'!N:N,'caseload data'!$D:$D,"PSO",'caseload data'!$C:$C,'divisional &amp; regional caseload'!$B$78)</f>
        <v>0</v>
      </c>
      <c r="M81" s="94">
        <f>SUMIFS('caseload data'!O:O,'caseload data'!$D:$D,"PSO",'caseload data'!$C:$C,'divisional &amp; regional caseload'!$B$78)</f>
        <v>0</v>
      </c>
      <c r="N81" s="94">
        <f>SUMIFS('caseload data'!P:P,'caseload data'!$D:$D,"PSO",'caseload data'!$C:$C,'divisional &amp; regional caseload'!$B$78)</f>
        <v>0</v>
      </c>
      <c r="O81" s="94">
        <f>SUMIFS('caseload data'!Q:Q,'caseload data'!$D:$D,"PSO",'caseload data'!$C:$C,'divisional &amp; regional caseload'!$B$78)</f>
        <v>0</v>
      </c>
      <c r="P81" s="94">
        <f>SUMIFS('caseload data'!R:R,'caseload data'!$D:$D,"PSO",'caseload data'!$C:$C,'divisional &amp; regional caseload'!$B$78)</f>
        <v>0</v>
      </c>
      <c r="Q81" s="94">
        <f>SUMIFS('caseload data'!S:S,'caseload data'!$D:$D,"PSO",'caseload data'!$C:$C,'divisional &amp; regional caseload'!$B$78)</f>
        <v>0</v>
      </c>
      <c r="R81" s="94">
        <f>SUMIFS('caseload data'!T:T,'caseload data'!$D:$D,"PSO",'caseload data'!$C:$C,'divisional &amp; regional caseload'!$B$78)</f>
        <v>0</v>
      </c>
      <c r="T81" s="97" t="s">
        <v>1007</v>
      </c>
      <c r="U81" s="94">
        <f>SUMIFS('caseload data'!E:E,'caseload data'!$D:$D,"PSO",'caseload data'!$C:$C,'divisional &amp; regional caseload'!$T$64)</f>
        <v>0</v>
      </c>
      <c r="V81" s="94">
        <f>SUMIFS('caseload data'!F:F,'caseload data'!$D:$D,"PSO",'caseload data'!$C:$C,'divisional &amp; regional caseload'!$T$64)</f>
        <v>0</v>
      </c>
      <c r="W81" s="94">
        <f>SUMIFS('caseload data'!G:G,'caseload data'!$D:$D,"PSO",'caseload data'!$C:$C,'divisional &amp; regional caseload'!$T$64)</f>
        <v>0</v>
      </c>
      <c r="X81" s="94">
        <f>SUMIFS('caseload data'!H:H,'caseload data'!$D:$D,"PSO",'caseload data'!$C:$C,'divisional &amp; regional caseload'!$T$64)</f>
        <v>0</v>
      </c>
      <c r="Y81" s="94">
        <f>SUMIFS('caseload data'!I:I,'caseload data'!$D:$D,"PSO",'caseload data'!$C:$C,'divisional &amp; regional caseload'!$T$64)</f>
        <v>0</v>
      </c>
      <c r="Z81" s="94">
        <f>SUMIFS('caseload data'!J:J,'caseload data'!$D:$D,"PSO",'caseload data'!$C:$C,'divisional &amp; regional caseload'!$T$64)</f>
        <v>0</v>
      </c>
      <c r="AA81" s="94">
        <f>SUMIFS('caseload data'!K:K,'caseload data'!$D:$D,"PSO",'caseload data'!$C:$C,'divisional &amp; regional caseload'!$T$64)</f>
        <v>0</v>
      </c>
      <c r="AB81" s="94">
        <f>SUMIFS('caseload data'!L:L,'caseload data'!$D:$D,"PSO",'caseload data'!$C:$C,'divisional &amp; regional caseload'!$T$64)</f>
        <v>0</v>
      </c>
      <c r="AC81" s="94">
        <f>SUMIFS('caseload data'!M:M,'caseload data'!$D:$D,"PSO",'caseload data'!$C:$C,'divisional &amp; regional caseload'!$T$64)</f>
        <v>0</v>
      </c>
      <c r="AD81" s="94">
        <f>SUMIFS('caseload data'!N:N,'caseload data'!$D:$D,"PSO",'caseload data'!$C:$C,'divisional &amp; regional caseload'!$T$64)</f>
        <v>0</v>
      </c>
      <c r="AE81" s="94">
        <f>SUMIFS('caseload data'!O:O,'caseload data'!$D:$D,"PSO",'caseload data'!$C:$C,'divisional &amp; regional caseload'!$T$64)</f>
        <v>0</v>
      </c>
      <c r="AF81" s="94">
        <f>SUMIFS('caseload data'!P:P,'caseload data'!$D:$D,"PSO",'caseload data'!$C:$C,'divisional &amp; regional caseload'!$T$64)</f>
        <v>0</v>
      </c>
      <c r="AG81" s="94">
        <f>SUMIFS('caseload data'!Q:Q,'caseload data'!$D:$D,"PSO",'caseload data'!$C:$C,'divisional &amp; regional caseload'!$T$64)</f>
        <v>0</v>
      </c>
      <c r="AH81" s="94">
        <f>SUMIFS('caseload data'!R:R,'caseload data'!$D:$D,"PSO",'caseload data'!$C:$C,'divisional &amp; regional caseload'!$T$64)</f>
        <v>0</v>
      </c>
      <c r="AI81" s="94">
        <f>SUMIFS('caseload data'!S:S,'caseload data'!$D:$D,"PSO",'caseload data'!$C:$C,'divisional &amp; regional caseload'!$T$64)</f>
        <v>0</v>
      </c>
      <c r="AJ81" s="94">
        <f>SUMIFS('caseload data'!T:T,'caseload data'!$D:$D,"PSO",'caseload data'!$C:$C,'divisional &amp; regional caseload'!$T$64)</f>
        <v>0</v>
      </c>
    </row>
    <row r="82" spans="2:36" x14ac:dyDescent="0.15">
      <c r="B82" s="97" t="s">
        <v>1008</v>
      </c>
      <c r="C82" s="94">
        <f>SUMIFS('caseload data'!E:E,'caseload data'!$D:$D,"TPO",'caseload data'!$C:$C,'divisional &amp; regional caseload'!$B$78)</f>
        <v>0</v>
      </c>
      <c r="D82" s="94">
        <f>SUMIFS('caseload data'!F:F,'caseload data'!$D:$D,"TPO",'caseload data'!$C:$C,'divisional &amp; regional caseload'!$B$78)</f>
        <v>0</v>
      </c>
      <c r="E82" s="94">
        <f>SUMIFS('caseload data'!G:G,'caseload data'!$D:$D,"TPO",'caseload data'!$C:$C,'divisional &amp; regional caseload'!$B$78)</f>
        <v>0</v>
      </c>
      <c r="F82" s="94">
        <f>SUMIFS('caseload data'!H:H,'caseload data'!$D:$D,"TPO",'caseload data'!$C:$C,'divisional &amp; regional caseload'!$B$78)</f>
        <v>0</v>
      </c>
      <c r="G82" s="94">
        <f>SUMIFS('caseload data'!I:I,'caseload data'!$D:$D,"TPO",'caseload data'!$C:$C,'divisional &amp; regional caseload'!$B$78)</f>
        <v>0</v>
      </c>
      <c r="H82" s="94">
        <f>SUMIFS('caseload data'!J:J,'caseload data'!$D:$D,"TPO",'caseload data'!$C:$C,'divisional &amp; regional caseload'!$B$78)</f>
        <v>0</v>
      </c>
      <c r="I82" s="94">
        <f>SUMIFS('caseload data'!K:K,'caseload data'!$D:$D,"TPO",'caseload data'!$C:$C,'divisional &amp; regional caseload'!$B$78)</f>
        <v>0</v>
      </c>
      <c r="J82" s="94">
        <f>SUMIFS('caseload data'!L:L,'caseload data'!$D:$D,"TPO",'caseload data'!$C:$C,'divisional &amp; regional caseload'!$B$78)</f>
        <v>0</v>
      </c>
      <c r="K82" s="94">
        <f>SUMIFS('caseload data'!M:M,'caseload data'!$D:$D,"TPO",'caseload data'!$C:$C,'divisional &amp; regional caseload'!$B$78)</f>
        <v>0</v>
      </c>
      <c r="L82" s="94">
        <f>SUMIFS('caseload data'!N:N,'caseload data'!$D:$D,"TPO",'caseload data'!$C:$C,'divisional &amp; regional caseload'!$B$78)</f>
        <v>0</v>
      </c>
      <c r="M82" s="94">
        <f>SUMIFS('caseload data'!O:O,'caseload data'!$D:$D,"TPO",'caseload data'!$C:$C,'divisional &amp; regional caseload'!$B$78)</f>
        <v>0</v>
      </c>
      <c r="N82" s="94">
        <f>SUMIFS('caseload data'!P:P,'caseload data'!$D:$D,"TPO",'caseload data'!$C:$C,'divisional &amp; regional caseload'!$B$78)</f>
        <v>0</v>
      </c>
      <c r="O82" s="94">
        <f>SUMIFS('caseload data'!Q:Q,'caseload data'!$D:$D,"TPO",'caseload data'!$C:$C,'divisional &amp; regional caseload'!$B$78)</f>
        <v>0</v>
      </c>
      <c r="P82" s="94">
        <f>SUMIFS('caseload data'!R:R,'caseload data'!$D:$D,"TPO",'caseload data'!$C:$C,'divisional &amp; regional caseload'!$B$78)</f>
        <v>0</v>
      </c>
      <c r="Q82" s="94">
        <f>SUMIFS('caseload data'!S:S,'caseload data'!$D:$D,"TPO",'caseload data'!$C:$C,'divisional &amp; regional caseload'!$B$78)</f>
        <v>0</v>
      </c>
      <c r="R82" s="94">
        <f>SUMIFS('caseload data'!T:T,'caseload data'!$D:$D,"TPO",'caseload data'!$C:$C,'divisional &amp; regional caseload'!$B$78)</f>
        <v>0</v>
      </c>
      <c r="T82" s="97" t="s">
        <v>1008</v>
      </c>
      <c r="U82" s="94">
        <f>SUMIFS('caseload data'!E:E,'caseload data'!$D:$D,"TPO",'caseload data'!$C:$C,'divisional &amp; regional caseload'!$T$64)</f>
        <v>0</v>
      </c>
      <c r="V82" s="94">
        <f>SUMIFS('caseload data'!F:F,'caseload data'!$D:$D,"TPO",'caseload data'!$C:$C,'divisional &amp; regional caseload'!$T$64)</f>
        <v>0</v>
      </c>
      <c r="W82" s="94">
        <f>SUMIFS('caseload data'!G:G,'caseload data'!$D:$D,"TPO",'caseload data'!$C:$C,'divisional &amp; regional caseload'!$T$64)</f>
        <v>0</v>
      </c>
      <c r="X82" s="94">
        <f>SUMIFS('caseload data'!H:H,'caseload data'!$D:$D,"TPO",'caseload data'!$C:$C,'divisional &amp; regional caseload'!$T$64)</f>
        <v>0</v>
      </c>
      <c r="Y82" s="94">
        <f>SUMIFS('caseload data'!I:I,'caseload data'!$D:$D,"TPO",'caseload data'!$C:$C,'divisional &amp; regional caseload'!$T$64)</f>
        <v>0</v>
      </c>
      <c r="Z82" s="94">
        <f>SUMIFS('caseload data'!J:J,'caseload data'!$D:$D,"TPO",'caseload data'!$C:$C,'divisional &amp; regional caseload'!$T$64)</f>
        <v>0</v>
      </c>
      <c r="AA82" s="94">
        <f>SUMIFS('caseload data'!K:K,'caseload data'!$D:$D,"TPO",'caseload data'!$C:$C,'divisional &amp; regional caseload'!$T$64)</f>
        <v>0</v>
      </c>
      <c r="AB82" s="94">
        <f>SUMIFS('caseload data'!L:L,'caseload data'!$D:$D,"TPO",'caseload data'!$C:$C,'divisional &amp; regional caseload'!$T$64)</f>
        <v>0</v>
      </c>
      <c r="AC82" s="94">
        <f>SUMIFS('caseload data'!M:M,'caseload data'!$D:$D,"TPO",'caseload data'!$C:$C,'divisional &amp; regional caseload'!$T$64)</f>
        <v>0</v>
      </c>
      <c r="AD82" s="94">
        <f>SUMIFS('caseload data'!N:N,'caseload data'!$D:$D,"TPO",'caseload data'!$C:$C,'divisional &amp; regional caseload'!$T$64)</f>
        <v>0</v>
      </c>
      <c r="AE82" s="94">
        <f>SUMIFS('caseload data'!O:O,'caseload data'!$D:$D,"TPO",'caseload data'!$C:$C,'divisional &amp; regional caseload'!$T$64)</f>
        <v>0</v>
      </c>
      <c r="AF82" s="94">
        <f>SUMIFS('caseload data'!P:P,'caseload data'!$D:$D,"TPO",'caseload data'!$C:$C,'divisional &amp; regional caseload'!$T$64)</f>
        <v>0</v>
      </c>
      <c r="AG82" s="94">
        <f>SUMIFS('caseload data'!Q:Q,'caseload data'!$D:$D,"TPO",'caseload data'!$C:$C,'divisional &amp; regional caseload'!$T$64)</f>
        <v>0</v>
      </c>
      <c r="AH82" s="94">
        <f>SUMIFS('caseload data'!R:R,'caseload data'!$D:$D,"TPO",'caseload data'!$C:$C,'divisional &amp; regional caseload'!$T$64)</f>
        <v>0</v>
      </c>
      <c r="AI82" s="94">
        <f>SUMIFS('caseload data'!S:S,'caseload data'!$D:$D,"TPO",'caseload data'!$C:$C,'divisional &amp; regional caseload'!$T$64)</f>
        <v>0</v>
      </c>
      <c r="AJ82" s="94">
        <f>SUMIFS('caseload data'!T:T,'caseload data'!$D:$D,"TPO",'caseload data'!$C:$C,'divisional &amp; regional caseload'!$T$64)</f>
        <v>0</v>
      </c>
    </row>
    <row r="83" spans="2:36" x14ac:dyDescent="0.15">
      <c r="B83" s="98" t="s">
        <v>1009</v>
      </c>
      <c r="C83" s="94">
        <f>SUMIFS('caseload data'!E:E,'caseload data'!$D:$D,"SPO",'caseload data'!$C:$C,'divisional &amp; regional caseload'!$B$78)</f>
        <v>0</v>
      </c>
      <c r="D83" s="94">
        <f>SUMIFS('caseload data'!F:F,'caseload data'!$D:$D,"SPO",'caseload data'!$C:$C,'divisional &amp; regional caseload'!$B$78)</f>
        <v>0</v>
      </c>
      <c r="E83" s="94">
        <f>SUMIFS('caseload data'!G:G,'caseload data'!$D:$D,"SPO",'caseload data'!$C:$C,'divisional &amp; regional caseload'!$B$78)</f>
        <v>0</v>
      </c>
      <c r="F83" s="94">
        <f>SUMIFS('caseload data'!H:H,'caseload data'!$D:$D,"SPO",'caseload data'!$C:$C,'divisional &amp; regional caseload'!$B$78)</f>
        <v>0</v>
      </c>
      <c r="G83" s="94">
        <f>SUMIFS('caseload data'!I:I,'caseload data'!$D:$D,"SPO",'caseload data'!$C:$C,'divisional &amp; regional caseload'!$B$78)</f>
        <v>0</v>
      </c>
      <c r="H83" s="94">
        <f>SUMIFS('caseload data'!J:J,'caseload data'!$D:$D,"SPO",'caseload data'!$C:$C,'divisional &amp; regional caseload'!$B$78)</f>
        <v>0</v>
      </c>
      <c r="I83" s="94">
        <f>SUMIFS('caseload data'!K:K,'caseload data'!$D:$D,"SPO",'caseload data'!$C:$C,'divisional &amp; regional caseload'!$B$78)</f>
        <v>0</v>
      </c>
      <c r="J83" s="94">
        <f>SUMIFS('caseload data'!L:L,'caseload data'!$D:$D,"SPO",'caseload data'!$C:$C,'divisional &amp; regional caseload'!$B$78)</f>
        <v>0</v>
      </c>
      <c r="K83" s="94">
        <f>SUMIFS('caseload data'!M:M,'caseload data'!$D:$D,"SPO",'caseload data'!$C:$C,'divisional &amp; regional caseload'!$B$78)</f>
        <v>0</v>
      </c>
      <c r="L83" s="94">
        <f>SUMIFS('caseload data'!N:N,'caseload data'!$D:$D,"SPO",'caseload data'!$C:$C,'divisional &amp; regional caseload'!$B$78)</f>
        <v>0</v>
      </c>
      <c r="M83" s="94">
        <f>SUMIFS('caseload data'!O:O,'caseload data'!$D:$D,"SPO",'caseload data'!$C:$C,'divisional &amp; regional caseload'!$B$78)</f>
        <v>0</v>
      </c>
      <c r="N83" s="94">
        <f>SUMIFS('caseload data'!P:P,'caseload data'!$D:$D,"SPO",'caseload data'!$C:$C,'divisional &amp; regional caseload'!$B$78)</f>
        <v>0</v>
      </c>
      <c r="O83" s="94">
        <f>SUMIFS('caseload data'!Q:Q,'caseload data'!$D:$D,"SPO",'caseload data'!$C:$C,'divisional &amp; regional caseload'!$B$78)</f>
        <v>0</v>
      </c>
      <c r="P83" s="94">
        <f>SUMIFS('caseload data'!R:R,'caseload data'!$D:$D,"SPO",'caseload data'!$C:$C,'divisional &amp; regional caseload'!$B$78)</f>
        <v>0</v>
      </c>
      <c r="Q83" s="94">
        <f>SUMIFS('caseload data'!S:S,'caseload data'!$D:$D,"SPO",'caseload data'!$C:$C,'divisional &amp; regional caseload'!$B$78)</f>
        <v>0</v>
      </c>
      <c r="R83" s="94">
        <f>SUMIFS('caseload data'!T:T,'caseload data'!$D:$D,"SPO",'caseload data'!$C:$C,'divisional &amp; regional caseload'!$B$78)</f>
        <v>0</v>
      </c>
      <c r="T83" s="98" t="s">
        <v>1009</v>
      </c>
      <c r="U83" s="94">
        <f>SUMIFS('caseload data'!E:E,'caseload data'!$D:$D,"SPO",'caseload data'!$C:$C,'divisional &amp; regional caseload'!$T$64)</f>
        <v>0</v>
      </c>
      <c r="V83" s="94">
        <f>SUMIFS('caseload data'!F:F,'caseload data'!$D:$D,"SPO",'caseload data'!$C:$C,'divisional &amp; regional caseload'!$T$64)</f>
        <v>0</v>
      </c>
      <c r="W83" s="94">
        <f>SUMIFS('caseload data'!G:G,'caseload data'!$D:$D,"SPO",'caseload data'!$C:$C,'divisional &amp; regional caseload'!$T$64)</f>
        <v>0</v>
      </c>
      <c r="X83" s="94">
        <f>SUMIFS('caseload data'!H:H,'caseload data'!$D:$D,"SPO",'caseload data'!$C:$C,'divisional &amp; regional caseload'!$T$64)</f>
        <v>0</v>
      </c>
      <c r="Y83" s="94">
        <f>SUMIFS('caseload data'!I:I,'caseload data'!$D:$D,"SPO",'caseload data'!$C:$C,'divisional &amp; regional caseload'!$T$64)</f>
        <v>0</v>
      </c>
      <c r="Z83" s="94">
        <f>SUMIFS('caseload data'!J:J,'caseload data'!$D:$D,"SPO",'caseload data'!$C:$C,'divisional &amp; regional caseload'!$T$64)</f>
        <v>0</v>
      </c>
      <c r="AA83" s="94">
        <f>SUMIFS('caseload data'!K:K,'caseload data'!$D:$D,"SPO",'caseload data'!$C:$C,'divisional &amp; regional caseload'!$T$64)</f>
        <v>0</v>
      </c>
      <c r="AB83" s="94">
        <f>SUMIFS('caseload data'!L:L,'caseload data'!$D:$D,"SPO",'caseload data'!$C:$C,'divisional &amp; regional caseload'!$T$64)</f>
        <v>0</v>
      </c>
      <c r="AC83" s="94">
        <f>SUMIFS('caseload data'!M:M,'caseload data'!$D:$D,"SPO",'caseload data'!$C:$C,'divisional &amp; regional caseload'!$T$64)</f>
        <v>0</v>
      </c>
      <c r="AD83" s="94">
        <f>SUMIFS('caseload data'!N:N,'caseload data'!$D:$D,"SPO",'caseload data'!$C:$C,'divisional &amp; regional caseload'!$T$64)</f>
        <v>0</v>
      </c>
      <c r="AE83" s="94">
        <f>SUMIFS('caseload data'!O:O,'caseload data'!$D:$D,"SPO",'caseload data'!$C:$C,'divisional &amp; regional caseload'!$T$64)</f>
        <v>0</v>
      </c>
      <c r="AF83" s="94">
        <f>SUMIFS('caseload data'!P:P,'caseload data'!$D:$D,"SPO",'caseload data'!$C:$C,'divisional &amp; regional caseload'!$T$64)</f>
        <v>0</v>
      </c>
      <c r="AG83" s="94">
        <f>SUMIFS('caseload data'!Q:Q,'caseload data'!$D:$D,"SPO",'caseload data'!$C:$C,'divisional &amp; regional caseload'!$T$64)</f>
        <v>0</v>
      </c>
      <c r="AH83" s="94">
        <f>SUMIFS('caseload data'!R:R,'caseload data'!$D:$D,"SPO",'caseload data'!$C:$C,'divisional &amp; regional caseload'!$T$64)</f>
        <v>0</v>
      </c>
      <c r="AI83" s="94">
        <f>SUMIFS('caseload data'!S:S,'caseload data'!$D:$D,"SPO",'caseload data'!$C:$C,'divisional &amp; regional caseload'!$T$64)</f>
        <v>0</v>
      </c>
      <c r="AJ83" s="94">
        <f>SUMIFS('caseload data'!T:T,'caseload data'!$D:$D,"SPO",'caseload data'!$C:$C,'divisional &amp; regional caseload'!$T$64)</f>
        <v>0</v>
      </c>
    </row>
    <row r="85" spans="2:36" ht="40.5" customHeight="1" x14ac:dyDescent="0.15">
      <c r="B85" s="289">
        <f>HLOOKUP($B$5,Region_Table,24,0)</f>
        <v>0</v>
      </c>
      <c r="C85" s="507" t="s">
        <v>1097</v>
      </c>
      <c r="D85" s="508"/>
      <c r="E85" s="508"/>
      <c r="F85" s="508"/>
      <c r="G85" s="508"/>
      <c r="H85" s="508"/>
      <c r="I85" s="508"/>
      <c r="J85" s="508"/>
      <c r="K85" s="508"/>
      <c r="L85" s="508"/>
      <c r="M85" s="518"/>
      <c r="N85" s="518"/>
      <c r="O85" s="519"/>
      <c r="P85" s="510">
        <f>SUMIF('caseload data'!$C:$C,'divisional &amp; regional caseload'!B85,'caseload data'!V:V)</f>
        <v>0</v>
      </c>
      <c r="Q85" s="511"/>
      <c r="R85" s="512"/>
      <c r="T85" s="289">
        <f>HLOOKUP($B$5,Region_Table,25,0)</f>
        <v>0</v>
      </c>
      <c r="U85" s="507" t="s">
        <v>1097</v>
      </c>
      <c r="V85" s="508"/>
      <c r="W85" s="508"/>
      <c r="X85" s="508"/>
      <c r="Y85" s="508"/>
      <c r="Z85" s="508"/>
      <c r="AA85" s="508"/>
      <c r="AB85" s="508"/>
      <c r="AC85" s="508"/>
      <c r="AD85" s="508"/>
      <c r="AE85" s="508"/>
      <c r="AF85" s="508"/>
      <c r="AG85" s="509"/>
      <c r="AH85" s="510">
        <f>SUMIF('caseload data'!$C:$C,'divisional &amp; regional caseload'!T85,'caseload data'!V:V)</f>
        <v>0</v>
      </c>
      <c r="AI85" s="513"/>
      <c r="AJ85" s="514"/>
    </row>
    <row r="86" spans="2:36" x14ac:dyDescent="0.15">
      <c r="B86" s="95" t="s">
        <v>1005</v>
      </c>
      <c r="C86" s="38" t="s">
        <v>869</v>
      </c>
      <c r="D86" s="38" t="s">
        <v>870</v>
      </c>
      <c r="E86" s="38" t="s">
        <v>871</v>
      </c>
      <c r="F86" s="38" t="s">
        <v>872</v>
      </c>
      <c r="G86" s="38" t="s">
        <v>873</v>
      </c>
      <c r="H86" s="38" t="s">
        <v>874</v>
      </c>
      <c r="I86" s="38" t="s">
        <v>875</v>
      </c>
      <c r="J86" s="38" t="s">
        <v>876</v>
      </c>
      <c r="K86" s="38" t="s">
        <v>877</v>
      </c>
      <c r="L86" s="38" t="s">
        <v>878</v>
      </c>
      <c r="M86" s="38" t="s">
        <v>879</v>
      </c>
      <c r="N86" s="38" t="s">
        <v>880</v>
      </c>
      <c r="O86" s="38" t="s">
        <v>881</v>
      </c>
      <c r="P86" s="38" t="s">
        <v>882</v>
      </c>
      <c r="Q86" s="38" t="s">
        <v>883</v>
      </c>
      <c r="R86" s="38" t="s">
        <v>884</v>
      </c>
      <c r="T86" s="95" t="s">
        <v>1005</v>
      </c>
      <c r="U86" s="38" t="s">
        <v>869</v>
      </c>
      <c r="V86" s="38" t="s">
        <v>870</v>
      </c>
      <c r="W86" s="38" t="s">
        <v>871</v>
      </c>
      <c r="X86" s="38" t="s">
        <v>872</v>
      </c>
      <c r="Y86" s="38" t="s">
        <v>873</v>
      </c>
      <c r="Z86" s="38" t="s">
        <v>874</v>
      </c>
      <c r="AA86" s="38" t="s">
        <v>875</v>
      </c>
      <c r="AB86" s="38" t="s">
        <v>876</v>
      </c>
      <c r="AC86" s="38" t="s">
        <v>877</v>
      </c>
      <c r="AD86" s="38" t="s">
        <v>878</v>
      </c>
      <c r="AE86" s="38" t="s">
        <v>879</v>
      </c>
      <c r="AF86" s="38" t="s">
        <v>880</v>
      </c>
      <c r="AG86" s="38" t="s">
        <v>881</v>
      </c>
      <c r="AH86" s="38" t="s">
        <v>882</v>
      </c>
      <c r="AI86" s="38" t="s">
        <v>883</v>
      </c>
      <c r="AJ86" s="38" t="s">
        <v>884</v>
      </c>
    </row>
    <row r="87" spans="2:36" x14ac:dyDescent="0.15">
      <c r="B87" s="96" t="s">
        <v>1002</v>
      </c>
      <c r="C87" s="94">
        <f>SUMIFS('caseload data'!E:E,'caseload data'!$D:$D,"PO",'caseload data'!$C:$C,'divisional &amp; regional caseload'!$B$85)</f>
        <v>0</v>
      </c>
      <c r="D87" s="94">
        <f>SUMIFS('caseload data'!F:F,'caseload data'!$D:$D,"PO",'caseload data'!$C:$C,'divisional &amp; regional caseload'!$B$85)</f>
        <v>0</v>
      </c>
      <c r="E87" s="94">
        <f>SUMIFS('caseload data'!G:G,'caseload data'!$D:$D,"PO",'caseload data'!$C:$C,'divisional &amp; regional caseload'!$B$85)</f>
        <v>0</v>
      </c>
      <c r="F87" s="94">
        <f>SUMIFS('caseload data'!H:H,'caseload data'!$D:$D,"PO",'caseload data'!$C:$C,'divisional &amp; regional caseload'!$B$85)</f>
        <v>0</v>
      </c>
      <c r="G87" s="94">
        <f>SUMIFS('caseload data'!I:I,'caseload data'!$D:$D,"PO",'caseload data'!$C:$C,'divisional &amp; regional caseload'!$B$85)</f>
        <v>0</v>
      </c>
      <c r="H87" s="94">
        <f>SUMIFS('caseload data'!J:J,'caseload data'!$D:$D,"PO",'caseload data'!$C:$C,'divisional &amp; regional caseload'!$B$85)</f>
        <v>0</v>
      </c>
      <c r="I87" s="94">
        <f>SUMIFS('caseload data'!K:K,'caseload data'!$D:$D,"PO",'caseload data'!$C:$C,'divisional &amp; regional caseload'!$B$85)</f>
        <v>0</v>
      </c>
      <c r="J87" s="94">
        <f>SUMIFS('caseload data'!L:L,'caseload data'!$D:$D,"PO",'caseload data'!$C:$C,'divisional &amp; regional caseload'!$B$85)</f>
        <v>0</v>
      </c>
      <c r="K87" s="94">
        <f>SUMIFS('caseload data'!M:M,'caseload data'!$D:$D,"PO",'caseload data'!$C:$C,'divisional &amp; regional caseload'!$B$85)</f>
        <v>0</v>
      </c>
      <c r="L87" s="94">
        <f>SUMIFS('caseload data'!N:N,'caseload data'!$D:$D,"PO",'caseload data'!$C:$C,'divisional &amp; regional caseload'!$B$85)</f>
        <v>0</v>
      </c>
      <c r="M87" s="94">
        <f>SUMIFS('caseload data'!O:O,'caseload data'!$D:$D,"PO",'caseload data'!$C:$C,'divisional &amp; regional caseload'!$B$85)</f>
        <v>0</v>
      </c>
      <c r="N87" s="94">
        <f>SUMIFS('caseload data'!P:P,'caseload data'!$D:$D,"PO",'caseload data'!$C:$C,'divisional &amp; regional caseload'!$B$85)</f>
        <v>0</v>
      </c>
      <c r="O87" s="94">
        <f>SUMIFS('caseload data'!Q:Q,'caseload data'!$D:$D,"PO",'caseload data'!$C:$C,'divisional &amp; regional caseload'!$B$85)</f>
        <v>0</v>
      </c>
      <c r="P87" s="94">
        <f>SUMIFS('caseload data'!R:R,'caseload data'!$D:$D,"PO",'caseload data'!$C:$C,'divisional &amp; regional caseload'!$B$85)</f>
        <v>0</v>
      </c>
      <c r="Q87" s="94">
        <f>SUMIFS('caseload data'!S:S,'caseload data'!$D:$D,"PO",'caseload data'!$C:$C,'divisional &amp; regional caseload'!$B$85)</f>
        <v>0</v>
      </c>
      <c r="R87" s="94">
        <f>SUMIFS('caseload data'!T:T,'caseload data'!$D:$D,"PO",'caseload data'!$C:$C,'divisional &amp; regional caseload'!$B$85)</f>
        <v>0</v>
      </c>
      <c r="T87" s="96" t="s">
        <v>1002</v>
      </c>
      <c r="U87" s="94">
        <f>SUMIFS('caseload data'!E:E,'caseload data'!$D:$D,"PO",'caseload data'!$C:$C,'divisional &amp; regional caseload'!$T$64)</f>
        <v>0</v>
      </c>
      <c r="V87" s="94">
        <f>SUMIFS('caseload data'!F:F,'caseload data'!$D:$D,"PO",'caseload data'!$C:$C,'divisional &amp; regional caseload'!$T$64)</f>
        <v>0</v>
      </c>
      <c r="W87" s="94">
        <f>SUMIFS('caseload data'!G:G,'caseload data'!$D:$D,"PO",'caseload data'!$C:$C,'divisional &amp; regional caseload'!$T$64)</f>
        <v>0</v>
      </c>
      <c r="X87" s="94">
        <f>SUMIFS('caseload data'!H:H,'caseload data'!$D:$D,"PO",'caseload data'!$C:$C,'divisional &amp; regional caseload'!$T$64)</f>
        <v>0</v>
      </c>
      <c r="Y87" s="94">
        <f>SUMIFS('caseload data'!I:I,'caseload data'!$D:$D,"PO",'caseload data'!$C:$C,'divisional &amp; regional caseload'!$T$64)</f>
        <v>0</v>
      </c>
      <c r="Z87" s="94">
        <f>SUMIFS('caseload data'!J:J,'caseload data'!$D:$D,"PO",'caseload data'!$C:$C,'divisional &amp; regional caseload'!$T$64)</f>
        <v>0</v>
      </c>
      <c r="AA87" s="94">
        <f>SUMIFS('caseload data'!K:K,'caseload data'!$D:$D,"PO",'caseload data'!$C:$C,'divisional &amp; regional caseload'!$T$64)</f>
        <v>0</v>
      </c>
      <c r="AB87" s="94">
        <f>SUMIFS('caseload data'!L:L,'caseload data'!$D:$D,"PO",'caseload data'!$C:$C,'divisional &amp; regional caseload'!$T$64)</f>
        <v>0</v>
      </c>
      <c r="AC87" s="94">
        <f>SUMIFS('caseload data'!M:M,'caseload data'!$D:$D,"PO",'caseload data'!$C:$C,'divisional &amp; regional caseload'!$T$64)</f>
        <v>0</v>
      </c>
      <c r="AD87" s="94">
        <f>SUMIFS('caseload data'!N:N,'caseload data'!$D:$D,"PO",'caseload data'!$C:$C,'divisional &amp; regional caseload'!$T$64)</f>
        <v>0</v>
      </c>
      <c r="AE87" s="94">
        <f>SUMIFS('caseload data'!O:O,'caseload data'!$D:$D,"PO",'caseload data'!$C:$C,'divisional &amp; regional caseload'!$T$64)</f>
        <v>0</v>
      </c>
      <c r="AF87" s="94">
        <f>SUMIFS('caseload data'!P:P,'caseload data'!$D:$D,"PO",'caseload data'!$C:$C,'divisional &amp; regional caseload'!$T$64)</f>
        <v>0</v>
      </c>
      <c r="AG87" s="94">
        <f>SUMIFS('caseload data'!Q:Q,'caseload data'!$D:$D,"PO",'caseload data'!$C:$C,'divisional &amp; regional caseload'!$T$64)</f>
        <v>0</v>
      </c>
      <c r="AH87" s="94">
        <f>SUMIFS('caseload data'!R:R,'caseload data'!$D:$D,"PO",'caseload data'!$C:$C,'divisional &amp; regional caseload'!$T$64)</f>
        <v>0</v>
      </c>
      <c r="AI87" s="94">
        <f>SUMIFS('caseload data'!S:S,'caseload data'!$D:$D,"PO",'caseload data'!$C:$C,'divisional &amp; regional caseload'!$T$64)</f>
        <v>0</v>
      </c>
      <c r="AJ87" s="94">
        <f>SUMIFS('caseload data'!T:T,'caseload data'!$D:$D,"PO",'caseload data'!$C:$C,'divisional &amp; regional caseload'!$T$64)</f>
        <v>0</v>
      </c>
    </row>
    <row r="88" spans="2:36" x14ac:dyDescent="0.15">
      <c r="B88" s="97" t="s">
        <v>1007</v>
      </c>
      <c r="C88" s="94">
        <f>SUMIFS('caseload data'!E:E,'caseload data'!$D:$D,"PSO",'caseload data'!$C:$C,'divisional &amp; regional caseload'!$B$85)</f>
        <v>0</v>
      </c>
      <c r="D88" s="94">
        <f>SUMIFS('caseload data'!F:F,'caseload data'!$D:$D,"PSO",'caseload data'!$C:$C,'divisional &amp; regional caseload'!$B$85)</f>
        <v>0</v>
      </c>
      <c r="E88" s="94">
        <f>SUMIFS('caseload data'!G:G,'caseload data'!$D:$D,"PSO",'caseload data'!$C:$C,'divisional &amp; regional caseload'!$B$85)</f>
        <v>0</v>
      </c>
      <c r="F88" s="94">
        <f>SUMIFS('caseload data'!H:H,'caseload data'!$D:$D,"PSO",'caseload data'!$C:$C,'divisional &amp; regional caseload'!$B$85)</f>
        <v>0</v>
      </c>
      <c r="G88" s="94">
        <f>SUMIFS('caseload data'!I:I,'caseload data'!$D:$D,"PSO",'caseload data'!$C:$C,'divisional &amp; regional caseload'!$B$85)</f>
        <v>0</v>
      </c>
      <c r="H88" s="94">
        <f>SUMIFS('caseload data'!J:J,'caseload data'!$D:$D,"PSO",'caseload data'!$C:$C,'divisional &amp; regional caseload'!$B$85)</f>
        <v>0</v>
      </c>
      <c r="I88" s="94">
        <f>SUMIFS('caseload data'!K:K,'caseload data'!$D:$D,"PSO",'caseload data'!$C:$C,'divisional &amp; regional caseload'!$B$85)</f>
        <v>0</v>
      </c>
      <c r="J88" s="94">
        <f>SUMIFS('caseload data'!L:L,'caseload data'!$D:$D,"PSO",'caseload data'!$C:$C,'divisional &amp; regional caseload'!$B$85)</f>
        <v>0</v>
      </c>
      <c r="K88" s="94">
        <f>SUMIFS('caseload data'!M:M,'caseload data'!$D:$D,"PSO",'caseload data'!$C:$C,'divisional &amp; regional caseload'!$B$85)</f>
        <v>0</v>
      </c>
      <c r="L88" s="94">
        <f>SUMIFS('caseload data'!N:N,'caseload data'!$D:$D,"PSO",'caseload data'!$C:$C,'divisional &amp; regional caseload'!$B$85)</f>
        <v>0</v>
      </c>
      <c r="M88" s="94">
        <f>SUMIFS('caseload data'!O:O,'caseload data'!$D:$D,"PSO",'caseload data'!$C:$C,'divisional &amp; regional caseload'!$B$85)</f>
        <v>0</v>
      </c>
      <c r="N88" s="94">
        <f>SUMIFS('caseload data'!P:P,'caseload data'!$D:$D,"PSO",'caseload data'!$C:$C,'divisional &amp; regional caseload'!$B$85)</f>
        <v>0</v>
      </c>
      <c r="O88" s="94">
        <f>SUMIFS('caseload data'!Q:Q,'caseload data'!$D:$D,"PSO",'caseload data'!$C:$C,'divisional &amp; regional caseload'!$B$85)</f>
        <v>0</v>
      </c>
      <c r="P88" s="94">
        <f>SUMIFS('caseload data'!R:R,'caseload data'!$D:$D,"PSO",'caseload data'!$C:$C,'divisional &amp; regional caseload'!$B$85)</f>
        <v>0</v>
      </c>
      <c r="Q88" s="94">
        <f>SUMIFS('caseload data'!S:S,'caseload data'!$D:$D,"PSO",'caseload data'!$C:$C,'divisional &amp; regional caseload'!$B$85)</f>
        <v>0</v>
      </c>
      <c r="R88" s="94">
        <f>SUMIFS('caseload data'!T:T,'caseload data'!$D:$D,"PSO",'caseload data'!$C:$C,'divisional &amp; regional caseload'!$B$85)</f>
        <v>0</v>
      </c>
      <c r="T88" s="97" t="s">
        <v>1007</v>
      </c>
      <c r="U88" s="94">
        <f>SUMIFS('caseload data'!E:E,'caseload data'!$D:$D,"PSO",'caseload data'!$C:$C,'divisional &amp; regional caseload'!$T$64)</f>
        <v>0</v>
      </c>
      <c r="V88" s="94">
        <f>SUMIFS('caseload data'!F:F,'caseload data'!$D:$D,"PSO",'caseload data'!$C:$C,'divisional &amp; regional caseload'!$T$64)</f>
        <v>0</v>
      </c>
      <c r="W88" s="94">
        <f>SUMIFS('caseload data'!G:G,'caseload data'!$D:$D,"PSO",'caseload data'!$C:$C,'divisional &amp; regional caseload'!$T$64)</f>
        <v>0</v>
      </c>
      <c r="X88" s="94">
        <f>SUMIFS('caseload data'!H:H,'caseload data'!$D:$D,"PSO",'caseload data'!$C:$C,'divisional &amp; regional caseload'!$T$64)</f>
        <v>0</v>
      </c>
      <c r="Y88" s="94">
        <f>SUMIFS('caseload data'!I:I,'caseload data'!$D:$D,"PSO",'caseload data'!$C:$C,'divisional &amp; regional caseload'!$T$64)</f>
        <v>0</v>
      </c>
      <c r="Z88" s="94">
        <f>SUMIFS('caseload data'!J:J,'caseload data'!$D:$D,"PSO",'caseload data'!$C:$C,'divisional &amp; regional caseload'!$T$64)</f>
        <v>0</v>
      </c>
      <c r="AA88" s="94">
        <f>SUMIFS('caseload data'!K:K,'caseload data'!$D:$D,"PSO",'caseload data'!$C:$C,'divisional &amp; regional caseload'!$T$64)</f>
        <v>0</v>
      </c>
      <c r="AB88" s="94">
        <f>SUMIFS('caseload data'!L:L,'caseload data'!$D:$D,"PSO",'caseload data'!$C:$C,'divisional &amp; regional caseload'!$T$64)</f>
        <v>0</v>
      </c>
      <c r="AC88" s="94">
        <f>SUMIFS('caseload data'!M:M,'caseload data'!$D:$D,"PSO",'caseload data'!$C:$C,'divisional &amp; regional caseload'!$T$64)</f>
        <v>0</v>
      </c>
      <c r="AD88" s="94">
        <f>SUMIFS('caseload data'!N:N,'caseload data'!$D:$D,"PSO",'caseload data'!$C:$C,'divisional &amp; regional caseload'!$T$64)</f>
        <v>0</v>
      </c>
      <c r="AE88" s="94">
        <f>SUMIFS('caseload data'!O:O,'caseload data'!$D:$D,"PSO",'caseload data'!$C:$C,'divisional &amp; regional caseload'!$T$64)</f>
        <v>0</v>
      </c>
      <c r="AF88" s="94">
        <f>SUMIFS('caseload data'!P:P,'caseload data'!$D:$D,"PSO",'caseload data'!$C:$C,'divisional &amp; regional caseload'!$T$64)</f>
        <v>0</v>
      </c>
      <c r="AG88" s="94">
        <f>SUMIFS('caseload data'!Q:Q,'caseload data'!$D:$D,"PSO",'caseload data'!$C:$C,'divisional &amp; regional caseload'!$T$64)</f>
        <v>0</v>
      </c>
      <c r="AH88" s="94">
        <f>SUMIFS('caseload data'!R:R,'caseload data'!$D:$D,"PSO",'caseload data'!$C:$C,'divisional &amp; regional caseload'!$T$64)</f>
        <v>0</v>
      </c>
      <c r="AI88" s="94">
        <f>SUMIFS('caseload data'!S:S,'caseload data'!$D:$D,"PSO",'caseload data'!$C:$C,'divisional &amp; regional caseload'!$T$64)</f>
        <v>0</v>
      </c>
      <c r="AJ88" s="94">
        <f>SUMIFS('caseload data'!T:T,'caseload data'!$D:$D,"PSO",'caseload data'!$C:$C,'divisional &amp; regional caseload'!$T$64)</f>
        <v>0</v>
      </c>
    </row>
    <row r="89" spans="2:36" x14ac:dyDescent="0.15">
      <c r="B89" s="97" t="s">
        <v>1008</v>
      </c>
      <c r="C89" s="94">
        <f>SUMIFS('caseload data'!E:E,'caseload data'!$D:$D,"TPO",'caseload data'!$C:$C,'divisional &amp; regional caseload'!$B$85)</f>
        <v>0</v>
      </c>
      <c r="D89" s="94">
        <f>SUMIFS('caseload data'!F:F,'caseload data'!$D:$D,"TPO",'caseload data'!$C:$C,'divisional &amp; regional caseload'!$B$85)</f>
        <v>0</v>
      </c>
      <c r="E89" s="94">
        <f>SUMIFS('caseload data'!G:G,'caseload data'!$D:$D,"TPO",'caseload data'!$C:$C,'divisional &amp; regional caseload'!$B$85)</f>
        <v>0</v>
      </c>
      <c r="F89" s="94">
        <f>SUMIFS('caseload data'!H:H,'caseload data'!$D:$D,"TPO",'caseload data'!$C:$C,'divisional &amp; regional caseload'!$B$85)</f>
        <v>0</v>
      </c>
      <c r="G89" s="94">
        <f>SUMIFS('caseload data'!I:I,'caseload data'!$D:$D,"TPO",'caseload data'!$C:$C,'divisional &amp; regional caseload'!$B$85)</f>
        <v>0</v>
      </c>
      <c r="H89" s="94">
        <f>SUMIFS('caseload data'!J:J,'caseload data'!$D:$D,"TPO",'caseload data'!$C:$C,'divisional &amp; regional caseload'!$B$85)</f>
        <v>0</v>
      </c>
      <c r="I89" s="94">
        <f>SUMIFS('caseload data'!K:K,'caseload data'!$D:$D,"TPO",'caseload data'!$C:$C,'divisional &amp; regional caseload'!$B$85)</f>
        <v>0</v>
      </c>
      <c r="J89" s="94">
        <f>SUMIFS('caseload data'!L:L,'caseload data'!$D:$D,"TPO",'caseload data'!$C:$C,'divisional &amp; regional caseload'!$B$85)</f>
        <v>0</v>
      </c>
      <c r="K89" s="94">
        <f>SUMIFS('caseload data'!M:M,'caseload data'!$D:$D,"TPO",'caseload data'!$C:$C,'divisional &amp; regional caseload'!$B$85)</f>
        <v>0</v>
      </c>
      <c r="L89" s="94">
        <f>SUMIFS('caseload data'!N:N,'caseload data'!$D:$D,"TPO",'caseload data'!$C:$C,'divisional &amp; regional caseload'!$B$85)</f>
        <v>0</v>
      </c>
      <c r="M89" s="94">
        <f>SUMIFS('caseload data'!O:O,'caseload data'!$D:$D,"TPO",'caseload data'!$C:$C,'divisional &amp; regional caseload'!$B$85)</f>
        <v>0</v>
      </c>
      <c r="N89" s="94">
        <f>SUMIFS('caseload data'!P:P,'caseload data'!$D:$D,"TPO",'caseload data'!$C:$C,'divisional &amp; regional caseload'!$B$85)</f>
        <v>0</v>
      </c>
      <c r="O89" s="94">
        <f>SUMIFS('caseload data'!Q:Q,'caseload data'!$D:$D,"TPO",'caseload data'!$C:$C,'divisional &amp; regional caseload'!$B$85)</f>
        <v>0</v>
      </c>
      <c r="P89" s="94">
        <f>SUMIFS('caseload data'!R:R,'caseload data'!$D:$D,"TPO",'caseload data'!$C:$C,'divisional &amp; regional caseload'!$B$85)</f>
        <v>0</v>
      </c>
      <c r="Q89" s="94">
        <f>SUMIFS('caseload data'!S:S,'caseload data'!$D:$D,"TPO",'caseload data'!$C:$C,'divisional &amp; regional caseload'!$B$85)</f>
        <v>0</v>
      </c>
      <c r="R89" s="94">
        <f>SUMIFS('caseload data'!T:T,'caseload data'!$D:$D,"TPO",'caseload data'!$C:$C,'divisional &amp; regional caseload'!$B$85)</f>
        <v>0</v>
      </c>
      <c r="T89" s="97" t="s">
        <v>1008</v>
      </c>
      <c r="U89" s="94">
        <f>SUMIFS('caseload data'!E:E,'caseload data'!$D:$D,"TPO",'caseload data'!$C:$C,'divisional &amp; regional caseload'!$T$64)</f>
        <v>0</v>
      </c>
      <c r="V89" s="94">
        <f>SUMIFS('caseload data'!F:F,'caseload data'!$D:$D,"TPO",'caseload data'!$C:$C,'divisional &amp; regional caseload'!$T$64)</f>
        <v>0</v>
      </c>
      <c r="W89" s="94">
        <f>SUMIFS('caseload data'!G:G,'caseload data'!$D:$D,"TPO",'caseload data'!$C:$C,'divisional &amp; regional caseload'!$T$64)</f>
        <v>0</v>
      </c>
      <c r="X89" s="94">
        <f>SUMIFS('caseload data'!H:H,'caseload data'!$D:$D,"TPO",'caseload data'!$C:$C,'divisional &amp; regional caseload'!$T$64)</f>
        <v>0</v>
      </c>
      <c r="Y89" s="94">
        <f>SUMIFS('caseload data'!I:I,'caseload data'!$D:$D,"TPO",'caseload data'!$C:$C,'divisional &amp; regional caseload'!$T$64)</f>
        <v>0</v>
      </c>
      <c r="Z89" s="94">
        <f>SUMIFS('caseload data'!J:J,'caseload data'!$D:$D,"TPO",'caseload data'!$C:$C,'divisional &amp; regional caseload'!$T$64)</f>
        <v>0</v>
      </c>
      <c r="AA89" s="94">
        <f>SUMIFS('caseload data'!K:K,'caseload data'!$D:$D,"TPO",'caseload data'!$C:$C,'divisional &amp; regional caseload'!$T$64)</f>
        <v>0</v>
      </c>
      <c r="AB89" s="94">
        <f>SUMIFS('caseload data'!L:L,'caseload data'!$D:$D,"TPO",'caseload data'!$C:$C,'divisional &amp; regional caseload'!$T$64)</f>
        <v>0</v>
      </c>
      <c r="AC89" s="94">
        <f>SUMIFS('caseload data'!M:M,'caseload data'!$D:$D,"TPO",'caseload data'!$C:$C,'divisional &amp; regional caseload'!$T$64)</f>
        <v>0</v>
      </c>
      <c r="AD89" s="94">
        <f>SUMIFS('caseload data'!N:N,'caseload data'!$D:$D,"TPO",'caseload data'!$C:$C,'divisional &amp; regional caseload'!$T$64)</f>
        <v>0</v>
      </c>
      <c r="AE89" s="94">
        <f>SUMIFS('caseload data'!O:O,'caseload data'!$D:$D,"TPO",'caseload data'!$C:$C,'divisional &amp; regional caseload'!$T$64)</f>
        <v>0</v>
      </c>
      <c r="AF89" s="94">
        <f>SUMIFS('caseload data'!P:P,'caseload data'!$D:$D,"TPO",'caseload data'!$C:$C,'divisional &amp; regional caseload'!$T$64)</f>
        <v>0</v>
      </c>
      <c r="AG89" s="94">
        <f>SUMIFS('caseload data'!Q:Q,'caseload data'!$D:$D,"TPO",'caseload data'!$C:$C,'divisional &amp; regional caseload'!$T$64)</f>
        <v>0</v>
      </c>
      <c r="AH89" s="94">
        <f>SUMIFS('caseload data'!R:R,'caseload data'!$D:$D,"TPO",'caseload data'!$C:$C,'divisional &amp; regional caseload'!$T$64)</f>
        <v>0</v>
      </c>
      <c r="AI89" s="94">
        <f>SUMIFS('caseload data'!S:S,'caseload data'!$D:$D,"TPO",'caseload data'!$C:$C,'divisional &amp; regional caseload'!$T$64)</f>
        <v>0</v>
      </c>
      <c r="AJ89" s="94">
        <f>SUMIFS('caseload data'!T:T,'caseload data'!$D:$D,"TPO",'caseload data'!$C:$C,'divisional &amp; regional caseload'!$T$64)</f>
        <v>0</v>
      </c>
    </row>
    <row r="90" spans="2:36" x14ac:dyDescent="0.15">
      <c r="B90" s="98" t="s">
        <v>1009</v>
      </c>
      <c r="C90" s="94">
        <f>SUMIFS('caseload data'!E:E,'caseload data'!$D:$D,"SPO",'caseload data'!$C:$C,'divisional &amp; regional caseload'!$B$85)</f>
        <v>0</v>
      </c>
      <c r="D90" s="94">
        <f>SUMIFS('caseload data'!F:F,'caseload data'!$D:$D,"SPO",'caseload data'!$C:$C,'divisional &amp; regional caseload'!$B$85)</f>
        <v>0</v>
      </c>
      <c r="E90" s="94">
        <f>SUMIFS('caseload data'!G:G,'caseload data'!$D:$D,"SPO",'caseload data'!$C:$C,'divisional &amp; regional caseload'!$B$85)</f>
        <v>0</v>
      </c>
      <c r="F90" s="94">
        <f>SUMIFS('caseload data'!H:H,'caseload data'!$D:$D,"SPO",'caseload data'!$C:$C,'divisional &amp; regional caseload'!$B$85)</f>
        <v>0</v>
      </c>
      <c r="G90" s="94">
        <f>SUMIFS('caseload data'!I:I,'caseload data'!$D:$D,"SPO",'caseload data'!$C:$C,'divisional &amp; regional caseload'!$B$85)</f>
        <v>0</v>
      </c>
      <c r="H90" s="94">
        <f>SUMIFS('caseload data'!J:J,'caseload data'!$D:$D,"SPO",'caseload data'!$C:$C,'divisional &amp; regional caseload'!$B$85)</f>
        <v>0</v>
      </c>
      <c r="I90" s="94">
        <f>SUMIFS('caseload data'!K:K,'caseload data'!$D:$D,"SPO",'caseload data'!$C:$C,'divisional &amp; regional caseload'!$B$85)</f>
        <v>0</v>
      </c>
      <c r="J90" s="94">
        <f>SUMIFS('caseload data'!L:L,'caseload data'!$D:$D,"SPO",'caseload data'!$C:$C,'divisional &amp; regional caseload'!$B$85)</f>
        <v>0</v>
      </c>
      <c r="K90" s="94">
        <f>SUMIFS('caseload data'!M:M,'caseload data'!$D:$D,"SPO",'caseload data'!$C:$C,'divisional &amp; regional caseload'!$B$85)</f>
        <v>0</v>
      </c>
      <c r="L90" s="94">
        <f>SUMIFS('caseload data'!N:N,'caseload data'!$D:$D,"SPO",'caseload data'!$C:$C,'divisional &amp; regional caseload'!$B$85)</f>
        <v>0</v>
      </c>
      <c r="M90" s="94">
        <f>SUMIFS('caseload data'!O:O,'caseload data'!$D:$D,"SPO",'caseload data'!$C:$C,'divisional &amp; regional caseload'!$B$85)</f>
        <v>0</v>
      </c>
      <c r="N90" s="94">
        <f>SUMIFS('caseload data'!P:P,'caseload data'!$D:$D,"SPO",'caseload data'!$C:$C,'divisional &amp; regional caseload'!$B$85)</f>
        <v>0</v>
      </c>
      <c r="O90" s="94">
        <f>SUMIFS('caseload data'!Q:Q,'caseload data'!$D:$D,"SPO",'caseload data'!$C:$C,'divisional &amp; regional caseload'!$B$85)</f>
        <v>0</v>
      </c>
      <c r="P90" s="94">
        <f>SUMIFS('caseload data'!R:R,'caseload data'!$D:$D,"SPO",'caseload data'!$C:$C,'divisional &amp; regional caseload'!$B$85)</f>
        <v>0</v>
      </c>
      <c r="Q90" s="94">
        <f>SUMIFS('caseload data'!S:S,'caseload data'!$D:$D,"SPO",'caseload data'!$C:$C,'divisional &amp; regional caseload'!$B$85)</f>
        <v>0</v>
      </c>
      <c r="R90" s="94">
        <f>SUMIFS('caseload data'!T:T,'caseload data'!$D:$D,"SPO",'caseload data'!$C:$C,'divisional &amp; regional caseload'!$B$85)</f>
        <v>0</v>
      </c>
      <c r="T90" s="98" t="s">
        <v>1009</v>
      </c>
      <c r="U90" s="94">
        <f>SUMIFS('caseload data'!E:E,'caseload data'!$D:$D,"SPO",'caseload data'!$C:$C,'divisional &amp; regional caseload'!$T$64)</f>
        <v>0</v>
      </c>
      <c r="V90" s="94">
        <f>SUMIFS('caseload data'!F:F,'caseload data'!$D:$D,"SPO",'caseload data'!$C:$C,'divisional &amp; regional caseload'!$T$64)</f>
        <v>0</v>
      </c>
      <c r="W90" s="94">
        <f>SUMIFS('caseload data'!G:G,'caseload data'!$D:$D,"SPO",'caseload data'!$C:$C,'divisional &amp; regional caseload'!$T$64)</f>
        <v>0</v>
      </c>
      <c r="X90" s="94">
        <f>SUMIFS('caseload data'!H:H,'caseload data'!$D:$D,"SPO",'caseload data'!$C:$C,'divisional &amp; regional caseload'!$T$64)</f>
        <v>0</v>
      </c>
      <c r="Y90" s="94">
        <f>SUMIFS('caseload data'!I:I,'caseload data'!$D:$D,"SPO",'caseload data'!$C:$C,'divisional &amp; regional caseload'!$T$64)</f>
        <v>0</v>
      </c>
      <c r="Z90" s="94">
        <f>SUMIFS('caseload data'!J:J,'caseload data'!$D:$D,"SPO",'caseload data'!$C:$C,'divisional &amp; regional caseload'!$T$64)</f>
        <v>0</v>
      </c>
      <c r="AA90" s="94">
        <f>SUMIFS('caseload data'!K:K,'caseload data'!$D:$D,"SPO",'caseload data'!$C:$C,'divisional &amp; regional caseload'!$T$64)</f>
        <v>0</v>
      </c>
      <c r="AB90" s="94">
        <f>SUMIFS('caseload data'!L:L,'caseload data'!$D:$D,"SPO",'caseload data'!$C:$C,'divisional &amp; regional caseload'!$T$64)</f>
        <v>0</v>
      </c>
      <c r="AC90" s="94">
        <f>SUMIFS('caseload data'!M:M,'caseload data'!$D:$D,"SPO",'caseload data'!$C:$C,'divisional &amp; regional caseload'!$T$64)</f>
        <v>0</v>
      </c>
      <c r="AD90" s="94">
        <f>SUMIFS('caseload data'!N:N,'caseload data'!$D:$D,"SPO",'caseload data'!$C:$C,'divisional &amp; regional caseload'!$T$64)</f>
        <v>0</v>
      </c>
      <c r="AE90" s="94">
        <f>SUMIFS('caseload data'!O:O,'caseload data'!$D:$D,"SPO",'caseload data'!$C:$C,'divisional &amp; regional caseload'!$T$64)</f>
        <v>0</v>
      </c>
      <c r="AF90" s="94">
        <f>SUMIFS('caseload data'!P:P,'caseload data'!$D:$D,"SPO",'caseload data'!$C:$C,'divisional &amp; regional caseload'!$T$64)</f>
        <v>0</v>
      </c>
      <c r="AG90" s="94">
        <f>SUMIFS('caseload data'!Q:Q,'caseload data'!$D:$D,"SPO",'caseload data'!$C:$C,'divisional &amp; regional caseload'!$T$64)</f>
        <v>0</v>
      </c>
      <c r="AH90" s="94">
        <f>SUMIFS('caseload data'!R:R,'caseload data'!$D:$D,"SPO",'caseload data'!$C:$C,'divisional &amp; regional caseload'!$T$64)</f>
        <v>0</v>
      </c>
      <c r="AI90" s="94">
        <f>SUMIFS('caseload data'!S:S,'caseload data'!$D:$D,"SPO",'caseload data'!$C:$C,'divisional &amp; regional caseload'!$T$64)</f>
        <v>0</v>
      </c>
      <c r="AJ90" s="94">
        <f>SUMIFS('caseload data'!T:T,'caseload data'!$D:$D,"SPO",'caseload data'!$C:$C,'divisional &amp; regional caseload'!$T$64)</f>
        <v>0</v>
      </c>
    </row>
    <row r="92" spans="2:36" ht="30.75" customHeight="1" x14ac:dyDescent="0.15">
      <c r="B92" s="142">
        <f>HLOOKUP($B$5,Region_Table,26,0)</f>
        <v>0</v>
      </c>
      <c r="C92" s="507" t="s">
        <v>1097</v>
      </c>
      <c r="D92" s="508"/>
      <c r="E92" s="508"/>
      <c r="F92" s="508"/>
      <c r="G92" s="508"/>
      <c r="H92" s="508"/>
      <c r="I92" s="508"/>
      <c r="J92" s="508"/>
      <c r="K92" s="508"/>
      <c r="L92" s="508"/>
      <c r="M92" s="518"/>
      <c r="N92" s="518"/>
      <c r="O92" s="519"/>
      <c r="P92" s="510">
        <f>SUMIF('caseload data'!$C:$C,'divisional &amp; regional caseload'!B92,'caseload data'!V:V)</f>
        <v>0</v>
      </c>
      <c r="Q92" s="511"/>
      <c r="R92" s="512"/>
      <c r="T92" s="142">
        <f>HLOOKUP($B$5,Region_Table,27,0)</f>
        <v>0</v>
      </c>
      <c r="U92" s="507" t="s">
        <v>1097</v>
      </c>
      <c r="V92" s="508"/>
      <c r="W92" s="508"/>
      <c r="X92" s="508"/>
      <c r="Y92" s="508"/>
      <c r="Z92" s="508"/>
      <c r="AA92" s="508"/>
      <c r="AB92" s="508"/>
      <c r="AC92" s="508"/>
      <c r="AD92" s="508"/>
      <c r="AE92" s="508"/>
      <c r="AF92" s="508"/>
      <c r="AG92" s="509"/>
      <c r="AH92" s="510">
        <f>SUMIF('caseload data'!$C:$C,'divisional &amp; regional caseload'!T92,'caseload data'!V:V)</f>
        <v>0</v>
      </c>
      <c r="AI92" s="513"/>
      <c r="AJ92" s="514"/>
    </row>
    <row r="93" spans="2:36" x14ac:dyDescent="0.15">
      <c r="B93" s="95" t="s">
        <v>1005</v>
      </c>
      <c r="C93" s="38" t="s">
        <v>869</v>
      </c>
      <c r="D93" s="38" t="s">
        <v>870</v>
      </c>
      <c r="E93" s="38" t="s">
        <v>871</v>
      </c>
      <c r="F93" s="38" t="s">
        <v>872</v>
      </c>
      <c r="G93" s="38" t="s">
        <v>873</v>
      </c>
      <c r="H93" s="38" t="s">
        <v>874</v>
      </c>
      <c r="I93" s="38" t="s">
        <v>875</v>
      </c>
      <c r="J93" s="38" t="s">
        <v>876</v>
      </c>
      <c r="K93" s="38" t="s">
        <v>877</v>
      </c>
      <c r="L93" s="38" t="s">
        <v>878</v>
      </c>
      <c r="M93" s="38" t="s">
        <v>879</v>
      </c>
      <c r="N93" s="38" t="s">
        <v>880</v>
      </c>
      <c r="O93" s="38" t="s">
        <v>881</v>
      </c>
      <c r="P93" s="38" t="s">
        <v>882</v>
      </c>
      <c r="Q93" s="38" t="s">
        <v>883</v>
      </c>
      <c r="R93" s="38" t="s">
        <v>884</v>
      </c>
      <c r="T93" s="95" t="s">
        <v>1005</v>
      </c>
      <c r="U93" s="38" t="s">
        <v>869</v>
      </c>
      <c r="V93" s="38" t="s">
        <v>870</v>
      </c>
      <c r="W93" s="38" t="s">
        <v>871</v>
      </c>
      <c r="X93" s="38" t="s">
        <v>872</v>
      </c>
      <c r="Y93" s="38" t="s">
        <v>873</v>
      </c>
      <c r="Z93" s="38" t="s">
        <v>874</v>
      </c>
      <c r="AA93" s="38" t="s">
        <v>875</v>
      </c>
      <c r="AB93" s="38" t="s">
        <v>876</v>
      </c>
      <c r="AC93" s="38" t="s">
        <v>877</v>
      </c>
      <c r="AD93" s="38" t="s">
        <v>878</v>
      </c>
      <c r="AE93" s="38" t="s">
        <v>879</v>
      </c>
      <c r="AF93" s="38" t="s">
        <v>880</v>
      </c>
      <c r="AG93" s="38" t="s">
        <v>881</v>
      </c>
      <c r="AH93" s="38" t="s">
        <v>882</v>
      </c>
      <c r="AI93" s="38" t="s">
        <v>883</v>
      </c>
      <c r="AJ93" s="38" t="s">
        <v>884</v>
      </c>
    </row>
    <row r="94" spans="2:36" x14ac:dyDescent="0.15">
      <c r="B94" s="96" t="s">
        <v>1002</v>
      </c>
      <c r="C94" s="94">
        <f>SUMIFS('caseload data'!E:E,'caseload data'!$D:$D,"PO",'caseload data'!$C:$C,'divisional &amp; regional caseload'!$B$92)</f>
        <v>0</v>
      </c>
      <c r="D94" s="94">
        <f>SUMIFS('caseload data'!F:F,'caseload data'!$D:$D,"PO",'caseload data'!$C:$C,'divisional &amp; regional caseload'!$B$92)</f>
        <v>0</v>
      </c>
      <c r="E94" s="94">
        <f>SUMIFS('caseload data'!G:G,'caseload data'!$D:$D,"PO",'caseload data'!$C:$C,'divisional &amp; regional caseload'!$B$92)</f>
        <v>0</v>
      </c>
      <c r="F94" s="94">
        <f>SUMIFS('caseload data'!H:H,'caseload data'!$D:$D,"PO",'caseload data'!$C:$C,'divisional &amp; regional caseload'!$B$92)</f>
        <v>0</v>
      </c>
      <c r="G94" s="94">
        <f>SUMIFS('caseload data'!I:I,'caseload data'!$D:$D,"PO",'caseload data'!$C:$C,'divisional &amp; regional caseload'!$B$92)</f>
        <v>0</v>
      </c>
      <c r="H94" s="94">
        <f>SUMIFS('caseload data'!J:J,'caseload data'!$D:$D,"PO",'caseload data'!$C:$C,'divisional &amp; regional caseload'!$B$92)</f>
        <v>0</v>
      </c>
      <c r="I94" s="94">
        <f>SUMIFS('caseload data'!K:K,'caseload data'!$D:$D,"PO",'caseload data'!$C:$C,'divisional &amp; regional caseload'!$B$92)</f>
        <v>0</v>
      </c>
      <c r="J94" s="94">
        <f>SUMIFS('caseload data'!L:L,'caseload data'!$D:$D,"PO",'caseload data'!$C:$C,'divisional &amp; regional caseload'!$B$92)</f>
        <v>0</v>
      </c>
      <c r="K94" s="94">
        <f>SUMIFS('caseload data'!M:M,'caseload data'!$D:$D,"PO",'caseload data'!$C:$C,'divisional &amp; regional caseload'!$B$92)</f>
        <v>0</v>
      </c>
      <c r="L94" s="94">
        <f>SUMIFS('caseload data'!N:N,'caseload data'!$D:$D,"PO",'caseload data'!$C:$C,'divisional &amp; regional caseload'!$B$92)</f>
        <v>0</v>
      </c>
      <c r="M94" s="94">
        <f>SUMIFS('caseload data'!O:O,'caseload data'!$D:$D,"PO",'caseload data'!$C:$C,'divisional &amp; regional caseload'!$B$92)</f>
        <v>0</v>
      </c>
      <c r="N94" s="94">
        <f>SUMIFS('caseload data'!P:P,'caseload data'!$D:$D,"PO",'caseload data'!$C:$C,'divisional &amp; regional caseload'!$B$92)</f>
        <v>0</v>
      </c>
      <c r="O94" s="94">
        <f>SUMIFS('caseload data'!Q:Q,'caseload data'!$D:$D,"PO",'caseload data'!$C:$C,'divisional &amp; regional caseload'!$B$92)</f>
        <v>0</v>
      </c>
      <c r="P94" s="94">
        <f>SUMIFS('caseload data'!R:R,'caseload data'!$D:$D,"PO",'caseload data'!$C:$C,'divisional &amp; regional caseload'!$B$92)</f>
        <v>0</v>
      </c>
      <c r="Q94" s="94">
        <f>SUMIFS('caseload data'!S:S,'caseload data'!$D:$D,"PO",'caseload data'!$C:$C,'divisional &amp; regional caseload'!$B$92)</f>
        <v>0</v>
      </c>
      <c r="R94" s="94">
        <f>SUMIFS('caseload data'!T:T,'caseload data'!$D:$D,"PO",'caseload data'!$C:$C,'divisional &amp; regional caseload'!$B$92)</f>
        <v>0</v>
      </c>
      <c r="T94" s="96" t="s">
        <v>1002</v>
      </c>
      <c r="U94" s="94">
        <f>SUMIFS('caseload data'!E:E,'caseload data'!$D:$D,"PO",'caseload data'!$C:$C,'divisional &amp; regional caseload'!$T$64)</f>
        <v>0</v>
      </c>
      <c r="V94" s="94">
        <f>SUMIFS('caseload data'!F:F,'caseload data'!$D:$D,"PO",'caseload data'!$C:$C,'divisional &amp; regional caseload'!$T$64)</f>
        <v>0</v>
      </c>
      <c r="W94" s="94">
        <f>SUMIFS('caseload data'!G:G,'caseload data'!$D:$D,"PO",'caseload data'!$C:$C,'divisional &amp; regional caseload'!$T$64)</f>
        <v>0</v>
      </c>
      <c r="X94" s="94">
        <f>SUMIFS('caseload data'!H:H,'caseload data'!$D:$D,"PO",'caseload data'!$C:$C,'divisional &amp; regional caseload'!$T$64)</f>
        <v>0</v>
      </c>
      <c r="Y94" s="94">
        <f>SUMIFS('caseload data'!I:I,'caseload data'!$D:$D,"PO",'caseload data'!$C:$C,'divisional &amp; regional caseload'!$T$64)</f>
        <v>0</v>
      </c>
      <c r="Z94" s="94">
        <f>SUMIFS('caseload data'!J:J,'caseload data'!$D:$D,"PO",'caseload data'!$C:$C,'divisional &amp; regional caseload'!$T$64)</f>
        <v>0</v>
      </c>
      <c r="AA94" s="94">
        <f>SUMIFS('caseload data'!K:K,'caseload data'!$D:$D,"PO",'caseload data'!$C:$C,'divisional &amp; regional caseload'!$T$64)</f>
        <v>0</v>
      </c>
      <c r="AB94" s="94">
        <f>SUMIFS('caseload data'!L:L,'caseload data'!$D:$D,"PO",'caseload data'!$C:$C,'divisional &amp; regional caseload'!$T$64)</f>
        <v>0</v>
      </c>
      <c r="AC94" s="94">
        <f>SUMIFS('caseload data'!M:M,'caseload data'!$D:$D,"PO",'caseload data'!$C:$C,'divisional &amp; regional caseload'!$T$64)</f>
        <v>0</v>
      </c>
      <c r="AD94" s="94">
        <f>SUMIFS('caseload data'!N:N,'caseload data'!$D:$D,"PO",'caseload data'!$C:$C,'divisional &amp; regional caseload'!$T$64)</f>
        <v>0</v>
      </c>
      <c r="AE94" s="94">
        <f>SUMIFS('caseload data'!O:O,'caseload data'!$D:$D,"PO",'caseload data'!$C:$C,'divisional &amp; regional caseload'!$T$64)</f>
        <v>0</v>
      </c>
      <c r="AF94" s="94">
        <f>SUMIFS('caseload data'!P:P,'caseload data'!$D:$D,"PO",'caseload data'!$C:$C,'divisional &amp; regional caseload'!$T$64)</f>
        <v>0</v>
      </c>
      <c r="AG94" s="94">
        <f>SUMIFS('caseload data'!Q:Q,'caseload data'!$D:$D,"PO",'caseload data'!$C:$C,'divisional &amp; regional caseload'!$T$64)</f>
        <v>0</v>
      </c>
      <c r="AH94" s="94">
        <f>SUMIFS('caseload data'!R:R,'caseload data'!$D:$D,"PO",'caseload data'!$C:$C,'divisional &amp; regional caseload'!$T$64)</f>
        <v>0</v>
      </c>
      <c r="AI94" s="94">
        <f>SUMIFS('caseload data'!S:S,'caseload data'!$D:$D,"PO",'caseload data'!$C:$C,'divisional &amp; regional caseload'!$T$64)</f>
        <v>0</v>
      </c>
      <c r="AJ94" s="94">
        <f>SUMIFS('caseload data'!T:T,'caseload data'!$D:$D,"PO",'caseload data'!$C:$C,'divisional &amp; regional caseload'!$T$64)</f>
        <v>0</v>
      </c>
    </row>
    <row r="95" spans="2:36" x14ac:dyDescent="0.15">
      <c r="B95" s="97" t="s">
        <v>1007</v>
      </c>
      <c r="C95" s="94">
        <f>SUMIFS('caseload data'!E:E,'caseload data'!$D:$D,"PSO",'caseload data'!$C:$C,'divisional &amp; regional caseload'!$B$92)</f>
        <v>0</v>
      </c>
      <c r="D95" s="94">
        <f>SUMIFS('caseload data'!F:F,'caseload data'!$D:$D,"PSO",'caseload data'!$C:$C,'divisional &amp; regional caseload'!$B$92)</f>
        <v>0</v>
      </c>
      <c r="E95" s="94">
        <f>SUMIFS('caseload data'!G:G,'caseload data'!$D:$D,"PSO",'caseload data'!$C:$C,'divisional &amp; regional caseload'!$B$92)</f>
        <v>0</v>
      </c>
      <c r="F95" s="94">
        <f>SUMIFS('caseload data'!H:H,'caseload data'!$D:$D,"PSO",'caseload data'!$C:$C,'divisional &amp; regional caseload'!$B$92)</f>
        <v>0</v>
      </c>
      <c r="G95" s="94">
        <f>SUMIFS('caseload data'!I:I,'caseload data'!$D:$D,"PSO",'caseload data'!$C:$C,'divisional &amp; regional caseload'!$B$92)</f>
        <v>0</v>
      </c>
      <c r="H95" s="94">
        <f>SUMIFS('caseload data'!J:J,'caseload data'!$D:$D,"PSO",'caseload data'!$C:$C,'divisional &amp; regional caseload'!$B$92)</f>
        <v>0</v>
      </c>
      <c r="I95" s="94">
        <f>SUMIFS('caseload data'!K:K,'caseload data'!$D:$D,"PSO",'caseload data'!$C:$C,'divisional &amp; regional caseload'!$B$92)</f>
        <v>0</v>
      </c>
      <c r="J95" s="94">
        <f>SUMIFS('caseload data'!L:L,'caseload data'!$D:$D,"PSO",'caseload data'!$C:$C,'divisional &amp; regional caseload'!$B$92)</f>
        <v>0</v>
      </c>
      <c r="K95" s="94">
        <f>SUMIFS('caseload data'!M:M,'caseload data'!$D:$D,"PSO",'caseload data'!$C:$C,'divisional &amp; regional caseload'!$B$92)</f>
        <v>0</v>
      </c>
      <c r="L95" s="94">
        <f>SUMIFS('caseload data'!N:N,'caseload data'!$D:$D,"PSO",'caseload data'!$C:$C,'divisional &amp; regional caseload'!$B$92)</f>
        <v>0</v>
      </c>
      <c r="M95" s="94">
        <f>SUMIFS('caseload data'!O:O,'caseload data'!$D:$D,"PSO",'caseload data'!$C:$C,'divisional &amp; regional caseload'!$B$92)</f>
        <v>0</v>
      </c>
      <c r="N95" s="94">
        <f>SUMIFS('caseload data'!P:P,'caseload data'!$D:$D,"PSO",'caseload data'!$C:$C,'divisional &amp; regional caseload'!$B$92)</f>
        <v>0</v>
      </c>
      <c r="O95" s="94">
        <f>SUMIFS('caseload data'!Q:Q,'caseload data'!$D:$D,"PSO",'caseload data'!$C:$C,'divisional &amp; regional caseload'!$B$92)</f>
        <v>0</v>
      </c>
      <c r="P95" s="94">
        <f>SUMIFS('caseload data'!R:R,'caseload data'!$D:$D,"PSO",'caseload data'!$C:$C,'divisional &amp; regional caseload'!$B$92)</f>
        <v>0</v>
      </c>
      <c r="Q95" s="94">
        <f>SUMIFS('caseload data'!S:S,'caseload data'!$D:$D,"PSO",'caseload data'!$C:$C,'divisional &amp; regional caseload'!$B$92)</f>
        <v>0</v>
      </c>
      <c r="R95" s="94">
        <f>SUMIFS('caseload data'!T:T,'caseload data'!$D:$D,"PSO",'caseload data'!$C:$C,'divisional &amp; regional caseload'!$B$92)</f>
        <v>0</v>
      </c>
      <c r="T95" s="97" t="s">
        <v>1007</v>
      </c>
      <c r="U95" s="94">
        <f>SUMIFS('caseload data'!E:E,'caseload data'!$D:$D,"PSO",'caseload data'!$C:$C,'divisional &amp; regional caseload'!$T$64)</f>
        <v>0</v>
      </c>
      <c r="V95" s="94">
        <f>SUMIFS('caseload data'!F:F,'caseload data'!$D:$D,"PSO",'caseload data'!$C:$C,'divisional &amp; regional caseload'!$T$64)</f>
        <v>0</v>
      </c>
      <c r="W95" s="94">
        <f>SUMIFS('caseload data'!G:G,'caseload data'!$D:$D,"PSO",'caseload data'!$C:$C,'divisional &amp; regional caseload'!$T$64)</f>
        <v>0</v>
      </c>
      <c r="X95" s="94">
        <f>SUMIFS('caseload data'!H:H,'caseload data'!$D:$D,"PSO",'caseload data'!$C:$C,'divisional &amp; regional caseload'!$T$64)</f>
        <v>0</v>
      </c>
      <c r="Y95" s="94">
        <f>SUMIFS('caseload data'!I:I,'caseload data'!$D:$D,"PSO",'caseload data'!$C:$C,'divisional &amp; regional caseload'!$T$64)</f>
        <v>0</v>
      </c>
      <c r="Z95" s="94">
        <f>SUMIFS('caseload data'!J:J,'caseload data'!$D:$D,"PSO",'caseload data'!$C:$C,'divisional &amp; regional caseload'!$T$64)</f>
        <v>0</v>
      </c>
      <c r="AA95" s="94">
        <f>SUMIFS('caseload data'!K:K,'caseload data'!$D:$D,"PSO",'caseload data'!$C:$C,'divisional &amp; regional caseload'!$T$64)</f>
        <v>0</v>
      </c>
      <c r="AB95" s="94">
        <f>SUMIFS('caseload data'!L:L,'caseload data'!$D:$D,"PSO",'caseload data'!$C:$C,'divisional &amp; regional caseload'!$T$64)</f>
        <v>0</v>
      </c>
      <c r="AC95" s="94">
        <f>SUMIFS('caseload data'!M:M,'caseload data'!$D:$D,"PSO",'caseload data'!$C:$C,'divisional &amp; regional caseload'!$T$64)</f>
        <v>0</v>
      </c>
      <c r="AD95" s="94">
        <f>SUMIFS('caseload data'!N:N,'caseload data'!$D:$D,"PSO",'caseload data'!$C:$C,'divisional &amp; regional caseload'!$T$64)</f>
        <v>0</v>
      </c>
      <c r="AE95" s="94">
        <f>SUMIFS('caseload data'!O:O,'caseload data'!$D:$D,"PSO",'caseload data'!$C:$C,'divisional &amp; regional caseload'!$T$64)</f>
        <v>0</v>
      </c>
      <c r="AF95" s="94">
        <f>SUMIFS('caseload data'!P:P,'caseload data'!$D:$D,"PSO",'caseload data'!$C:$C,'divisional &amp; regional caseload'!$T$64)</f>
        <v>0</v>
      </c>
      <c r="AG95" s="94">
        <f>SUMIFS('caseload data'!Q:Q,'caseload data'!$D:$D,"PSO",'caseload data'!$C:$C,'divisional &amp; regional caseload'!$T$64)</f>
        <v>0</v>
      </c>
      <c r="AH95" s="94">
        <f>SUMIFS('caseload data'!R:R,'caseload data'!$D:$D,"PSO",'caseload data'!$C:$C,'divisional &amp; regional caseload'!$T$64)</f>
        <v>0</v>
      </c>
      <c r="AI95" s="94">
        <f>SUMIFS('caseload data'!S:S,'caseload data'!$D:$D,"PSO",'caseload data'!$C:$C,'divisional &amp; regional caseload'!$T$64)</f>
        <v>0</v>
      </c>
      <c r="AJ95" s="94">
        <f>SUMIFS('caseload data'!T:T,'caseload data'!$D:$D,"PSO",'caseload data'!$C:$C,'divisional &amp; regional caseload'!$T$64)</f>
        <v>0</v>
      </c>
    </row>
    <row r="96" spans="2:36" x14ac:dyDescent="0.15">
      <c r="B96" s="97" t="s">
        <v>1008</v>
      </c>
      <c r="C96" s="94">
        <f>SUMIFS('caseload data'!E:E,'caseload data'!$D:$D,"TPO",'caseload data'!$C:$C,'divisional &amp; regional caseload'!$B$92)</f>
        <v>0</v>
      </c>
      <c r="D96" s="94">
        <f>SUMIFS('caseload data'!F:F,'caseload data'!$D:$D,"TPO",'caseload data'!$C:$C,'divisional &amp; regional caseload'!$B$92)</f>
        <v>0</v>
      </c>
      <c r="E96" s="94">
        <f>SUMIFS('caseload data'!G:G,'caseload data'!$D:$D,"TPO",'caseload data'!$C:$C,'divisional &amp; regional caseload'!$B$92)</f>
        <v>0</v>
      </c>
      <c r="F96" s="94">
        <f>SUMIFS('caseload data'!H:H,'caseload data'!$D:$D,"TPO",'caseload data'!$C:$C,'divisional &amp; regional caseload'!$B$92)</f>
        <v>0</v>
      </c>
      <c r="G96" s="94">
        <f>SUMIFS('caseload data'!I:I,'caseload data'!$D:$D,"TPO",'caseload data'!$C:$C,'divisional &amp; regional caseload'!$B$92)</f>
        <v>0</v>
      </c>
      <c r="H96" s="94">
        <f>SUMIFS('caseload data'!J:J,'caseload data'!$D:$D,"TPO",'caseload data'!$C:$C,'divisional &amp; regional caseload'!$B$92)</f>
        <v>0</v>
      </c>
      <c r="I96" s="94">
        <f>SUMIFS('caseload data'!K:K,'caseload data'!$D:$D,"TPO",'caseload data'!$C:$C,'divisional &amp; regional caseload'!$B$92)</f>
        <v>0</v>
      </c>
      <c r="J96" s="94">
        <f>SUMIFS('caseload data'!L:L,'caseload data'!$D:$D,"TPO",'caseload data'!$C:$C,'divisional &amp; regional caseload'!$B$92)</f>
        <v>0</v>
      </c>
      <c r="K96" s="94">
        <f>SUMIFS('caseload data'!M:M,'caseload data'!$D:$D,"TPO",'caseload data'!$C:$C,'divisional &amp; regional caseload'!$B$92)</f>
        <v>0</v>
      </c>
      <c r="L96" s="94">
        <f>SUMIFS('caseload data'!N:N,'caseload data'!$D:$D,"TPO",'caseload data'!$C:$C,'divisional &amp; regional caseload'!$B$92)</f>
        <v>0</v>
      </c>
      <c r="M96" s="94">
        <f>SUMIFS('caseload data'!O:O,'caseload data'!$D:$D,"TPO",'caseload data'!$C:$C,'divisional &amp; regional caseload'!$B$92)</f>
        <v>0</v>
      </c>
      <c r="N96" s="94">
        <f>SUMIFS('caseload data'!P:P,'caseload data'!$D:$D,"TPO",'caseload data'!$C:$C,'divisional &amp; regional caseload'!$B$92)</f>
        <v>0</v>
      </c>
      <c r="O96" s="94">
        <f>SUMIFS('caseload data'!Q:Q,'caseload data'!$D:$D,"TPO",'caseload data'!$C:$C,'divisional &amp; regional caseload'!$B$92)</f>
        <v>0</v>
      </c>
      <c r="P96" s="94">
        <f>SUMIFS('caseload data'!R:R,'caseload data'!$D:$D,"TPO",'caseload data'!$C:$C,'divisional &amp; regional caseload'!$B$92)</f>
        <v>0</v>
      </c>
      <c r="Q96" s="94">
        <f>SUMIFS('caseload data'!S:S,'caseload data'!$D:$D,"TPO",'caseload data'!$C:$C,'divisional &amp; regional caseload'!$B$92)</f>
        <v>0</v>
      </c>
      <c r="R96" s="94">
        <f>SUMIFS('caseload data'!T:T,'caseload data'!$D:$D,"TPO",'caseload data'!$C:$C,'divisional &amp; regional caseload'!$B$92)</f>
        <v>0</v>
      </c>
      <c r="T96" s="97" t="s">
        <v>1008</v>
      </c>
      <c r="U96" s="94">
        <f>SUMIFS('caseload data'!E:E,'caseload data'!$D:$D,"TPO",'caseload data'!$C:$C,'divisional &amp; regional caseload'!$T$64)</f>
        <v>0</v>
      </c>
      <c r="V96" s="94">
        <f>SUMIFS('caseload data'!F:F,'caseload data'!$D:$D,"TPO",'caseload data'!$C:$C,'divisional &amp; regional caseload'!$T$64)</f>
        <v>0</v>
      </c>
      <c r="W96" s="94">
        <f>SUMIFS('caseload data'!G:G,'caseload data'!$D:$D,"TPO",'caseload data'!$C:$C,'divisional &amp; regional caseload'!$T$64)</f>
        <v>0</v>
      </c>
      <c r="X96" s="94">
        <f>SUMIFS('caseload data'!H:H,'caseload data'!$D:$D,"TPO",'caseload data'!$C:$C,'divisional &amp; regional caseload'!$T$64)</f>
        <v>0</v>
      </c>
      <c r="Y96" s="94">
        <f>SUMIFS('caseload data'!I:I,'caseload data'!$D:$D,"TPO",'caseload data'!$C:$C,'divisional &amp; regional caseload'!$T$64)</f>
        <v>0</v>
      </c>
      <c r="Z96" s="94">
        <f>SUMIFS('caseload data'!J:J,'caseload data'!$D:$D,"TPO",'caseload data'!$C:$C,'divisional &amp; regional caseload'!$T$64)</f>
        <v>0</v>
      </c>
      <c r="AA96" s="94">
        <f>SUMIFS('caseload data'!K:K,'caseload data'!$D:$D,"TPO",'caseload data'!$C:$C,'divisional &amp; regional caseload'!$T$64)</f>
        <v>0</v>
      </c>
      <c r="AB96" s="94">
        <f>SUMIFS('caseload data'!L:L,'caseload data'!$D:$D,"TPO",'caseload data'!$C:$C,'divisional &amp; regional caseload'!$T$64)</f>
        <v>0</v>
      </c>
      <c r="AC96" s="94">
        <f>SUMIFS('caseload data'!M:M,'caseload data'!$D:$D,"TPO",'caseload data'!$C:$C,'divisional &amp; regional caseload'!$T$64)</f>
        <v>0</v>
      </c>
      <c r="AD96" s="94">
        <f>SUMIFS('caseload data'!N:N,'caseload data'!$D:$D,"TPO",'caseload data'!$C:$C,'divisional &amp; regional caseload'!$T$64)</f>
        <v>0</v>
      </c>
      <c r="AE96" s="94">
        <f>SUMIFS('caseload data'!O:O,'caseload data'!$D:$D,"TPO",'caseload data'!$C:$C,'divisional &amp; regional caseload'!$T$64)</f>
        <v>0</v>
      </c>
      <c r="AF96" s="94">
        <f>SUMIFS('caseload data'!P:P,'caseload data'!$D:$D,"TPO",'caseload data'!$C:$C,'divisional &amp; regional caseload'!$T$64)</f>
        <v>0</v>
      </c>
      <c r="AG96" s="94">
        <f>SUMIFS('caseload data'!Q:Q,'caseload data'!$D:$D,"TPO",'caseload data'!$C:$C,'divisional &amp; regional caseload'!$T$64)</f>
        <v>0</v>
      </c>
      <c r="AH96" s="94">
        <f>SUMIFS('caseload data'!R:R,'caseload data'!$D:$D,"TPO",'caseload data'!$C:$C,'divisional &amp; regional caseload'!$T$64)</f>
        <v>0</v>
      </c>
      <c r="AI96" s="94">
        <f>SUMIFS('caseload data'!S:S,'caseload data'!$D:$D,"TPO",'caseload data'!$C:$C,'divisional &amp; regional caseload'!$T$64)</f>
        <v>0</v>
      </c>
      <c r="AJ96" s="94">
        <f>SUMIFS('caseload data'!T:T,'caseload data'!$D:$D,"TPO",'caseload data'!$C:$C,'divisional &amp; regional caseload'!$T$64)</f>
        <v>0</v>
      </c>
    </row>
    <row r="97" spans="2:36" x14ac:dyDescent="0.15">
      <c r="B97" s="98" t="s">
        <v>1009</v>
      </c>
      <c r="C97" s="94">
        <f>SUMIFS('caseload data'!E:E,'caseload data'!$D:$D,"SPO",'caseload data'!$C:$C,'divisional &amp; regional caseload'!$B$92)</f>
        <v>0</v>
      </c>
      <c r="D97" s="94">
        <f>SUMIFS('caseload data'!F:F,'caseload data'!$D:$D,"SPO",'caseload data'!$C:$C,'divisional &amp; regional caseload'!$B$92)</f>
        <v>0</v>
      </c>
      <c r="E97" s="94">
        <f>SUMIFS('caseload data'!G:G,'caseload data'!$D:$D,"SPO",'caseload data'!$C:$C,'divisional &amp; regional caseload'!$B$92)</f>
        <v>0</v>
      </c>
      <c r="F97" s="94">
        <f>SUMIFS('caseload data'!H:H,'caseload data'!$D:$D,"SPO",'caseload data'!$C:$C,'divisional &amp; regional caseload'!$B$92)</f>
        <v>0</v>
      </c>
      <c r="G97" s="94">
        <f>SUMIFS('caseload data'!I:I,'caseload data'!$D:$D,"SPO",'caseload data'!$C:$C,'divisional &amp; regional caseload'!$B$92)</f>
        <v>0</v>
      </c>
      <c r="H97" s="94">
        <f>SUMIFS('caseload data'!J:J,'caseload data'!$D:$D,"SPO",'caseload data'!$C:$C,'divisional &amp; regional caseload'!$B$92)</f>
        <v>0</v>
      </c>
      <c r="I97" s="94">
        <f>SUMIFS('caseload data'!K:K,'caseload data'!$D:$D,"SPO",'caseload data'!$C:$C,'divisional &amp; regional caseload'!$B$92)</f>
        <v>0</v>
      </c>
      <c r="J97" s="94">
        <f>SUMIFS('caseload data'!L:L,'caseload data'!$D:$D,"SPO",'caseload data'!$C:$C,'divisional &amp; regional caseload'!$B$92)</f>
        <v>0</v>
      </c>
      <c r="K97" s="94">
        <f>SUMIFS('caseload data'!M:M,'caseload data'!$D:$D,"SPO",'caseload data'!$C:$C,'divisional &amp; regional caseload'!$B$92)</f>
        <v>0</v>
      </c>
      <c r="L97" s="94">
        <f>SUMIFS('caseload data'!N:N,'caseload data'!$D:$D,"SPO",'caseload data'!$C:$C,'divisional &amp; regional caseload'!$B$92)</f>
        <v>0</v>
      </c>
      <c r="M97" s="94">
        <f>SUMIFS('caseload data'!O:O,'caseload data'!$D:$D,"SPO",'caseload data'!$C:$C,'divisional &amp; regional caseload'!$B$92)</f>
        <v>0</v>
      </c>
      <c r="N97" s="94">
        <f>SUMIFS('caseload data'!P:P,'caseload data'!$D:$D,"SPO",'caseload data'!$C:$C,'divisional &amp; regional caseload'!$B$92)</f>
        <v>0</v>
      </c>
      <c r="O97" s="94">
        <f>SUMIFS('caseload data'!Q:Q,'caseload data'!$D:$D,"SPO",'caseload data'!$C:$C,'divisional &amp; regional caseload'!$B$92)</f>
        <v>0</v>
      </c>
      <c r="P97" s="94">
        <f>SUMIFS('caseload data'!R:R,'caseload data'!$D:$D,"SPO",'caseload data'!$C:$C,'divisional &amp; regional caseload'!$B$92)</f>
        <v>0</v>
      </c>
      <c r="Q97" s="94">
        <f>SUMIFS('caseload data'!S:S,'caseload data'!$D:$D,"SPO",'caseload data'!$C:$C,'divisional &amp; regional caseload'!$B$92)</f>
        <v>0</v>
      </c>
      <c r="R97" s="94">
        <f>SUMIFS('caseload data'!T:T,'caseload data'!$D:$D,"SPO",'caseload data'!$C:$C,'divisional &amp; regional caseload'!$B$92)</f>
        <v>0</v>
      </c>
      <c r="T97" s="98" t="s">
        <v>1009</v>
      </c>
      <c r="U97" s="94">
        <f>SUMIFS('caseload data'!E:E,'caseload data'!$D:$D,"SPO",'caseload data'!$C:$C,'divisional &amp; regional caseload'!$T$64)</f>
        <v>0</v>
      </c>
      <c r="V97" s="94">
        <f>SUMIFS('caseload data'!F:F,'caseload data'!$D:$D,"SPO",'caseload data'!$C:$C,'divisional &amp; regional caseload'!$T$64)</f>
        <v>0</v>
      </c>
      <c r="W97" s="94">
        <f>SUMIFS('caseload data'!G:G,'caseload data'!$D:$D,"SPO",'caseload data'!$C:$C,'divisional &amp; regional caseload'!$T$64)</f>
        <v>0</v>
      </c>
      <c r="X97" s="94">
        <f>SUMIFS('caseload data'!H:H,'caseload data'!$D:$D,"SPO",'caseload data'!$C:$C,'divisional &amp; regional caseload'!$T$64)</f>
        <v>0</v>
      </c>
      <c r="Y97" s="94">
        <f>SUMIFS('caseload data'!I:I,'caseload data'!$D:$D,"SPO",'caseload data'!$C:$C,'divisional &amp; regional caseload'!$T$64)</f>
        <v>0</v>
      </c>
      <c r="Z97" s="94">
        <f>SUMIFS('caseload data'!J:J,'caseload data'!$D:$D,"SPO",'caseload data'!$C:$C,'divisional &amp; regional caseload'!$T$64)</f>
        <v>0</v>
      </c>
      <c r="AA97" s="94">
        <f>SUMIFS('caseload data'!K:K,'caseload data'!$D:$D,"SPO",'caseload data'!$C:$C,'divisional &amp; regional caseload'!$T$64)</f>
        <v>0</v>
      </c>
      <c r="AB97" s="94">
        <f>SUMIFS('caseload data'!L:L,'caseload data'!$D:$D,"SPO",'caseload data'!$C:$C,'divisional &amp; regional caseload'!$T$64)</f>
        <v>0</v>
      </c>
      <c r="AC97" s="94">
        <f>SUMIFS('caseload data'!M:M,'caseload data'!$D:$D,"SPO",'caseload data'!$C:$C,'divisional &amp; regional caseload'!$T$64)</f>
        <v>0</v>
      </c>
      <c r="AD97" s="94">
        <f>SUMIFS('caseload data'!N:N,'caseload data'!$D:$D,"SPO",'caseload data'!$C:$C,'divisional &amp; regional caseload'!$T$64)</f>
        <v>0</v>
      </c>
      <c r="AE97" s="94">
        <f>SUMIFS('caseload data'!O:O,'caseload data'!$D:$D,"SPO",'caseload data'!$C:$C,'divisional &amp; regional caseload'!$T$64)</f>
        <v>0</v>
      </c>
      <c r="AF97" s="94">
        <f>SUMIFS('caseload data'!P:P,'caseload data'!$D:$D,"SPO",'caseload data'!$C:$C,'divisional &amp; regional caseload'!$T$64)</f>
        <v>0</v>
      </c>
      <c r="AG97" s="94">
        <f>SUMIFS('caseload data'!Q:Q,'caseload data'!$D:$D,"SPO",'caseload data'!$C:$C,'divisional &amp; regional caseload'!$T$64)</f>
        <v>0</v>
      </c>
      <c r="AH97" s="94">
        <f>SUMIFS('caseload data'!R:R,'caseload data'!$D:$D,"SPO",'caseload data'!$C:$C,'divisional &amp; regional caseload'!$T$64)</f>
        <v>0</v>
      </c>
      <c r="AI97" s="94">
        <f>SUMIFS('caseload data'!S:S,'caseload data'!$D:$D,"SPO",'caseload data'!$C:$C,'divisional &amp; regional caseload'!$T$64)</f>
        <v>0</v>
      </c>
      <c r="AJ97" s="94">
        <f>SUMIFS('caseload data'!T:T,'caseload data'!$D:$D,"SPO",'caseload data'!$C:$C,'divisional &amp; regional caseload'!$T$64)</f>
        <v>0</v>
      </c>
    </row>
    <row r="99" spans="2:36" ht="31.5" customHeight="1" x14ac:dyDescent="0.15">
      <c r="B99" s="142">
        <f>HLOOKUP($B$5,Region_Table,28,0)</f>
        <v>0</v>
      </c>
      <c r="C99" s="507" t="s">
        <v>1097</v>
      </c>
      <c r="D99" s="508"/>
      <c r="E99" s="508"/>
      <c r="F99" s="508"/>
      <c r="G99" s="508"/>
      <c r="H99" s="508"/>
      <c r="I99" s="508"/>
      <c r="J99" s="508"/>
      <c r="K99" s="508"/>
      <c r="L99" s="508"/>
      <c r="M99" s="518"/>
      <c r="N99" s="518"/>
      <c r="O99" s="519"/>
      <c r="P99" s="510">
        <f>SUMIF('caseload data'!$C:$C,'divisional &amp; regional caseload'!B99,'caseload data'!V:V)</f>
        <v>0</v>
      </c>
      <c r="Q99" s="511"/>
      <c r="R99" s="512"/>
      <c r="T99" s="142">
        <f>HLOOKUP($B$5,Region_Table,29,0)</f>
        <v>0</v>
      </c>
      <c r="U99" s="507" t="s">
        <v>1097</v>
      </c>
      <c r="V99" s="508"/>
      <c r="W99" s="508"/>
      <c r="X99" s="508"/>
      <c r="Y99" s="508"/>
      <c r="Z99" s="508"/>
      <c r="AA99" s="508"/>
      <c r="AB99" s="508"/>
      <c r="AC99" s="508"/>
      <c r="AD99" s="508"/>
      <c r="AE99" s="508"/>
      <c r="AF99" s="508"/>
      <c r="AG99" s="509"/>
      <c r="AH99" s="510">
        <f>SUMIF('caseload data'!$C:$C,'divisional &amp; regional caseload'!T99,'caseload data'!V:V)</f>
        <v>0</v>
      </c>
      <c r="AI99" s="513"/>
      <c r="AJ99" s="514"/>
    </row>
    <row r="100" spans="2:36" x14ac:dyDescent="0.15">
      <c r="B100" s="95" t="s">
        <v>1005</v>
      </c>
      <c r="C100" s="38" t="s">
        <v>869</v>
      </c>
      <c r="D100" s="38" t="s">
        <v>870</v>
      </c>
      <c r="E100" s="38" t="s">
        <v>871</v>
      </c>
      <c r="F100" s="38" t="s">
        <v>872</v>
      </c>
      <c r="G100" s="38" t="s">
        <v>873</v>
      </c>
      <c r="H100" s="38" t="s">
        <v>874</v>
      </c>
      <c r="I100" s="38" t="s">
        <v>875</v>
      </c>
      <c r="J100" s="38" t="s">
        <v>876</v>
      </c>
      <c r="K100" s="38" t="s">
        <v>877</v>
      </c>
      <c r="L100" s="38" t="s">
        <v>878</v>
      </c>
      <c r="M100" s="38" t="s">
        <v>879</v>
      </c>
      <c r="N100" s="38" t="s">
        <v>880</v>
      </c>
      <c r="O100" s="38" t="s">
        <v>881</v>
      </c>
      <c r="P100" s="38" t="s">
        <v>882</v>
      </c>
      <c r="Q100" s="38" t="s">
        <v>883</v>
      </c>
      <c r="R100" s="38" t="s">
        <v>884</v>
      </c>
      <c r="T100" s="95" t="s">
        <v>1005</v>
      </c>
      <c r="U100" s="38" t="s">
        <v>869</v>
      </c>
      <c r="V100" s="38" t="s">
        <v>870</v>
      </c>
      <c r="W100" s="38" t="s">
        <v>871</v>
      </c>
      <c r="X100" s="38" t="s">
        <v>872</v>
      </c>
      <c r="Y100" s="38" t="s">
        <v>873</v>
      </c>
      <c r="Z100" s="38" t="s">
        <v>874</v>
      </c>
      <c r="AA100" s="38" t="s">
        <v>875</v>
      </c>
      <c r="AB100" s="38" t="s">
        <v>876</v>
      </c>
      <c r="AC100" s="38" t="s">
        <v>877</v>
      </c>
      <c r="AD100" s="38" t="s">
        <v>878</v>
      </c>
      <c r="AE100" s="38" t="s">
        <v>879</v>
      </c>
      <c r="AF100" s="38" t="s">
        <v>880</v>
      </c>
      <c r="AG100" s="38" t="s">
        <v>881</v>
      </c>
      <c r="AH100" s="38" t="s">
        <v>882</v>
      </c>
      <c r="AI100" s="38" t="s">
        <v>883</v>
      </c>
      <c r="AJ100" s="38" t="s">
        <v>884</v>
      </c>
    </row>
    <row r="101" spans="2:36" x14ac:dyDescent="0.15">
      <c r="B101" s="96" t="s">
        <v>1002</v>
      </c>
      <c r="C101" s="94">
        <f>SUMIFS('caseload data'!E:E,'caseload data'!$D:$D,"PO",'caseload data'!$C:$C,'divisional &amp; regional caseload'!$B$71)</f>
        <v>0</v>
      </c>
      <c r="D101" s="94">
        <f>SUMIFS('caseload data'!F:F,'caseload data'!$D:$D,"PO",'caseload data'!$C:$C,'divisional &amp; regional caseload'!$B$71)</f>
        <v>0</v>
      </c>
      <c r="E101" s="94">
        <f>SUMIFS('caseload data'!G:G,'caseload data'!$D:$D,"PO",'caseload data'!$C:$C,'divisional &amp; regional caseload'!$B$71)</f>
        <v>0</v>
      </c>
      <c r="F101" s="94">
        <f>SUMIFS('caseload data'!H:H,'caseload data'!$D:$D,"PO",'caseload data'!$C:$C,'divisional &amp; regional caseload'!$B$71)</f>
        <v>0</v>
      </c>
      <c r="G101" s="94">
        <f>SUMIFS('caseload data'!I:I,'caseload data'!$D:$D,"PO",'caseload data'!$C:$C,'divisional &amp; regional caseload'!$B$71)</f>
        <v>0</v>
      </c>
      <c r="H101" s="94">
        <f>SUMIFS('caseload data'!J:J,'caseload data'!$D:$D,"PO",'caseload data'!$C:$C,'divisional &amp; regional caseload'!$B$71)</f>
        <v>0</v>
      </c>
      <c r="I101" s="94">
        <f>SUMIFS('caseload data'!K:K,'caseload data'!$D:$D,"PO",'caseload data'!$C:$C,'divisional &amp; regional caseload'!$B$71)</f>
        <v>0</v>
      </c>
      <c r="J101" s="94">
        <f>SUMIFS('caseload data'!L:L,'caseload data'!$D:$D,"PO",'caseload data'!$C:$C,'divisional &amp; regional caseload'!$B$71)</f>
        <v>0</v>
      </c>
      <c r="K101" s="94">
        <f>SUMIFS('caseload data'!M:M,'caseload data'!$D:$D,"PO",'caseload data'!$C:$C,'divisional &amp; regional caseload'!$B$71)</f>
        <v>0</v>
      </c>
      <c r="L101" s="94">
        <f>SUMIFS('caseload data'!N:N,'caseload data'!$D:$D,"PO",'caseload data'!$C:$C,'divisional &amp; regional caseload'!$B$71)</f>
        <v>0</v>
      </c>
      <c r="M101" s="94">
        <f>SUMIFS('caseload data'!O:O,'caseload data'!$D:$D,"PO",'caseload data'!$C:$C,'divisional &amp; regional caseload'!$B$71)</f>
        <v>0</v>
      </c>
      <c r="N101" s="94">
        <f>SUMIFS('caseload data'!P:P,'caseload data'!$D:$D,"PO",'caseload data'!$C:$C,'divisional &amp; regional caseload'!$B$71)</f>
        <v>0</v>
      </c>
      <c r="O101" s="94">
        <f>SUMIFS('caseload data'!Q:Q,'caseload data'!$D:$D,"PO",'caseload data'!$C:$C,'divisional &amp; regional caseload'!$B$71)</f>
        <v>0</v>
      </c>
      <c r="P101" s="94">
        <f>SUMIFS('caseload data'!R:R,'caseload data'!$D:$D,"PO",'caseload data'!$C:$C,'divisional &amp; regional caseload'!$B$71)</f>
        <v>0</v>
      </c>
      <c r="Q101" s="94">
        <f>SUMIFS('caseload data'!S:S,'caseload data'!$D:$D,"PO",'caseload data'!$C:$C,'divisional &amp; regional caseload'!$B$71)</f>
        <v>0</v>
      </c>
      <c r="R101" s="94">
        <f>SUMIFS('caseload data'!T:T,'caseload data'!$D:$D,"PO",'caseload data'!$C:$C,'divisional &amp; regional caseload'!$B$71)</f>
        <v>0</v>
      </c>
      <c r="T101" s="96" t="s">
        <v>1002</v>
      </c>
      <c r="U101" s="94">
        <f>SUMIFS('caseload data'!E:E,'caseload data'!$D:$D,"PO",'caseload data'!$C:$C,'divisional &amp; regional caseload'!$T$99)</f>
        <v>0</v>
      </c>
      <c r="V101" s="94">
        <f>SUMIFS('caseload data'!F:F,'caseload data'!$D:$D,"PO",'caseload data'!$C:$C,'divisional &amp; regional caseload'!$T$99)</f>
        <v>0</v>
      </c>
      <c r="W101" s="94">
        <f>SUMIFS('caseload data'!G:G,'caseload data'!$D:$D,"PO",'caseload data'!$C:$C,'divisional &amp; regional caseload'!$T$99)</f>
        <v>0</v>
      </c>
      <c r="X101" s="94">
        <f>SUMIFS('caseload data'!H:H,'caseload data'!$D:$D,"PO",'caseload data'!$C:$C,'divisional &amp; regional caseload'!$T$99)</f>
        <v>0</v>
      </c>
      <c r="Y101" s="94">
        <f>SUMIFS('caseload data'!I:I,'caseload data'!$D:$D,"PO",'caseload data'!$C:$C,'divisional &amp; regional caseload'!$T$99)</f>
        <v>0</v>
      </c>
      <c r="Z101" s="94">
        <f>SUMIFS('caseload data'!J:J,'caseload data'!$D:$D,"PO",'caseload data'!$C:$C,'divisional &amp; regional caseload'!$T$99)</f>
        <v>0</v>
      </c>
      <c r="AA101" s="94">
        <f>SUMIFS('caseload data'!K:K,'caseload data'!$D:$D,"PO",'caseload data'!$C:$C,'divisional &amp; regional caseload'!$T$99)</f>
        <v>0</v>
      </c>
      <c r="AB101" s="94">
        <f>SUMIFS('caseload data'!L:L,'caseload data'!$D:$D,"PO",'caseload data'!$C:$C,'divisional &amp; regional caseload'!$T$99)</f>
        <v>0</v>
      </c>
      <c r="AC101" s="94">
        <f>SUMIFS('caseload data'!M:M,'caseload data'!$D:$D,"PO",'caseload data'!$C:$C,'divisional &amp; regional caseload'!$T$99)</f>
        <v>0</v>
      </c>
      <c r="AD101" s="94">
        <f>SUMIFS('caseload data'!N:N,'caseload data'!$D:$D,"PO",'caseload data'!$C:$C,'divisional &amp; regional caseload'!$T$99)</f>
        <v>0</v>
      </c>
      <c r="AE101" s="94">
        <f>SUMIFS('caseload data'!O:O,'caseload data'!$D:$D,"PO",'caseload data'!$C:$C,'divisional &amp; regional caseload'!$T$99)</f>
        <v>0</v>
      </c>
      <c r="AF101" s="94">
        <f>SUMIFS('caseload data'!P:P,'caseload data'!$D:$D,"PO",'caseload data'!$C:$C,'divisional &amp; regional caseload'!$T$99)</f>
        <v>0</v>
      </c>
      <c r="AG101" s="94">
        <f>SUMIFS('caseload data'!Q:Q,'caseload data'!$D:$D,"PO",'caseload data'!$C:$C,'divisional &amp; regional caseload'!$T$99)</f>
        <v>0</v>
      </c>
      <c r="AH101" s="94">
        <f>SUMIFS('caseload data'!R:R,'caseload data'!$D:$D,"PO",'caseload data'!$C:$C,'divisional &amp; regional caseload'!$T$99)</f>
        <v>0</v>
      </c>
      <c r="AI101" s="94">
        <f>SUMIFS('caseload data'!S:S,'caseload data'!$D:$D,"PO",'caseload data'!$C:$C,'divisional &amp; regional caseload'!$T$99)</f>
        <v>0</v>
      </c>
      <c r="AJ101" s="94">
        <f>SUMIFS('caseload data'!T:T,'caseload data'!$D:$D,"PO",'caseload data'!$C:$C,'divisional &amp; regional caseload'!$T$99)</f>
        <v>0</v>
      </c>
    </row>
    <row r="102" spans="2:36" x14ac:dyDescent="0.15">
      <c r="B102" s="97" t="s">
        <v>1007</v>
      </c>
      <c r="C102" s="94">
        <f>SUMIFS('caseload data'!E:E,'caseload data'!$D:$D,"PSO",'caseload data'!$C:$C,'divisional &amp; regional caseload'!$B$71)</f>
        <v>0</v>
      </c>
      <c r="D102" s="94">
        <f>SUMIFS('caseload data'!F:F,'caseload data'!$D:$D,"PSO",'caseload data'!$C:$C,'divisional &amp; regional caseload'!$B$71)</f>
        <v>0</v>
      </c>
      <c r="E102" s="94">
        <f>SUMIFS('caseload data'!G:G,'caseload data'!$D:$D,"PSO",'caseload data'!$C:$C,'divisional &amp; regional caseload'!$B$71)</f>
        <v>0</v>
      </c>
      <c r="F102" s="94">
        <f>SUMIFS('caseload data'!H:H,'caseload data'!$D:$D,"PSO",'caseload data'!$C:$C,'divisional &amp; regional caseload'!$B$71)</f>
        <v>0</v>
      </c>
      <c r="G102" s="94">
        <f>SUMIFS('caseload data'!I:I,'caseload data'!$D:$D,"PSO",'caseload data'!$C:$C,'divisional &amp; regional caseload'!$B$71)</f>
        <v>0</v>
      </c>
      <c r="H102" s="94">
        <f>SUMIFS('caseload data'!J:J,'caseload data'!$D:$D,"PSO",'caseload data'!$C:$C,'divisional &amp; regional caseload'!$B$71)</f>
        <v>0</v>
      </c>
      <c r="I102" s="94">
        <f>SUMIFS('caseload data'!K:K,'caseload data'!$D:$D,"PSO",'caseload data'!$C:$C,'divisional &amp; regional caseload'!$B$71)</f>
        <v>0</v>
      </c>
      <c r="J102" s="94">
        <f>SUMIFS('caseload data'!L:L,'caseload data'!$D:$D,"PSO",'caseload data'!$C:$C,'divisional &amp; regional caseload'!$B$71)</f>
        <v>0</v>
      </c>
      <c r="K102" s="94">
        <f>SUMIFS('caseload data'!M:M,'caseload data'!$D:$D,"PSO",'caseload data'!$C:$C,'divisional &amp; regional caseload'!$B$71)</f>
        <v>0</v>
      </c>
      <c r="L102" s="94">
        <f>SUMIFS('caseload data'!N:N,'caseload data'!$D:$D,"PSO",'caseload data'!$C:$C,'divisional &amp; regional caseload'!$B$71)</f>
        <v>0</v>
      </c>
      <c r="M102" s="94">
        <f>SUMIFS('caseload data'!O:O,'caseload data'!$D:$D,"PSO",'caseload data'!$C:$C,'divisional &amp; regional caseload'!$B$71)</f>
        <v>0</v>
      </c>
      <c r="N102" s="94">
        <f>SUMIFS('caseload data'!P:P,'caseload data'!$D:$D,"PSO",'caseload data'!$C:$C,'divisional &amp; regional caseload'!$B$71)</f>
        <v>0</v>
      </c>
      <c r="O102" s="94">
        <f>SUMIFS('caseload data'!Q:Q,'caseload data'!$D:$D,"PSO",'caseload data'!$C:$C,'divisional &amp; regional caseload'!$B$71)</f>
        <v>0</v>
      </c>
      <c r="P102" s="94">
        <f>SUMIFS('caseload data'!R:R,'caseload data'!$D:$D,"PSO",'caseload data'!$C:$C,'divisional &amp; regional caseload'!$B$71)</f>
        <v>0</v>
      </c>
      <c r="Q102" s="94">
        <f>SUMIFS('caseload data'!S:S,'caseload data'!$D:$D,"PSO",'caseload data'!$C:$C,'divisional &amp; regional caseload'!$B$71)</f>
        <v>0</v>
      </c>
      <c r="R102" s="94">
        <f>SUMIFS('caseload data'!T:T,'caseload data'!$D:$D,"PSO",'caseload data'!$C:$C,'divisional &amp; regional caseload'!$B$71)</f>
        <v>0</v>
      </c>
      <c r="T102" s="97" t="s">
        <v>1007</v>
      </c>
      <c r="U102" s="94">
        <f>SUMIFS('caseload data'!E:E,'caseload data'!$D:$D,"PSO",'caseload data'!$C:$C,'divisional &amp; regional caseload'!$T$99)</f>
        <v>0</v>
      </c>
      <c r="V102" s="94">
        <f>SUMIFS('caseload data'!F:F,'caseload data'!$D:$D,"PSO",'caseload data'!$C:$C,'divisional &amp; regional caseload'!$T$99)</f>
        <v>0</v>
      </c>
      <c r="W102" s="94">
        <f>SUMIFS('caseload data'!G:G,'caseload data'!$D:$D,"PSO",'caseload data'!$C:$C,'divisional &amp; regional caseload'!$T$99)</f>
        <v>0</v>
      </c>
      <c r="X102" s="94">
        <f>SUMIFS('caseload data'!H:H,'caseload data'!$D:$D,"PSO",'caseload data'!$C:$C,'divisional &amp; regional caseload'!$T$99)</f>
        <v>0</v>
      </c>
      <c r="Y102" s="94">
        <f>SUMIFS('caseload data'!I:I,'caseload data'!$D:$D,"PSO",'caseload data'!$C:$C,'divisional &amp; regional caseload'!$T$99)</f>
        <v>0</v>
      </c>
      <c r="Z102" s="94">
        <f>SUMIFS('caseload data'!J:J,'caseload data'!$D:$D,"PSO",'caseload data'!$C:$C,'divisional &amp; regional caseload'!$T$99)</f>
        <v>0</v>
      </c>
      <c r="AA102" s="94">
        <f>SUMIFS('caseload data'!K:K,'caseload data'!$D:$D,"PSO",'caseload data'!$C:$C,'divisional &amp; regional caseload'!$T$99)</f>
        <v>0</v>
      </c>
      <c r="AB102" s="94">
        <f>SUMIFS('caseload data'!L:L,'caseload data'!$D:$D,"PSO",'caseload data'!$C:$C,'divisional &amp; regional caseload'!$T$99)</f>
        <v>0</v>
      </c>
      <c r="AC102" s="94">
        <f>SUMIFS('caseload data'!M:M,'caseload data'!$D:$D,"PSO",'caseload data'!$C:$C,'divisional &amp; regional caseload'!$T$99)</f>
        <v>0</v>
      </c>
      <c r="AD102" s="94">
        <f>SUMIFS('caseload data'!N:N,'caseload data'!$D:$D,"PSO",'caseload data'!$C:$C,'divisional &amp; regional caseload'!$T$99)</f>
        <v>0</v>
      </c>
      <c r="AE102" s="94">
        <f>SUMIFS('caseload data'!O:O,'caseload data'!$D:$D,"PSO",'caseload data'!$C:$C,'divisional &amp; regional caseload'!$T$99)</f>
        <v>0</v>
      </c>
      <c r="AF102" s="94">
        <f>SUMIFS('caseload data'!P:P,'caseload data'!$D:$D,"PSO",'caseload data'!$C:$C,'divisional &amp; regional caseload'!$T$99)</f>
        <v>0</v>
      </c>
      <c r="AG102" s="94">
        <f>SUMIFS('caseload data'!Q:Q,'caseload data'!$D:$D,"PSO",'caseload data'!$C:$C,'divisional &amp; regional caseload'!$T$99)</f>
        <v>0</v>
      </c>
      <c r="AH102" s="94">
        <f>SUMIFS('caseload data'!R:R,'caseload data'!$D:$D,"PSO",'caseload data'!$C:$C,'divisional &amp; regional caseload'!$T$99)</f>
        <v>0</v>
      </c>
      <c r="AI102" s="94">
        <f>SUMIFS('caseload data'!S:S,'caseload data'!$D:$D,"PSO",'caseload data'!$C:$C,'divisional &amp; regional caseload'!$T$99)</f>
        <v>0</v>
      </c>
      <c r="AJ102" s="94">
        <f>SUMIFS('caseload data'!T:T,'caseload data'!$D:$D,"PSO",'caseload data'!$C:$C,'divisional &amp; regional caseload'!$T$99)</f>
        <v>0</v>
      </c>
    </row>
    <row r="103" spans="2:36" x14ac:dyDescent="0.15">
      <c r="B103" s="97" t="s">
        <v>1008</v>
      </c>
      <c r="C103" s="94">
        <f>SUMIFS('caseload data'!E:E,'caseload data'!$D:$D,"TPO",'caseload data'!$C:$C,'divisional &amp; regional caseload'!$B$71)</f>
        <v>0</v>
      </c>
      <c r="D103" s="94">
        <f>SUMIFS('caseload data'!F:F,'caseload data'!$D:$D,"TPO",'caseload data'!$C:$C,'divisional &amp; regional caseload'!$B$71)</f>
        <v>0</v>
      </c>
      <c r="E103" s="94">
        <f>SUMIFS('caseload data'!G:G,'caseload data'!$D:$D,"TPO",'caseload data'!$C:$C,'divisional &amp; regional caseload'!$B$71)</f>
        <v>0</v>
      </c>
      <c r="F103" s="94">
        <f>SUMIFS('caseload data'!H:H,'caseload data'!$D:$D,"TPO",'caseload data'!$C:$C,'divisional &amp; regional caseload'!$B$71)</f>
        <v>0</v>
      </c>
      <c r="G103" s="94">
        <f>SUMIFS('caseload data'!I:I,'caseload data'!$D:$D,"TPO",'caseload data'!$C:$C,'divisional &amp; regional caseload'!$B$71)</f>
        <v>0</v>
      </c>
      <c r="H103" s="94">
        <f>SUMIFS('caseload data'!J:J,'caseload data'!$D:$D,"TPO",'caseload data'!$C:$C,'divisional &amp; regional caseload'!$B$71)</f>
        <v>0</v>
      </c>
      <c r="I103" s="94">
        <f>SUMIFS('caseload data'!K:K,'caseload data'!$D:$D,"TPO",'caseload data'!$C:$C,'divisional &amp; regional caseload'!$B$71)</f>
        <v>0</v>
      </c>
      <c r="J103" s="94">
        <f>SUMIFS('caseload data'!L:L,'caseload data'!$D:$D,"TPO",'caseload data'!$C:$C,'divisional &amp; regional caseload'!$B$71)</f>
        <v>0</v>
      </c>
      <c r="K103" s="94">
        <f>SUMIFS('caseload data'!M:M,'caseload data'!$D:$D,"TPO",'caseload data'!$C:$C,'divisional &amp; regional caseload'!$B$71)</f>
        <v>0</v>
      </c>
      <c r="L103" s="94">
        <f>SUMIFS('caseload data'!N:N,'caseload data'!$D:$D,"TPO",'caseload data'!$C:$C,'divisional &amp; regional caseload'!$B$71)</f>
        <v>0</v>
      </c>
      <c r="M103" s="94">
        <f>SUMIFS('caseload data'!O:O,'caseload data'!$D:$D,"TPO",'caseload data'!$C:$C,'divisional &amp; regional caseload'!$B$71)</f>
        <v>0</v>
      </c>
      <c r="N103" s="94">
        <f>SUMIFS('caseload data'!P:P,'caseload data'!$D:$D,"TPO",'caseload data'!$C:$C,'divisional &amp; regional caseload'!$B$71)</f>
        <v>0</v>
      </c>
      <c r="O103" s="94">
        <f>SUMIFS('caseload data'!Q:Q,'caseload data'!$D:$D,"TPO",'caseload data'!$C:$C,'divisional &amp; regional caseload'!$B$71)</f>
        <v>0</v>
      </c>
      <c r="P103" s="94">
        <f>SUMIFS('caseload data'!R:R,'caseload data'!$D:$D,"TPO",'caseload data'!$C:$C,'divisional &amp; regional caseload'!$B$71)</f>
        <v>0</v>
      </c>
      <c r="Q103" s="94">
        <f>SUMIFS('caseload data'!S:S,'caseload data'!$D:$D,"TPO",'caseload data'!$C:$C,'divisional &amp; regional caseload'!$B$71)</f>
        <v>0</v>
      </c>
      <c r="R103" s="94">
        <f>SUMIFS('caseload data'!T:T,'caseload data'!$D:$D,"TPO",'caseload data'!$C:$C,'divisional &amp; regional caseload'!$B$71)</f>
        <v>0</v>
      </c>
      <c r="T103" s="97" t="s">
        <v>1008</v>
      </c>
      <c r="U103" s="94">
        <f>SUMIFS('caseload data'!E:E,'caseload data'!$D:$D,"TPO",'caseload data'!$C:$C,'divisional &amp; regional caseload'!$T$99)</f>
        <v>0</v>
      </c>
      <c r="V103" s="94">
        <f>SUMIFS('caseload data'!F:F,'caseload data'!$D:$D,"TPO",'caseload data'!$C:$C,'divisional &amp; regional caseload'!$T$99)</f>
        <v>0</v>
      </c>
      <c r="W103" s="94">
        <f>SUMIFS('caseload data'!G:G,'caseload data'!$D:$D,"TPO",'caseload data'!$C:$C,'divisional &amp; regional caseload'!$T$99)</f>
        <v>0</v>
      </c>
      <c r="X103" s="94">
        <f>SUMIFS('caseload data'!H:H,'caseload data'!$D:$D,"TPO",'caseload data'!$C:$C,'divisional &amp; regional caseload'!$T$99)</f>
        <v>0</v>
      </c>
      <c r="Y103" s="94">
        <f>SUMIFS('caseload data'!I:I,'caseload data'!$D:$D,"TPO",'caseload data'!$C:$C,'divisional &amp; regional caseload'!$T$99)</f>
        <v>0</v>
      </c>
      <c r="Z103" s="94">
        <f>SUMIFS('caseload data'!J:J,'caseload data'!$D:$D,"TPO",'caseload data'!$C:$C,'divisional &amp; regional caseload'!$T$99)</f>
        <v>0</v>
      </c>
      <c r="AA103" s="94">
        <f>SUMIFS('caseload data'!K:K,'caseload data'!$D:$D,"TPO",'caseload data'!$C:$C,'divisional &amp; regional caseload'!$T$99)</f>
        <v>0</v>
      </c>
      <c r="AB103" s="94">
        <f>SUMIFS('caseload data'!L:L,'caseload data'!$D:$D,"TPO",'caseload data'!$C:$C,'divisional &amp; regional caseload'!$T$99)</f>
        <v>0</v>
      </c>
      <c r="AC103" s="94">
        <f>SUMIFS('caseload data'!M:M,'caseload data'!$D:$D,"TPO",'caseload data'!$C:$C,'divisional &amp; regional caseload'!$T$99)</f>
        <v>0</v>
      </c>
      <c r="AD103" s="94">
        <f>SUMIFS('caseload data'!N:N,'caseload data'!$D:$D,"TPO",'caseload data'!$C:$C,'divisional &amp; regional caseload'!$T$99)</f>
        <v>0</v>
      </c>
      <c r="AE103" s="94">
        <f>SUMIFS('caseload data'!O:O,'caseload data'!$D:$D,"TPO",'caseload data'!$C:$C,'divisional &amp; regional caseload'!$T$99)</f>
        <v>0</v>
      </c>
      <c r="AF103" s="94">
        <f>SUMIFS('caseload data'!P:P,'caseload data'!$D:$D,"TPO",'caseload data'!$C:$C,'divisional &amp; regional caseload'!$T$99)</f>
        <v>0</v>
      </c>
      <c r="AG103" s="94">
        <f>SUMIFS('caseload data'!Q:Q,'caseload data'!$D:$D,"TPO",'caseload data'!$C:$C,'divisional &amp; regional caseload'!$T$99)</f>
        <v>0</v>
      </c>
      <c r="AH103" s="94">
        <f>SUMIFS('caseload data'!R:R,'caseload data'!$D:$D,"TPO",'caseload data'!$C:$C,'divisional &amp; regional caseload'!$T$99)</f>
        <v>0</v>
      </c>
      <c r="AI103" s="94">
        <f>SUMIFS('caseload data'!S:S,'caseload data'!$D:$D,"TPO",'caseload data'!$C:$C,'divisional &amp; regional caseload'!$T$99)</f>
        <v>0</v>
      </c>
      <c r="AJ103" s="94">
        <f>SUMIFS('caseload data'!T:T,'caseload data'!$D:$D,"TPO",'caseload data'!$C:$C,'divisional &amp; regional caseload'!$T$99)</f>
        <v>0</v>
      </c>
    </row>
    <row r="104" spans="2:36" x14ac:dyDescent="0.15">
      <c r="B104" s="98" t="s">
        <v>1009</v>
      </c>
      <c r="C104" s="94">
        <f>SUMIFS('caseload data'!E:E,'caseload data'!$D:$D,"SPO",'caseload data'!$C:$C,'divisional &amp; regional caseload'!$B$71)</f>
        <v>0</v>
      </c>
      <c r="D104" s="94">
        <f>SUMIFS('caseload data'!F:F,'caseload data'!$D:$D,"SPO",'caseload data'!$C:$C,'divisional &amp; regional caseload'!$B$71)</f>
        <v>0</v>
      </c>
      <c r="E104" s="94">
        <f>SUMIFS('caseload data'!G:G,'caseload data'!$D:$D,"SPO",'caseload data'!$C:$C,'divisional &amp; regional caseload'!$B$71)</f>
        <v>0</v>
      </c>
      <c r="F104" s="94">
        <f>SUMIFS('caseload data'!H:H,'caseload data'!$D:$D,"SPO",'caseload data'!$C:$C,'divisional &amp; regional caseload'!$B$71)</f>
        <v>0</v>
      </c>
      <c r="G104" s="94">
        <f>SUMIFS('caseload data'!I:I,'caseload data'!$D:$D,"SPO",'caseload data'!$C:$C,'divisional &amp; regional caseload'!$B$71)</f>
        <v>0</v>
      </c>
      <c r="H104" s="94">
        <f>SUMIFS('caseload data'!J:J,'caseload data'!$D:$D,"SPO",'caseload data'!$C:$C,'divisional &amp; regional caseload'!$B$71)</f>
        <v>0</v>
      </c>
      <c r="I104" s="94">
        <f>SUMIFS('caseload data'!K:K,'caseload data'!$D:$D,"SPO",'caseload data'!$C:$C,'divisional &amp; regional caseload'!$B$71)</f>
        <v>0</v>
      </c>
      <c r="J104" s="94">
        <f>SUMIFS('caseload data'!L:L,'caseload data'!$D:$D,"SPO",'caseload data'!$C:$C,'divisional &amp; regional caseload'!$B$71)</f>
        <v>0</v>
      </c>
      <c r="K104" s="94">
        <f>SUMIFS('caseload data'!M:M,'caseload data'!$D:$D,"SPO",'caseload data'!$C:$C,'divisional &amp; regional caseload'!$B$71)</f>
        <v>0</v>
      </c>
      <c r="L104" s="94">
        <f>SUMIFS('caseload data'!N:N,'caseload data'!$D:$D,"SPO",'caseload data'!$C:$C,'divisional &amp; regional caseload'!$B$71)</f>
        <v>0</v>
      </c>
      <c r="M104" s="94">
        <f>SUMIFS('caseload data'!O:O,'caseload data'!$D:$D,"SPO",'caseload data'!$C:$C,'divisional &amp; regional caseload'!$B$71)</f>
        <v>0</v>
      </c>
      <c r="N104" s="94">
        <f>SUMIFS('caseload data'!P:P,'caseload data'!$D:$D,"SPO",'caseload data'!$C:$C,'divisional &amp; regional caseload'!$B$71)</f>
        <v>0</v>
      </c>
      <c r="O104" s="94">
        <f>SUMIFS('caseload data'!Q:Q,'caseload data'!$D:$D,"SPO",'caseload data'!$C:$C,'divisional &amp; regional caseload'!$B$71)</f>
        <v>0</v>
      </c>
      <c r="P104" s="94">
        <f>SUMIFS('caseload data'!R:R,'caseload data'!$D:$D,"SPO",'caseload data'!$C:$C,'divisional &amp; regional caseload'!$B$71)</f>
        <v>0</v>
      </c>
      <c r="Q104" s="94">
        <f>SUMIFS('caseload data'!S:S,'caseload data'!$D:$D,"SPO",'caseload data'!$C:$C,'divisional &amp; regional caseload'!$B$71)</f>
        <v>0</v>
      </c>
      <c r="R104" s="94">
        <f>SUMIFS('caseload data'!T:T,'caseload data'!$D:$D,"SPO",'caseload data'!$C:$C,'divisional &amp; regional caseload'!$B$71)</f>
        <v>0</v>
      </c>
      <c r="T104" s="98" t="s">
        <v>1009</v>
      </c>
      <c r="U104" s="94">
        <f>SUMIFS('caseload data'!E:E,'caseload data'!$D:$D,"SPO",'caseload data'!$C:$C,'divisional &amp; regional caseload'!$T$99)</f>
        <v>0</v>
      </c>
      <c r="V104" s="94">
        <f>SUMIFS('caseload data'!F:F,'caseload data'!$D:$D,"SPO",'caseload data'!$C:$C,'divisional &amp; regional caseload'!$T$99)</f>
        <v>0</v>
      </c>
      <c r="W104" s="94">
        <f>SUMIFS('caseload data'!G:G,'caseload data'!$D:$D,"SPO",'caseload data'!$C:$C,'divisional &amp; regional caseload'!$T$99)</f>
        <v>0</v>
      </c>
      <c r="X104" s="94">
        <f>SUMIFS('caseload data'!H:H,'caseload data'!$D:$D,"SPO",'caseload data'!$C:$C,'divisional &amp; regional caseload'!$T$99)</f>
        <v>0</v>
      </c>
      <c r="Y104" s="94">
        <f>SUMIFS('caseload data'!I:I,'caseload data'!$D:$D,"SPO",'caseload data'!$C:$C,'divisional &amp; regional caseload'!$T$99)</f>
        <v>0</v>
      </c>
      <c r="Z104" s="94">
        <f>SUMIFS('caseload data'!J:J,'caseload data'!$D:$D,"SPO",'caseload data'!$C:$C,'divisional &amp; regional caseload'!$T$99)</f>
        <v>0</v>
      </c>
      <c r="AA104" s="94">
        <f>SUMIFS('caseload data'!K:K,'caseload data'!$D:$D,"SPO",'caseload data'!$C:$C,'divisional &amp; regional caseload'!$T$99)</f>
        <v>0</v>
      </c>
      <c r="AB104" s="94">
        <f>SUMIFS('caseload data'!L:L,'caseload data'!$D:$D,"SPO",'caseload data'!$C:$C,'divisional &amp; regional caseload'!$T$99)</f>
        <v>0</v>
      </c>
      <c r="AC104" s="94">
        <f>SUMIFS('caseload data'!M:M,'caseload data'!$D:$D,"SPO",'caseload data'!$C:$C,'divisional &amp; regional caseload'!$T$99)</f>
        <v>0</v>
      </c>
      <c r="AD104" s="94">
        <f>SUMIFS('caseload data'!N:N,'caseload data'!$D:$D,"SPO",'caseload data'!$C:$C,'divisional &amp; regional caseload'!$T$99)</f>
        <v>0</v>
      </c>
      <c r="AE104" s="94">
        <f>SUMIFS('caseload data'!O:O,'caseload data'!$D:$D,"SPO",'caseload data'!$C:$C,'divisional &amp; regional caseload'!$T$99)</f>
        <v>0</v>
      </c>
      <c r="AF104" s="94">
        <f>SUMIFS('caseload data'!P:P,'caseload data'!$D:$D,"SPO",'caseload data'!$C:$C,'divisional &amp; regional caseload'!$T$99)</f>
        <v>0</v>
      </c>
      <c r="AG104" s="94">
        <f>SUMIFS('caseload data'!Q:Q,'caseload data'!$D:$D,"SPO",'caseload data'!$C:$C,'divisional &amp; regional caseload'!$T$99)</f>
        <v>0</v>
      </c>
      <c r="AH104" s="94">
        <f>SUMIFS('caseload data'!R:R,'caseload data'!$D:$D,"SPO",'caseload data'!$C:$C,'divisional &amp; regional caseload'!$T$99)</f>
        <v>0</v>
      </c>
      <c r="AI104" s="94">
        <f>SUMIFS('caseload data'!S:S,'caseload data'!$D:$D,"SPO",'caseload data'!$C:$C,'divisional &amp; regional caseload'!$T$99)</f>
        <v>0</v>
      </c>
      <c r="AJ104" s="94">
        <f>SUMIFS('caseload data'!T:T,'caseload data'!$D:$D,"SPO",'caseload data'!$C:$C,'divisional &amp; regional caseload'!$T$99)</f>
        <v>0</v>
      </c>
    </row>
  </sheetData>
  <mergeCells count="59">
    <mergeCell ref="A2:AO2"/>
    <mergeCell ref="C8:O8"/>
    <mergeCell ref="P8:R8"/>
    <mergeCell ref="C15:O15"/>
    <mergeCell ref="P15:R15"/>
    <mergeCell ref="AH8:AJ8"/>
    <mergeCell ref="AH15:AJ15"/>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U85:AG85"/>
    <mergeCell ref="AH50:AJ50"/>
    <mergeCell ref="AH99:AJ99"/>
    <mergeCell ref="U92:AG92"/>
    <mergeCell ref="U99:AG99"/>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topLeftCell="A7" zoomScale="85" zoomScaleNormal="85" workbookViewId="0">
      <selection activeCell="C24" sqref="C24"/>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480" t="s">
        <v>1100</v>
      </c>
      <c r="B1" s="480"/>
      <c r="C1" s="480"/>
      <c r="D1" s="480"/>
      <c r="E1" s="480"/>
      <c r="F1" s="480"/>
      <c r="G1" s="480"/>
      <c r="H1" s="480"/>
      <c r="I1" s="480"/>
      <c r="J1" s="480"/>
      <c r="K1" s="480"/>
      <c r="L1" s="480"/>
      <c r="M1" s="480"/>
      <c r="N1" s="480"/>
      <c r="O1" s="480"/>
      <c r="P1" s="480"/>
      <c r="Q1" s="480"/>
      <c r="R1" s="480"/>
      <c r="S1" s="480"/>
      <c r="T1" s="480"/>
      <c r="U1" s="480"/>
      <c r="V1" s="480"/>
      <c r="W1" s="480"/>
      <c r="X1" s="480"/>
      <c r="Y1" s="480"/>
      <c r="Z1" s="480"/>
      <c r="AA1" s="480"/>
      <c r="AB1" s="480"/>
      <c r="AC1" s="480"/>
      <c r="AD1" s="480"/>
      <c r="AE1" s="480"/>
      <c r="AF1" s="480"/>
      <c r="AG1" s="480"/>
      <c r="AH1" s="480"/>
      <c r="AI1" s="480"/>
      <c r="AJ1" s="480"/>
      <c r="AK1" s="257"/>
      <c r="AL1" s="257"/>
      <c r="AM1" s="257"/>
      <c r="AN1" s="257"/>
      <c r="AO1" s="257"/>
      <c r="AP1" s="257"/>
      <c r="AQ1" s="257"/>
      <c r="AR1" s="257"/>
      <c r="AS1" s="257"/>
      <c r="AT1" s="257"/>
      <c r="AU1" s="257"/>
      <c r="AV1" s="257"/>
      <c r="AW1" s="257"/>
      <c r="AX1" s="257"/>
    </row>
    <row r="2" spans="1:50" ht="48" customHeight="1" x14ac:dyDescent="0.15">
      <c r="A2" s="424"/>
      <c r="B2" s="424"/>
      <c r="C2" s="424"/>
      <c r="D2" s="424"/>
      <c r="E2" s="424"/>
      <c r="F2" s="424"/>
      <c r="G2" s="424"/>
      <c r="H2" s="424"/>
      <c r="I2" s="424"/>
      <c r="J2" s="424"/>
      <c r="K2" s="424"/>
      <c r="L2" s="424"/>
      <c r="M2" s="424"/>
      <c r="N2" s="424"/>
      <c r="O2" s="424"/>
      <c r="P2" s="424"/>
      <c r="Q2" s="424"/>
      <c r="R2" s="424"/>
      <c r="S2" s="424"/>
      <c r="T2" s="424"/>
      <c r="U2" s="424"/>
      <c r="V2" s="424"/>
      <c r="W2" s="424"/>
      <c r="X2" s="424"/>
      <c r="Y2" s="424"/>
      <c r="Z2" s="424"/>
      <c r="AA2" s="424"/>
      <c r="AB2" s="424"/>
      <c r="AC2" s="424"/>
      <c r="AD2" s="424"/>
      <c r="AE2" s="424"/>
      <c r="AF2" s="424"/>
      <c r="AG2" s="424"/>
      <c r="AH2" s="424"/>
      <c r="AI2" s="424"/>
      <c r="AJ2" s="424"/>
      <c r="AK2" s="262"/>
      <c r="AL2" s="262"/>
      <c r="AM2" s="262"/>
      <c r="AN2" s="262"/>
      <c r="AO2" s="262"/>
      <c r="AP2" s="262"/>
      <c r="AQ2" s="262"/>
      <c r="AR2" s="262"/>
      <c r="AS2" s="262"/>
      <c r="AT2" s="262"/>
      <c r="AU2" s="262"/>
      <c r="AV2" s="262"/>
      <c r="AW2" s="262"/>
      <c r="AX2" s="262"/>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940</v>
      </c>
    </row>
    <row r="5" spans="1:50" ht="27" customHeight="1" x14ac:dyDescent="0.15">
      <c r="B5" s="242" t="s">
        <v>17</v>
      </c>
      <c r="P5" s="40"/>
    </row>
    <row r="6" spans="1:50" x14ac:dyDescent="0.15">
      <c r="B6" s="46"/>
    </row>
    <row r="8" spans="1:50" ht="28.5" customHeight="1" x14ac:dyDescent="0.15">
      <c r="B8" s="289" t="str">
        <f>HLOOKUP($B$5,Region_Table,2,0)</f>
        <v>All East Midlands Region</v>
      </c>
      <c r="C8" s="523" t="s">
        <v>1101</v>
      </c>
      <c r="D8" s="524"/>
      <c r="E8" s="524"/>
      <c r="F8" s="524"/>
      <c r="G8" s="524"/>
      <c r="H8" s="524"/>
      <c r="I8" s="524"/>
      <c r="J8" s="524"/>
      <c r="K8" s="524"/>
      <c r="L8" s="524"/>
      <c r="M8" s="525"/>
      <c r="N8" s="525"/>
      <c r="O8" s="526"/>
      <c r="P8" s="510">
        <f>SUMIF('caseload data'!C:C,'divisional &amp; regional caseload%'!B8,'caseload data'!V:V)</f>
        <v>0</v>
      </c>
      <c r="Q8" s="527"/>
      <c r="R8" s="528"/>
      <c r="S8" s="64"/>
      <c r="T8" s="289" t="str">
        <f>HLOOKUP($B$5,Region_Table,3,0)</f>
        <v>Derby City - N53</v>
      </c>
      <c r="U8" s="523" t="s">
        <v>1101</v>
      </c>
      <c r="V8" s="524"/>
      <c r="W8" s="524"/>
      <c r="X8" s="524"/>
      <c r="Y8" s="524"/>
      <c r="Z8" s="524"/>
      <c r="AA8" s="524"/>
      <c r="AB8" s="524"/>
      <c r="AC8" s="524"/>
      <c r="AD8" s="524"/>
      <c r="AE8" s="525"/>
      <c r="AF8" s="525"/>
      <c r="AG8" s="526"/>
      <c r="AH8" s="510">
        <f>SUMIF('caseload data'!C:C,'divisional &amp; regional caseload%'!T8,'caseload data'!V:V)</f>
        <v>0</v>
      </c>
      <c r="AI8" s="527"/>
      <c r="AJ8" s="528"/>
    </row>
    <row r="9" spans="1:50" x14ac:dyDescent="0.15">
      <c r="B9" s="95" t="s">
        <v>1006</v>
      </c>
      <c r="C9" s="38" t="s">
        <v>869</v>
      </c>
      <c r="D9" s="38" t="s">
        <v>870</v>
      </c>
      <c r="E9" s="38" t="s">
        <v>871</v>
      </c>
      <c r="F9" s="38" t="s">
        <v>872</v>
      </c>
      <c r="G9" s="38" t="s">
        <v>873</v>
      </c>
      <c r="H9" s="38" t="s">
        <v>874</v>
      </c>
      <c r="I9" s="38" t="s">
        <v>875</v>
      </c>
      <c r="J9" s="38" t="s">
        <v>876</v>
      </c>
      <c r="K9" s="38" t="s">
        <v>877</v>
      </c>
      <c r="L9" s="38" t="s">
        <v>878</v>
      </c>
      <c r="M9" s="38" t="s">
        <v>879</v>
      </c>
      <c r="N9" s="38" t="s">
        <v>880</v>
      </c>
      <c r="O9" s="38" t="s">
        <v>881</v>
      </c>
      <c r="P9" s="38" t="s">
        <v>882</v>
      </c>
      <c r="Q9" s="38" t="s">
        <v>883</v>
      </c>
      <c r="R9" s="38" t="s">
        <v>884</v>
      </c>
      <c r="S9" s="64"/>
      <c r="T9" s="95" t="s">
        <v>1006</v>
      </c>
      <c r="U9" s="38" t="s">
        <v>869</v>
      </c>
      <c r="V9" s="38" t="s">
        <v>870</v>
      </c>
      <c r="W9" s="38" t="s">
        <v>871</v>
      </c>
      <c r="X9" s="38" t="s">
        <v>872</v>
      </c>
      <c r="Y9" s="38" t="s">
        <v>873</v>
      </c>
      <c r="Z9" s="38" t="s">
        <v>874</v>
      </c>
      <c r="AA9" s="38" t="s">
        <v>875</v>
      </c>
      <c r="AB9" s="38" t="s">
        <v>876</v>
      </c>
      <c r="AC9" s="38" t="s">
        <v>877</v>
      </c>
      <c r="AD9" s="38" t="s">
        <v>878</v>
      </c>
      <c r="AE9" s="38" t="s">
        <v>879</v>
      </c>
      <c r="AF9" s="38" t="s">
        <v>880</v>
      </c>
      <c r="AG9" s="38" t="s">
        <v>881</v>
      </c>
      <c r="AH9" s="38" t="s">
        <v>882</v>
      </c>
      <c r="AI9" s="38" t="s">
        <v>883</v>
      </c>
      <c r="AJ9" s="38" t="s">
        <v>884</v>
      </c>
    </row>
    <row r="10" spans="1:50" x14ac:dyDescent="0.15">
      <c r="B10" s="96" t="s">
        <v>1002</v>
      </c>
      <c r="C10" s="167" t="e">
        <f>SUMIFS('caseload data'!E:E,'caseload data'!$C:$C,'divisional &amp; regional caseload%'!$B$8,'caseload data'!$D:$D,"PO")/SUMIF('caseload data'!$C:$C,'divisional &amp; regional caseload%'!$B$8,'caseload data'!E:E)</f>
        <v>#DIV/0!</v>
      </c>
      <c r="D10" s="167" t="e">
        <f>SUMIFS('caseload data'!F:F,'caseload data'!$C:$C,'divisional &amp; regional caseload%'!$B$8,'caseload data'!$D:$D,"PO")/SUMIF('caseload data'!$C:$C,'divisional &amp; regional caseload%'!$B$8,'caseload data'!F:F)</f>
        <v>#DIV/0!</v>
      </c>
      <c r="E10" s="167" t="e">
        <f>SUMIFS('caseload data'!G:G,'caseload data'!$C:$C,'divisional &amp; regional caseload%'!$B$8,'caseload data'!$D:$D,"PO")/SUMIF('caseload data'!$C:$C,'divisional &amp; regional caseload%'!$B$8,'caseload data'!G:G)</f>
        <v>#DIV/0!</v>
      </c>
      <c r="F10" s="167" t="e">
        <f>SUMIFS('caseload data'!H:H,'caseload data'!$C:$C,'divisional &amp; regional caseload%'!$B$8,'caseload data'!$D:$D,"PO")/SUMIF('caseload data'!$C:$C,'divisional &amp; regional caseload%'!$B$8,'caseload data'!H:H)</f>
        <v>#DIV/0!</v>
      </c>
      <c r="G10" s="167" t="e">
        <f>SUMIFS('caseload data'!I:I,'caseload data'!$C:$C,'divisional &amp; regional caseload%'!$B$8,'caseload data'!$D:$D,"PO")/SUMIF('caseload data'!$C:$C,'divisional &amp; regional caseload%'!$B$8,'caseload data'!I:I)</f>
        <v>#DIV/0!</v>
      </c>
      <c r="H10" s="167" t="e">
        <f>SUMIFS('caseload data'!J:J,'caseload data'!$C:$C,'divisional &amp; regional caseload%'!$B$8,'caseload data'!$D:$D,"PO")/SUMIF('caseload data'!$C:$C,'divisional &amp; regional caseload%'!$B$8,'caseload data'!J:J)</f>
        <v>#DIV/0!</v>
      </c>
      <c r="I10" s="167" t="e">
        <f>SUMIFS('caseload data'!K:K,'caseload data'!$C:$C,'divisional &amp; regional caseload%'!$B$8,'caseload data'!$D:$D,"PO")/SUMIF('caseload data'!$C:$C,'divisional &amp; regional caseload%'!$B$8,'caseload data'!K:K)</f>
        <v>#DIV/0!</v>
      </c>
      <c r="J10" s="167" t="e">
        <f>SUMIFS('caseload data'!L:L,'caseload data'!$C:$C,'divisional &amp; regional caseload%'!$B$8,'caseload data'!$D:$D,"PO")/SUMIF('caseload data'!$C:$C,'divisional &amp; regional caseload%'!$B$8,'caseload data'!L:L)</f>
        <v>#DIV/0!</v>
      </c>
      <c r="K10" s="167" t="e">
        <f>SUMIFS('caseload data'!M:M,'caseload data'!$C:$C,'divisional &amp; regional caseload%'!$B$8,'caseload data'!$D:$D,"PO")/SUMIF('caseload data'!$C:$C,'divisional &amp; regional caseload%'!$B$8,'caseload data'!M:M)</f>
        <v>#DIV/0!</v>
      </c>
      <c r="L10" s="167" t="e">
        <f>SUMIFS('caseload data'!N:N,'caseload data'!$C:$C,'divisional &amp; regional caseload%'!$B$8,'caseload data'!$D:$D,"PO")/SUMIF('caseload data'!$C:$C,'divisional &amp; regional caseload%'!$B$8,'caseload data'!N:N)</f>
        <v>#DIV/0!</v>
      </c>
      <c r="M10" s="167" t="e">
        <f>SUMIFS('caseload data'!O:O,'caseload data'!$C:$C,'divisional &amp; regional caseload%'!$B$8,'caseload data'!$D:$D,"PO")/SUMIF('caseload data'!$C:$C,'divisional &amp; regional caseload%'!$B$8,'caseload data'!O:O)</f>
        <v>#DIV/0!</v>
      </c>
      <c r="N10" s="167" t="e">
        <f>SUMIFS('caseload data'!P:P,'caseload data'!$C:$C,'divisional &amp; regional caseload%'!$B$8,'caseload data'!$D:$D,"PO")/SUMIF('caseload data'!$C:$C,'divisional &amp; regional caseload%'!$B$8,'caseload data'!P:P)</f>
        <v>#DIV/0!</v>
      </c>
      <c r="O10" s="167" t="e">
        <f>SUMIFS('caseload data'!Q:Q,'caseload data'!$C:$C,'divisional &amp; regional caseload%'!$B$8,'caseload data'!$D:$D,"PO")/SUMIF('caseload data'!$C:$C,'divisional &amp; regional caseload%'!$B$8,'caseload data'!Q:Q)</f>
        <v>#DIV/0!</v>
      </c>
      <c r="P10" s="167" t="e">
        <f>SUMIFS('caseload data'!R:R,'caseload data'!$C:$C,'divisional &amp; regional caseload%'!$B$8,'caseload data'!$D:$D,"PO")/SUMIF('caseload data'!$C:$C,'divisional &amp; regional caseload%'!$B$8,'caseload data'!R:R)</f>
        <v>#DIV/0!</v>
      </c>
      <c r="Q10" s="167" t="e">
        <f>SUMIFS('caseload data'!S:S,'caseload data'!$C:$C,'divisional &amp; regional caseload%'!$B$8,'caseload data'!$D:$D,"PO")/SUMIF('caseload data'!$C:$C,'divisional &amp; regional caseload%'!$B$8,'caseload data'!S:S)</f>
        <v>#DIV/0!</v>
      </c>
      <c r="R10" s="167" t="e">
        <f>SUMIFS('caseload data'!T:T,'caseload data'!$C:$C,'divisional &amp; regional caseload%'!$B$8,'caseload data'!$D:$D,"PO")/SUMIF('caseload data'!$C:$C,'divisional &amp; regional caseload%'!$B$8,'caseload data'!T:T)</f>
        <v>#DIV/0!</v>
      </c>
      <c r="S10" s="64"/>
      <c r="T10" s="96" t="s">
        <v>1002</v>
      </c>
      <c r="U10" s="167" t="e">
        <f>SUMIFS('caseload data'!E:E,'caseload data'!$C:$C,'divisional &amp; regional caseload%'!$T$8,'caseload data'!$D:$D,"PO")/SUMIF('caseload data'!$C:$C,'divisional &amp; regional caseload%'!$T$8,'caseload data'!E:E)</f>
        <v>#DIV/0!</v>
      </c>
      <c r="V10" s="167" t="e">
        <f>SUMIFS('caseload data'!F:F,'caseload data'!$C:$C,'divisional &amp; regional caseload%'!$T$8,'caseload data'!$D:$D,"PO")/SUMIF('caseload data'!$C:$C,'divisional &amp; regional caseload%'!$T$8,'caseload data'!F:F)</f>
        <v>#DIV/0!</v>
      </c>
      <c r="W10" s="167" t="e">
        <f>SUMIFS('caseload data'!G:G,'caseload data'!$C:$C,'divisional &amp; regional caseload%'!$T$8,'caseload data'!$D:$D,"PO")/SUMIF('caseload data'!$C:$C,'divisional &amp; regional caseload%'!$T$8,'caseload data'!G:G)</f>
        <v>#DIV/0!</v>
      </c>
      <c r="X10" s="167" t="e">
        <f>SUMIFS('caseload data'!H:H,'caseload data'!$C:$C,'divisional &amp; regional caseload%'!$T$8,'caseload data'!$D:$D,"PO")/SUMIF('caseload data'!$C:$C,'divisional &amp; regional caseload%'!$T$8,'caseload data'!H:H)</f>
        <v>#DIV/0!</v>
      </c>
      <c r="Y10" s="167" t="e">
        <f>SUMIFS('caseload data'!I:I,'caseload data'!$C:$C,'divisional &amp; regional caseload%'!$T$8,'caseload data'!$D:$D,"PO")/SUMIF('caseload data'!$C:$C,'divisional &amp; regional caseload%'!$T$8,'caseload data'!I:I)</f>
        <v>#DIV/0!</v>
      </c>
      <c r="Z10" s="167" t="e">
        <f>SUMIFS('caseload data'!J:J,'caseload data'!$C:$C,'divisional &amp; regional caseload%'!$T$8,'caseload data'!$D:$D,"PO")/SUMIF('caseload data'!$C:$C,'divisional &amp; regional caseload%'!$T$8,'caseload data'!J:J)</f>
        <v>#DIV/0!</v>
      </c>
      <c r="AA10" s="167" t="e">
        <f>SUMIFS('caseload data'!K:K,'caseload data'!$C:$C,'divisional &amp; regional caseload%'!$T$8,'caseload data'!$D:$D,"PO")/SUMIF('caseload data'!$C:$C,'divisional &amp; regional caseload%'!$T$8,'caseload data'!K:K)</f>
        <v>#DIV/0!</v>
      </c>
      <c r="AB10" s="167" t="e">
        <f>SUMIFS('caseload data'!L:L,'caseload data'!$C:$C,'divisional &amp; regional caseload%'!$T$8,'caseload data'!$D:$D,"PO")/SUMIF('caseload data'!$C:$C,'divisional &amp; regional caseload%'!$T$8,'caseload data'!L:L)</f>
        <v>#DIV/0!</v>
      </c>
      <c r="AC10" s="167" t="e">
        <f>SUMIFS('caseload data'!M:M,'caseload data'!$C:$C,'divisional &amp; regional caseload%'!$T$8,'caseload data'!$D:$D,"PO")/SUMIF('caseload data'!$C:$C,'divisional &amp; regional caseload%'!$T$8,'caseload data'!M:M)</f>
        <v>#DIV/0!</v>
      </c>
      <c r="AD10" s="167" t="e">
        <f>SUMIFS('caseload data'!N:N,'caseload data'!$C:$C,'divisional &amp; regional caseload%'!$T$8,'caseload data'!$D:$D,"PO")/SUMIF('caseload data'!$C:$C,'divisional &amp; regional caseload%'!$T$8,'caseload data'!N:N)</f>
        <v>#DIV/0!</v>
      </c>
      <c r="AE10" s="167" t="e">
        <f>SUMIFS('caseload data'!O:O,'caseload data'!$C:$C,'divisional &amp; regional caseload%'!$T$8,'caseload data'!$D:$D,"PO")/SUMIF('caseload data'!$C:$C,'divisional &amp; regional caseload%'!$T$8,'caseload data'!O:O)</f>
        <v>#DIV/0!</v>
      </c>
      <c r="AF10" s="167" t="e">
        <f>SUMIFS('caseload data'!P:P,'caseload data'!$C:$C,'divisional &amp; regional caseload%'!$T$8,'caseload data'!$D:$D,"PO")/SUMIF('caseload data'!$C:$C,'divisional &amp; regional caseload%'!$T$8,'caseload data'!P:P)</f>
        <v>#DIV/0!</v>
      </c>
      <c r="AG10" s="167" t="e">
        <f>SUMIFS('caseload data'!Q:Q,'caseload data'!$C:$C,'divisional &amp; regional caseload%'!$T$8,'caseload data'!$D:$D,"PO")/SUMIF('caseload data'!$C:$C,'divisional &amp; regional caseload%'!$T$8,'caseload data'!Q:Q)</f>
        <v>#DIV/0!</v>
      </c>
      <c r="AH10" s="167" t="e">
        <f>SUMIFS('caseload data'!R:R,'caseload data'!$C:$C,'divisional &amp; regional caseload%'!$T$8,'caseload data'!$D:$D,"PO")/SUMIF('caseload data'!$C:$C,'divisional &amp; regional caseload%'!$T$8,'caseload data'!R:R)</f>
        <v>#DIV/0!</v>
      </c>
      <c r="AI10" s="167" t="e">
        <f>SUMIFS('caseload data'!S:S,'caseload data'!$C:$C,'divisional &amp; regional caseload%'!$T$8,'caseload data'!$D:$D,"PO")/SUMIF('caseload data'!$C:$C,'divisional &amp; regional caseload%'!$T$8,'caseload data'!S:S)</f>
        <v>#DIV/0!</v>
      </c>
      <c r="AJ10" s="167" t="e">
        <f>SUMIFS('caseload data'!T:T,'caseload data'!$C:$C,'divisional &amp; regional caseload%'!$T$8,'caseload data'!$D:$D,"PO")/SUMIF('caseload data'!$C:$C,'divisional &amp; regional caseload%'!$T$8,'caseload data'!T:T)</f>
        <v>#DIV/0!</v>
      </c>
    </row>
    <row r="11" spans="1:50" x14ac:dyDescent="0.15">
      <c r="B11" s="97" t="s">
        <v>1007</v>
      </c>
      <c r="C11" s="167" t="e">
        <f>SUMIFS('caseload data'!E:E,'caseload data'!$C:$C,'divisional &amp; regional caseload%'!$B$8,'caseload data'!$D:$D,"PSO")/SUMIF('caseload data'!$C:$C,'divisional &amp; regional caseload%'!$B$8,'caseload data'!E:E)</f>
        <v>#DIV/0!</v>
      </c>
      <c r="D11" s="167" t="e">
        <f>SUMIFS('caseload data'!F:F,'caseload data'!$C:$C,'divisional &amp; regional caseload%'!$B$8,'caseload data'!$D:$D,"PSO")/SUMIF('caseload data'!$C:$C,'divisional &amp; regional caseload%'!$B$8,'caseload data'!F:F)</f>
        <v>#DIV/0!</v>
      </c>
      <c r="E11" s="167" t="e">
        <f>SUMIFS('caseload data'!G:G,'caseload data'!$C:$C,'divisional &amp; regional caseload%'!$B$8,'caseload data'!$D:$D,"PSO")/SUMIF('caseload data'!$C:$C,'divisional &amp; regional caseload%'!$B$8,'caseload data'!G:G)</f>
        <v>#DIV/0!</v>
      </c>
      <c r="F11" s="167" t="e">
        <f>SUMIFS('caseload data'!H:H,'caseload data'!$C:$C,'divisional &amp; regional caseload%'!$B$8,'caseload data'!$D:$D,"PSO")/SUMIF('caseload data'!$C:$C,'divisional &amp; regional caseload%'!$B$8,'caseload data'!H:H)</f>
        <v>#DIV/0!</v>
      </c>
      <c r="G11" s="167" t="e">
        <f>SUMIFS('caseload data'!I:I,'caseload data'!$C:$C,'divisional &amp; regional caseload%'!$B$8,'caseload data'!$D:$D,"PSO")/SUMIF('caseload data'!$C:$C,'divisional &amp; regional caseload%'!$B$8,'caseload data'!I:I)</f>
        <v>#DIV/0!</v>
      </c>
      <c r="H11" s="167" t="e">
        <f>SUMIFS('caseload data'!J:J,'caseload data'!$C:$C,'divisional &amp; regional caseload%'!$B$8,'caseload data'!$D:$D,"PSO")/SUMIF('caseload data'!$C:$C,'divisional &amp; regional caseload%'!$B$8,'caseload data'!J:J)</f>
        <v>#DIV/0!</v>
      </c>
      <c r="I11" s="167" t="e">
        <f>SUMIFS('caseload data'!K:K,'caseload data'!$C:$C,'divisional &amp; regional caseload%'!$B$8,'caseload data'!$D:$D,"PSO")/SUMIF('caseload data'!$C:$C,'divisional &amp; regional caseload%'!$B$8,'caseload data'!K:K)</f>
        <v>#DIV/0!</v>
      </c>
      <c r="J11" s="167" t="e">
        <f>SUMIFS('caseload data'!L:L,'caseload data'!$C:$C,'divisional &amp; regional caseload%'!$B$8,'caseload data'!$D:$D,"PSO")/SUMIF('caseload data'!$C:$C,'divisional &amp; regional caseload%'!$B$8,'caseload data'!L:L)</f>
        <v>#DIV/0!</v>
      </c>
      <c r="K11" s="167" t="e">
        <f>SUMIFS('caseload data'!M:M,'caseload data'!$C:$C,'divisional &amp; regional caseload%'!$B$8,'caseload data'!$D:$D,"PSO")/SUMIF('caseload data'!$C:$C,'divisional &amp; regional caseload%'!$B$8,'caseload data'!M:M)</f>
        <v>#DIV/0!</v>
      </c>
      <c r="L11" s="167" t="e">
        <f>SUMIFS('caseload data'!N:N,'caseload data'!$C:$C,'divisional &amp; regional caseload%'!$B$8,'caseload data'!$D:$D,"PSO")/SUMIF('caseload data'!$C:$C,'divisional &amp; regional caseload%'!$B$8,'caseload data'!N:N)</f>
        <v>#DIV/0!</v>
      </c>
      <c r="M11" s="167" t="e">
        <f>SUMIFS('caseload data'!O:O,'caseload data'!$C:$C,'divisional &amp; regional caseload%'!$B$8,'caseload data'!$D:$D,"PSO")/SUMIF('caseload data'!$C:$C,'divisional &amp; regional caseload%'!$B$8,'caseload data'!O:O)</f>
        <v>#DIV/0!</v>
      </c>
      <c r="N11" s="167" t="e">
        <f>SUMIFS('caseload data'!P:P,'caseload data'!$C:$C,'divisional &amp; regional caseload%'!$B$8,'caseload data'!$D:$D,"PSO")/SUMIF('caseload data'!$C:$C,'divisional &amp; regional caseload%'!$B$8,'caseload data'!P:P)</f>
        <v>#DIV/0!</v>
      </c>
      <c r="O11" s="167" t="e">
        <f>SUMIFS('caseload data'!Q:Q,'caseload data'!$C:$C,'divisional &amp; regional caseload%'!$B$8,'caseload data'!$D:$D,"PSO")/SUMIF('caseload data'!$C:$C,'divisional &amp; regional caseload%'!$B$8,'caseload data'!Q:Q)</f>
        <v>#DIV/0!</v>
      </c>
      <c r="P11" s="167" t="e">
        <f>SUMIFS('caseload data'!R:R,'caseload data'!$C:$C,'divisional &amp; regional caseload%'!$B$8,'caseload data'!$D:$D,"PSO")/SUMIF('caseload data'!$C:$C,'divisional &amp; regional caseload%'!$B$8,'caseload data'!R:R)</f>
        <v>#DIV/0!</v>
      </c>
      <c r="Q11" s="167" t="e">
        <f>SUMIFS('caseload data'!S:S,'caseload data'!$C:$C,'divisional &amp; regional caseload%'!$B$8,'caseload data'!$D:$D,"PSO")/SUMIF('caseload data'!$C:$C,'divisional &amp; regional caseload%'!$B$8,'caseload data'!S:S)</f>
        <v>#DIV/0!</v>
      </c>
      <c r="R11" s="167" t="e">
        <f>SUMIFS('caseload data'!T:T,'caseload data'!$C:$C,'divisional &amp; regional caseload%'!$B$8,'caseload data'!$D:$D,"PSO")/SUMIF('caseload data'!$C:$C,'divisional &amp; regional caseload%'!$B$8,'caseload data'!T:T)</f>
        <v>#DIV/0!</v>
      </c>
      <c r="S11" s="64"/>
      <c r="T11" s="97" t="s">
        <v>1007</v>
      </c>
      <c r="U11" s="167" t="e">
        <f>SUMIFS('caseload data'!E:E,'caseload data'!$C:$C,'divisional &amp; regional caseload%'!$T$8,'caseload data'!$D:$D,"PSO")/SUMIF('caseload data'!$C:$C,'divisional &amp; regional caseload%'!$T$8,'caseload data'!E:E)</f>
        <v>#DIV/0!</v>
      </c>
      <c r="V11" s="167" t="e">
        <f>SUMIFS('caseload data'!F:F,'caseload data'!$C:$C,'divisional &amp; regional caseload%'!$T$8,'caseload data'!$D:$D,"PSO")/SUMIF('caseload data'!$C:$C,'divisional &amp; regional caseload%'!$T$8,'caseload data'!F:F)</f>
        <v>#DIV/0!</v>
      </c>
      <c r="W11" s="167" t="e">
        <f>SUMIFS('caseload data'!G:G,'caseload data'!$C:$C,'divisional &amp; regional caseload%'!$T$8,'caseload data'!$D:$D,"PSO")/SUMIF('caseload data'!$C:$C,'divisional &amp; regional caseload%'!$T$8,'caseload data'!G:G)</f>
        <v>#DIV/0!</v>
      </c>
      <c r="X11" s="167" t="e">
        <f>SUMIFS('caseload data'!H:H,'caseload data'!$C:$C,'divisional &amp; regional caseload%'!$T$8,'caseload data'!$D:$D,"PSO")/SUMIF('caseload data'!$C:$C,'divisional &amp; regional caseload%'!$T$8,'caseload data'!H:H)</f>
        <v>#DIV/0!</v>
      </c>
      <c r="Y11" s="167" t="e">
        <f>SUMIFS('caseload data'!I:I,'caseload data'!$C:$C,'divisional &amp; regional caseload%'!$T$8,'caseload data'!$D:$D,"PSO")/SUMIF('caseload data'!$C:$C,'divisional &amp; regional caseload%'!$T$8,'caseload data'!I:I)</f>
        <v>#DIV/0!</v>
      </c>
      <c r="Z11" s="167" t="e">
        <f>SUMIFS('caseload data'!J:J,'caseload data'!$C:$C,'divisional &amp; regional caseload%'!$T$8,'caseload data'!$D:$D,"PSO")/SUMIF('caseload data'!$C:$C,'divisional &amp; regional caseload%'!$T$8,'caseload data'!J:J)</f>
        <v>#DIV/0!</v>
      </c>
      <c r="AA11" s="167" t="e">
        <f>SUMIFS('caseload data'!K:K,'caseload data'!$C:$C,'divisional &amp; regional caseload%'!$T$8,'caseload data'!$D:$D,"PSO")/SUMIF('caseload data'!$C:$C,'divisional &amp; regional caseload%'!$T$8,'caseload data'!K:K)</f>
        <v>#DIV/0!</v>
      </c>
      <c r="AB11" s="167" t="e">
        <f>SUMIFS('caseload data'!L:L,'caseload data'!$C:$C,'divisional &amp; regional caseload%'!$T$8,'caseload data'!$D:$D,"PSO")/SUMIF('caseload data'!$C:$C,'divisional &amp; regional caseload%'!$T$8,'caseload data'!L:L)</f>
        <v>#DIV/0!</v>
      </c>
      <c r="AC11" s="167" t="e">
        <f>SUMIFS('caseload data'!M:M,'caseload data'!$C:$C,'divisional &amp; regional caseload%'!$T$8,'caseload data'!$D:$D,"PSO")/SUMIF('caseload data'!$C:$C,'divisional &amp; regional caseload%'!$T$8,'caseload data'!M:M)</f>
        <v>#DIV/0!</v>
      </c>
      <c r="AD11" s="167" t="e">
        <f>SUMIFS('caseload data'!N:N,'caseload data'!$C:$C,'divisional &amp; regional caseload%'!$T$8,'caseload data'!$D:$D,"PSO")/SUMIF('caseload data'!$C:$C,'divisional &amp; regional caseload%'!$T$8,'caseload data'!N:N)</f>
        <v>#DIV/0!</v>
      </c>
      <c r="AE11" s="167" t="e">
        <f>SUMIFS('caseload data'!O:O,'caseload data'!$C:$C,'divisional &amp; regional caseload%'!$T$8,'caseload data'!$D:$D,"PSO")/SUMIF('caseload data'!$C:$C,'divisional &amp; regional caseload%'!$T$8,'caseload data'!O:O)</f>
        <v>#DIV/0!</v>
      </c>
      <c r="AF11" s="167" t="e">
        <f>SUMIFS('caseload data'!P:P,'caseload data'!$C:$C,'divisional &amp; regional caseload%'!$T$8,'caseload data'!$D:$D,"PSO")/SUMIF('caseload data'!$C:$C,'divisional &amp; regional caseload%'!$T$8,'caseload data'!P:P)</f>
        <v>#DIV/0!</v>
      </c>
      <c r="AG11" s="167" t="e">
        <f>SUMIFS('caseload data'!Q:Q,'caseload data'!$C:$C,'divisional &amp; regional caseload%'!$T$8,'caseload data'!$D:$D,"PSO")/SUMIF('caseload data'!$C:$C,'divisional &amp; regional caseload%'!$T$8,'caseload data'!Q:Q)</f>
        <v>#DIV/0!</v>
      </c>
      <c r="AH11" s="167" t="e">
        <f>SUMIFS('caseload data'!R:R,'caseload data'!$C:$C,'divisional &amp; regional caseload%'!$T$8,'caseload data'!$D:$D,"PSO")/SUMIF('caseload data'!$C:$C,'divisional &amp; regional caseload%'!$T$8,'caseload data'!R:R)</f>
        <v>#DIV/0!</v>
      </c>
      <c r="AI11" s="167" t="e">
        <f>SUMIFS('caseload data'!S:S,'caseload data'!$C:$C,'divisional &amp; regional caseload%'!$T$8,'caseload data'!$D:$D,"PSO")/SUMIF('caseload data'!$C:$C,'divisional &amp; regional caseload%'!$T$8,'caseload data'!S:S)</f>
        <v>#DIV/0!</v>
      </c>
      <c r="AJ11" s="167" t="e">
        <f>SUMIFS('caseload data'!T:T,'caseload data'!$C:$C,'divisional &amp; regional caseload%'!$T$8,'caseload data'!$D:$D,"PSO")/SUMIF('caseload data'!$C:$C,'divisional &amp; regional caseload%'!$T$8,'caseload data'!T:T)</f>
        <v>#DIV/0!</v>
      </c>
    </row>
    <row r="12" spans="1:50" x14ac:dyDescent="0.15">
      <c r="B12" s="97" t="s">
        <v>1008</v>
      </c>
      <c r="C12" s="167" t="e">
        <f>SUMIFS('caseload data'!E:E,'caseload data'!$C:$C,'divisional &amp; regional caseload%'!$B$8,'caseload data'!$D:$D,"TPO")/SUMIF('caseload data'!$C:$C,'divisional &amp; regional caseload%'!$B$8,'caseload data'!E:E)</f>
        <v>#DIV/0!</v>
      </c>
      <c r="D12" s="167" t="e">
        <f>SUMIFS('caseload data'!F:F,'caseload data'!$C:$C,'divisional &amp; regional caseload%'!$B$8,'caseload data'!$D:$D,"TPO")/SUMIF('caseload data'!$C:$C,'divisional &amp; regional caseload%'!$B$8,'caseload data'!F:F)</f>
        <v>#DIV/0!</v>
      </c>
      <c r="E12" s="167" t="e">
        <f>SUMIFS('caseload data'!G:G,'caseload data'!$C:$C,'divisional &amp; regional caseload%'!$B$8,'caseload data'!$D:$D,"TPO")/SUMIF('caseload data'!$C:$C,'divisional &amp; regional caseload%'!$B$8,'caseload data'!G:G)</f>
        <v>#DIV/0!</v>
      </c>
      <c r="F12" s="167" t="e">
        <f>SUMIFS('caseload data'!H:H,'caseload data'!$C:$C,'divisional &amp; regional caseload%'!$B$8,'caseload data'!$D:$D,"TPO")/SUMIF('caseload data'!$C:$C,'divisional &amp; regional caseload%'!$B$8,'caseload data'!H:H)</f>
        <v>#DIV/0!</v>
      </c>
      <c r="G12" s="167" t="e">
        <f>SUMIFS('caseload data'!I:I,'caseload data'!$C:$C,'divisional &amp; regional caseload%'!$B$8,'caseload data'!$D:$D,"TPO")/SUMIF('caseload data'!$C:$C,'divisional &amp; regional caseload%'!$B$8,'caseload data'!I:I)</f>
        <v>#DIV/0!</v>
      </c>
      <c r="H12" s="167" t="e">
        <f>SUMIFS('caseload data'!J:J,'caseload data'!$C:$C,'divisional &amp; regional caseload%'!$B$8,'caseload data'!$D:$D,"TPO")/SUMIF('caseload data'!$C:$C,'divisional &amp; regional caseload%'!$B$8,'caseload data'!J:J)</f>
        <v>#DIV/0!</v>
      </c>
      <c r="I12" s="167" t="e">
        <f>SUMIFS('caseload data'!K:K,'caseload data'!$C:$C,'divisional &amp; regional caseload%'!$B$8,'caseload data'!$D:$D,"TPO")/SUMIF('caseload data'!$C:$C,'divisional &amp; regional caseload%'!$B$8,'caseload data'!K:K)</f>
        <v>#DIV/0!</v>
      </c>
      <c r="J12" s="167" t="e">
        <f>SUMIFS('caseload data'!L:L,'caseload data'!$C:$C,'divisional &amp; regional caseload%'!$B$8,'caseload data'!$D:$D,"TPO")/SUMIF('caseload data'!$C:$C,'divisional &amp; regional caseload%'!$B$8,'caseload data'!L:L)</f>
        <v>#DIV/0!</v>
      </c>
      <c r="K12" s="167" t="e">
        <f>SUMIFS('caseload data'!M:M,'caseload data'!$C:$C,'divisional &amp; regional caseload%'!$B$8,'caseload data'!$D:$D,"TPO")/SUMIF('caseload data'!$C:$C,'divisional &amp; regional caseload%'!$B$8,'caseload data'!M:M)</f>
        <v>#DIV/0!</v>
      </c>
      <c r="L12" s="167" t="e">
        <f>SUMIFS('caseload data'!N:N,'caseload data'!$C:$C,'divisional &amp; regional caseload%'!$B$8,'caseload data'!$D:$D,"TPO")/SUMIF('caseload data'!$C:$C,'divisional &amp; regional caseload%'!$B$8,'caseload data'!N:N)</f>
        <v>#DIV/0!</v>
      </c>
      <c r="M12" s="167" t="e">
        <f>SUMIFS('caseload data'!O:O,'caseload data'!$C:$C,'divisional &amp; regional caseload%'!$B$8,'caseload data'!$D:$D,"TPO")/SUMIF('caseload data'!$C:$C,'divisional &amp; regional caseload%'!$B$8,'caseload data'!O:O)</f>
        <v>#DIV/0!</v>
      </c>
      <c r="N12" s="167" t="e">
        <f>SUMIFS('caseload data'!P:P,'caseload data'!$C:$C,'divisional &amp; regional caseload%'!$B$8,'caseload data'!$D:$D,"TPO")/SUMIF('caseload data'!$C:$C,'divisional &amp; regional caseload%'!$B$8,'caseload data'!P:P)</f>
        <v>#DIV/0!</v>
      </c>
      <c r="O12" s="167" t="e">
        <f>SUMIFS('caseload data'!Q:Q,'caseload data'!$C:$C,'divisional &amp; regional caseload%'!$B$8,'caseload data'!$D:$D,"TPO")/SUMIF('caseload data'!$C:$C,'divisional &amp; regional caseload%'!$B$8,'caseload data'!Q:Q)</f>
        <v>#DIV/0!</v>
      </c>
      <c r="P12" s="167" t="e">
        <f>SUMIFS('caseload data'!R:R,'caseload data'!$C:$C,'divisional &amp; regional caseload%'!$B$8,'caseload data'!$D:$D,"TPO")/SUMIF('caseload data'!$C:$C,'divisional &amp; regional caseload%'!$B$8,'caseload data'!R:R)</f>
        <v>#DIV/0!</v>
      </c>
      <c r="Q12" s="167" t="e">
        <f>SUMIFS('caseload data'!S:S,'caseload data'!$C:$C,'divisional &amp; regional caseload%'!$B$8,'caseload data'!$D:$D,"TPO")/SUMIF('caseload data'!$C:$C,'divisional &amp; regional caseload%'!$B$8,'caseload data'!S:S)</f>
        <v>#DIV/0!</v>
      </c>
      <c r="R12" s="167" t="e">
        <f>SUMIFS('caseload data'!T:T,'caseload data'!$C:$C,'divisional &amp; regional caseload%'!$B$8,'caseload data'!$D:$D,"TPO")/SUMIF('caseload data'!$C:$C,'divisional &amp; regional caseload%'!$B$8,'caseload data'!T:T)</f>
        <v>#DIV/0!</v>
      </c>
      <c r="S12" s="64"/>
      <c r="T12" s="97" t="s">
        <v>1008</v>
      </c>
      <c r="U12" s="167" t="e">
        <f>SUMIFS('caseload data'!E:E,'caseload data'!$C:$C,'divisional &amp; regional caseload%'!$T$8,'caseload data'!$D:$D,"TPO")/SUMIF('caseload data'!$C:$C,'divisional &amp; regional caseload%'!$T$8,'caseload data'!E:E)</f>
        <v>#DIV/0!</v>
      </c>
      <c r="V12" s="167" t="e">
        <f>SUMIFS('caseload data'!F:F,'caseload data'!$C:$C,'divisional &amp; regional caseload%'!$T$8,'caseload data'!$D:$D,"TPO")/SUMIF('caseload data'!$C:$C,'divisional &amp; regional caseload%'!$T$8,'caseload data'!F:F)</f>
        <v>#DIV/0!</v>
      </c>
      <c r="W12" s="167" t="e">
        <f>SUMIFS('caseload data'!G:G,'caseload data'!$C:$C,'divisional &amp; regional caseload%'!$T$8,'caseload data'!$D:$D,"TPO")/SUMIF('caseload data'!$C:$C,'divisional &amp; regional caseload%'!$T$8,'caseload data'!G:G)</f>
        <v>#DIV/0!</v>
      </c>
      <c r="X12" s="167" t="e">
        <f>SUMIFS('caseload data'!H:H,'caseload data'!$C:$C,'divisional &amp; regional caseload%'!$T$8,'caseload data'!$D:$D,"TPO")/SUMIF('caseload data'!$C:$C,'divisional &amp; regional caseload%'!$T$8,'caseload data'!H:H)</f>
        <v>#DIV/0!</v>
      </c>
      <c r="Y12" s="167" t="e">
        <f>SUMIFS('caseload data'!I:I,'caseload data'!$C:$C,'divisional &amp; regional caseload%'!$T$8,'caseload data'!$D:$D,"TPO")/SUMIF('caseload data'!$C:$C,'divisional &amp; regional caseload%'!$T$8,'caseload data'!I:I)</f>
        <v>#DIV/0!</v>
      </c>
      <c r="Z12" s="167" t="e">
        <f>SUMIFS('caseload data'!J:J,'caseload data'!$C:$C,'divisional &amp; regional caseload%'!$T$8,'caseload data'!$D:$D,"TPO")/SUMIF('caseload data'!$C:$C,'divisional &amp; regional caseload%'!$T$8,'caseload data'!J:J)</f>
        <v>#DIV/0!</v>
      </c>
      <c r="AA12" s="167" t="e">
        <f>SUMIFS('caseload data'!K:K,'caseload data'!$C:$C,'divisional &amp; regional caseload%'!$T$8,'caseload data'!$D:$D,"TPO")/SUMIF('caseload data'!$C:$C,'divisional &amp; regional caseload%'!$T$8,'caseload data'!K:K)</f>
        <v>#DIV/0!</v>
      </c>
      <c r="AB12" s="167" t="e">
        <f>SUMIFS('caseload data'!L:L,'caseload data'!$C:$C,'divisional &amp; regional caseload%'!$T$8,'caseload data'!$D:$D,"TPO")/SUMIF('caseload data'!$C:$C,'divisional &amp; regional caseload%'!$T$8,'caseload data'!L:L)</f>
        <v>#DIV/0!</v>
      </c>
      <c r="AC12" s="167" t="e">
        <f>SUMIFS('caseload data'!M:M,'caseload data'!$C:$C,'divisional &amp; regional caseload%'!$T$8,'caseload data'!$D:$D,"TPO")/SUMIF('caseload data'!$C:$C,'divisional &amp; regional caseload%'!$T$8,'caseload data'!M:M)</f>
        <v>#DIV/0!</v>
      </c>
      <c r="AD12" s="167" t="e">
        <f>SUMIFS('caseload data'!N:N,'caseload data'!$C:$C,'divisional &amp; regional caseload%'!$T$8,'caseload data'!$D:$D,"TPO")/SUMIF('caseload data'!$C:$C,'divisional &amp; regional caseload%'!$T$8,'caseload data'!N:N)</f>
        <v>#DIV/0!</v>
      </c>
      <c r="AE12" s="167" t="e">
        <f>SUMIFS('caseload data'!O:O,'caseload data'!$C:$C,'divisional &amp; regional caseload%'!$T$8,'caseload data'!$D:$D,"TPO")/SUMIF('caseload data'!$C:$C,'divisional &amp; regional caseload%'!$T$8,'caseload data'!O:O)</f>
        <v>#DIV/0!</v>
      </c>
      <c r="AF12" s="167" t="e">
        <f>SUMIFS('caseload data'!P:P,'caseload data'!$C:$C,'divisional &amp; regional caseload%'!$T$8,'caseload data'!$D:$D,"TPO")/SUMIF('caseload data'!$C:$C,'divisional &amp; regional caseload%'!$T$8,'caseload data'!P:P)</f>
        <v>#DIV/0!</v>
      </c>
      <c r="AG12" s="167" t="e">
        <f>SUMIFS('caseload data'!Q:Q,'caseload data'!$C:$C,'divisional &amp; regional caseload%'!$T$8,'caseload data'!$D:$D,"TPO")/SUMIF('caseload data'!$C:$C,'divisional &amp; regional caseload%'!$T$8,'caseload data'!Q:Q)</f>
        <v>#DIV/0!</v>
      </c>
      <c r="AH12" s="167" t="e">
        <f>SUMIFS('caseload data'!R:R,'caseload data'!$C:$C,'divisional &amp; regional caseload%'!$T$8,'caseload data'!$D:$D,"TPO")/SUMIF('caseload data'!$C:$C,'divisional &amp; regional caseload%'!$T$8,'caseload data'!R:R)</f>
        <v>#DIV/0!</v>
      </c>
      <c r="AI12" s="167" t="e">
        <f>SUMIFS('caseload data'!S:S,'caseload data'!$C:$C,'divisional &amp; regional caseload%'!$T$8,'caseload data'!$D:$D,"TPO")/SUMIF('caseload data'!$C:$C,'divisional &amp; regional caseload%'!$T$8,'caseload data'!S:S)</f>
        <v>#DIV/0!</v>
      </c>
      <c r="AJ12" s="167" t="e">
        <f>SUMIFS('caseload data'!T:T,'caseload data'!$C:$C,'divisional &amp; regional caseload%'!$T$8,'caseload data'!$D:$D,"TPO")/SUMIF('caseload data'!$C:$C,'divisional &amp; regional caseload%'!$T$8,'caseload data'!T:T)</f>
        <v>#DIV/0!</v>
      </c>
    </row>
    <row r="13" spans="1:50" x14ac:dyDescent="0.15">
      <c r="B13" s="98" t="s">
        <v>1009</v>
      </c>
      <c r="C13" s="167" t="e">
        <f>SUMIFS('caseload data'!E:E,'caseload data'!$C:$C,'divisional &amp; regional caseload%'!$B$8,'caseload data'!$D:$D,"SPO")/SUMIF('caseload data'!$C:$C,'divisional &amp; regional caseload%'!$B$8,'caseload data'!E:E)</f>
        <v>#DIV/0!</v>
      </c>
      <c r="D13" s="167" t="e">
        <f>SUMIFS('caseload data'!F:F,'caseload data'!$C:$C,'divisional &amp; regional caseload%'!$B$8,'caseload data'!$D:$D,"SPO")/SUMIF('caseload data'!$C:$C,'divisional &amp; regional caseload%'!$B$8,'caseload data'!F:F)</f>
        <v>#DIV/0!</v>
      </c>
      <c r="E13" s="167" t="e">
        <f>SUMIFS('caseload data'!G:G,'caseload data'!$C:$C,'divisional &amp; regional caseload%'!$B$8,'caseload data'!$D:$D,"SPO")/SUMIF('caseload data'!$C:$C,'divisional &amp; regional caseload%'!$B$8,'caseload data'!G:G)</f>
        <v>#DIV/0!</v>
      </c>
      <c r="F13" s="167" t="e">
        <f>SUMIFS('caseload data'!H:H,'caseload data'!$C:$C,'divisional &amp; regional caseload%'!$B$8,'caseload data'!$D:$D,"SPO")/SUMIF('caseload data'!$C:$C,'divisional &amp; regional caseload%'!$B$8,'caseload data'!H:H)</f>
        <v>#DIV/0!</v>
      </c>
      <c r="G13" s="167" t="e">
        <f>SUMIFS('caseload data'!I:I,'caseload data'!$C:$C,'divisional &amp; regional caseload%'!$B$8,'caseload data'!$D:$D,"SPO")/SUMIF('caseload data'!$C:$C,'divisional &amp; regional caseload%'!$B$8,'caseload data'!I:I)</f>
        <v>#DIV/0!</v>
      </c>
      <c r="H13" s="167" t="e">
        <f>SUMIFS('caseload data'!J:J,'caseload data'!$C:$C,'divisional &amp; regional caseload%'!$B$8,'caseload data'!$D:$D,"SPO")/SUMIF('caseload data'!$C:$C,'divisional &amp; regional caseload%'!$B$8,'caseload data'!J:J)</f>
        <v>#DIV/0!</v>
      </c>
      <c r="I13" s="167" t="e">
        <f>SUMIFS('caseload data'!K:K,'caseload data'!$C:$C,'divisional &amp; regional caseload%'!$B$8,'caseload data'!$D:$D,"SPO")/SUMIF('caseload data'!$C:$C,'divisional &amp; regional caseload%'!$B$8,'caseload data'!K:K)</f>
        <v>#DIV/0!</v>
      </c>
      <c r="J13" s="167" t="e">
        <f>SUMIFS('caseload data'!L:L,'caseload data'!$C:$C,'divisional &amp; regional caseload%'!$B$8,'caseload data'!$D:$D,"SPO")/SUMIF('caseload data'!$C:$C,'divisional &amp; regional caseload%'!$B$8,'caseload data'!L:L)</f>
        <v>#DIV/0!</v>
      </c>
      <c r="K13" s="167" t="e">
        <f>SUMIFS('caseload data'!M:M,'caseload data'!$C:$C,'divisional &amp; regional caseload%'!$B$8,'caseload data'!$D:$D,"SPO")/SUMIF('caseload data'!$C:$C,'divisional &amp; regional caseload%'!$B$8,'caseload data'!M:M)</f>
        <v>#DIV/0!</v>
      </c>
      <c r="L13" s="167" t="e">
        <f>SUMIFS('caseload data'!N:N,'caseload data'!$C:$C,'divisional &amp; regional caseload%'!$B$8,'caseload data'!$D:$D,"SPO")/SUMIF('caseload data'!$C:$C,'divisional &amp; regional caseload%'!$B$8,'caseload data'!N:N)</f>
        <v>#DIV/0!</v>
      </c>
      <c r="M13" s="167" t="e">
        <f>SUMIFS('caseload data'!O:O,'caseload data'!$C:$C,'divisional &amp; regional caseload%'!$B$8,'caseload data'!$D:$D,"SPO")/SUMIF('caseload data'!$C:$C,'divisional &amp; regional caseload%'!$B$8,'caseload data'!O:O)</f>
        <v>#DIV/0!</v>
      </c>
      <c r="N13" s="167" t="e">
        <f>SUMIFS('caseload data'!P:P,'caseload data'!$C:$C,'divisional &amp; regional caseload%'!$B$8,'caseload data'!$D:$D,"SPO")/SUMIF('caseload data'!$C:$C,'divisional &amp; regional caseload%'!$B$8,'caseload data'!P:P)</f>
        <v>#DIV/0!</v>
      </c>
      <c r="O13" s="167" t="e">
        <f>SUMIFS('caseload data'!Q:Q,'caseload data'!$C:$C,'divisional &amp; regional caseload%'!$B$8,'caseload data'!$D:$D,"SPO")/SUMIF('caseload data'!$C:$C,'divisional &amp; regional caseload%'!$B$8,'caseload data'!Q:Q)</f>
        <v>#DIV/0!</v>
      </c>
      <c r="P13" s="167" t="e">
        <f>SUMIFS('caseload data'!R:R,'caseload data'!$C:$C,'divisional &amp; regional caseload%'!$B$8,'caseload data'!$D:$D,"SPO")/SUMIF('caseload data'!$C:$C,'divisional &amp; regional caseload%'!$B$8,'caseload data'!R:R)</f>
        <v>#DIV/0!</v>
      </c>
      <c r="Q13" s="167" t="e">
        <f>SUMIFS('caseload data'!S:S,'caseload data'!$C:$C,'divisional &amp; regional caseload%'!$B$8,'caseload data'!$D:$D,"SPO")/SUMIF('caseload data'!$C:$C,'divisional &amp; regional caseload%'!$B$8,'caseload data'!S:S)</f>
        <v>#DIV/0!</v>
      </c>
      <c r="R13" s="167" t="e">
        <f>SUMIFS('caseload data'!T:T,'caseload data'!$C:$C,'divisional &amp; regional caseload%'!$B$8,'caseload data'!$D:$D,"SPO")/SUMIF('caseload data'!$C:$C,'divisional &amp; regional caseload%'!$B$8,'caseload data'!T:T)</f>
        <v>#DIV/0!</v>
      </c>
      <c r="S13" s="64"/>
      <c r="T13" s="98" t="s">
        <v>1009</v>
      </c>
      <c r="U13" s="167" t="e">
        <f>SUMIFS('caseload data'!E:E,'caseload data'!$C:$C,'divisional &amp; regional caseload%'!$T$8,'caseload data'!$D:$D,"SPO")/SUMIF('caseload data'!$C:$C,'divisional &amp; regional caseload%'!$T$8,'caseload data'!E:E)</f>
        <v>#DIV/0!</v>
      </c>
      <c r="V13" s="167" t="e">
        <f>SUMIFS('caseload data'!F:F,'caseload data'!$C:$C,'divisional &amp; regional caseload%'!$T$8,'caseload data'!$D:$D,"SPO")/SUMIF('caseload data'!$C:$C,'divisional &amp; regional caseload%'!$T$8,'caseload data'!F:F)</f>
        <v>#DIV/0!</v>
      </c>
      <c r="W13" s="167" t="e">
        <f>SUMIFS('caseload data'!G:G,'caseload data'!$C:$C,'divisional &amp; regional caseload%'!$T$8,'caseload data'!$D:$D,"SPO")/SUMIF('caseload data'!$C:$C,'divisional &amp; regional caseload%'!$T$8,'caseload data'!G:G)</f>
        <v>#DIV/0!</v>
      </c>
      <c r="X13" s="167" t="e">
        <f>SUMIFS('caseload data'!H:H,'caseload data'!$C:$C,'divisional &amp; regional caseload%'!$T$8,'caseload data'!$D:$D,"SPO")/SUMIF('caseload data'!$C:$C,'divisional &amp; regional caseload%'!$T$8,'caseload data'!H:H)</f>
        <v>#DIV/0!</v>
      </c>
      <c r="Y13" s="167" t="e">
        <f>SUMIFS('caseload data'!I:I,'caseload data'!$C:$C,'divisional &amp; regional caseload%'!$T$8,'caseload data'!$D:$D,"SPO")/SUMIF('caseload data'!$C:$C,'divisional &amp; regional caseload%'!$T$8,'caseload data'!I:I)</f>
        <v>#DIV/0!</v>
      </c>
      <c r="Z13" s="167" t="e">
        <f>SUMIFS('caseload data'!J:J,'caseload data'!$C:$C,'divisional &amp; regional caseload%'!$T$8,'caseload data'!$D:$D,"SPO")/SUMIF('caseload data'!$C:$C,'divisional &amp; regional caseload%'!$T$8,'caseload data'!J:J)</f>
        <v>#DIV/0!</v>
      </c>
      <c r="AA13" s="167" t="e">
        <f>SUMIFS('caseload data'!K:K,'caseload data'!$C:$C,'divisional &amp; regional caseload%'!$T$8,'caseload data'!$D:$D,"SPO")/SUMIF('caseload data'!$C:$C,'divisional &amp; regional caseload%'!$T$8,'caseload data'!K:K)</f>
        <v>#DIV/0!</v>
      </c>
      <c r="AB13" s="167" t="e">
        <f>SUMIFS('caseload data'!L:L,'caseload data'!$C:$C,'divisional &amp; regional caseload%'!$T$8,'caseload data'!$D:$D,"SPO")/SUMIF('caseload data'!$C:$C,'divisional &amp; regional caseload%'!$T$8,'caseload data'!L:L)</f>
        <v>#DIV/0!</v>
      </c>
      <c r="AC13" s="167" t="e">
        <f>SUMIFS('caseload data'!M:M,'caseload data'!$C:$C,'divisional &amp; regional caseload%'!$T$8,'caseload data'!$D:$D,"SPO")/SUMIF('caseload data'!$C:$C,'divisional &amp; regional caseload%'!$T$8,'caseload data'!M:M)</f>
        <v>#DIV/0!</v>
      </c>
      <c r="AD13" s="167" t="e">
        <f>SUMIFS('caseload data'!N:N,'caseload data'!$C:$C,'divisional &amp; regional caseload%'!$T$8,'caseload data'!$D:$D,"SPO")/SUMIF('caseload data'!$C:$C,'divisional &amp; regional caseload%'!$T$8,'caseload data'!N:N)</f>
        <v>#DIV/0!</v>
      </c>
      <c r="AE13" s="167" t="e">
        <f>SUMIFS('caseload data'!O:O,'caseload data'!$C:$C,'divisional &amp; regional caseload%'!$T$8,'caseload data'!$D:$D,"SPO")/SUMIF('caseload data'!$C:$C,'divisional &amp; regional caseload%'!$T$8,'caseload data'!O:O)</f>
        <v>#DIV/0!</v>
      </c>
      <c r="AF13" s="167" t="e">
        <f>SUMIFS('caseload data'!P:P,'caseload data'!$C:$C,'divisional &amp; regional caseload%'!$T$8,'caseload data'!$D:$D,"SPO")/SUMIF('caseload data'!$C:$C,'divisional &amp; regional caseload%'!$T$8,'caseload data'!P:P)</f>
        <v>#DIV/0!</v>
      </c>
      <c r="AG13" s="167" t="e">
        <f>SUMIFS('caseload data'!Q:Q,'caseload data'!$C:$C,'divisional &amp; regional caseload%'!$T$8,'caseload data'!$D:$D,"SPO")/SUMIF('caseload data'!$C:$C,'divisional &amp; regional caseload%'!$T$8,'caseload data'!Q:Q)</f>
        <v>#DIV/0!</v>
      </c>
      <c r="AH13" s="167" t="e">
        <f>SUMIFS('caseload data'!R:R,'caseload data'!$C:$C,'divisional &amp; regional caseload%'!$T$8,'caseload data'!$D:$D,"SPO")/SUMIF('caseload data'!$C:$C,'divisional &amp; regional caseload%'!$T$8,'caseload data'!R:R)</f>
        <v>#DIV/0!</v>
      </c>
      <c r="AI13" s="167" t="e">
        <f>SUMIFS('caseload data'!S:S,'caseload data'!$C:$C,'divisional &amp; regional caseload%'!$T$8,'caseload data'!$D:$D,"SPO")/SUMIF('caseload data'!$C:$C,'divisional &amp; regional caseload%'!$T$8,'caseload data'!S:S)</f>
        <v>#DIV/0!</v>
      </c>
      <c r="AJ13" s="167" t="e">
        <f>SUMIFS('caseload data'!T:T,'caseload data'!$C:$C,'divisional &amp; regional caseload%'!$T$8,'caseload data'!$D:$D,"SPO")/SUMIF('caseload data'!$C:$C,'divisional &amp; regional caseload%'!$T$8,'caseload data'!T:T)</f>
        <v>#DIV/0!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289" t="str">
        <f>HLOOKUP($B$5,Region_Table,4,0)</f>
        <v>Derbyshire - N53</v>
      </c>
      <c r="C15" s="523" t="s">
        <v>1101</v>
      </c>
      <c r="D15" s="524"/>
      <c r="E15" s="524"/>
      <c r="F15" s="524"/>
      <c r="G15" s="524"/>
      <c r="H15" s="524"/>
      <c r="I15" s="524"/>
      <c r="J15" s="524"/>
      <c r="K15" s="524"/>
      <c r="L15" s="524"/>
      <c r="M15" s="525"/>
      <c r="N15" s="525"/>
      <c r="O15" s="526"/>
      <c r="P15" s="510">
        <f>SUMIF('caseload data'!$C:$C,'divisional &amp; regional caseload%'!B15,'caseload data'!V:V)</f>
        <v>0</v>
      </c>
      <c r="Q15" s="527"/>
      <c r="R15" s="528"/>
      <c r="S15" s="64"/>
      <c r="T15" s="289" t="str">
        <f>HLOOKUP($B$5,Region_Table,5,0)</f>
        <v>Leicester, Leicestershire and Rutland</v>
      </c>
      <c r="U15" s="523" t="s">
        <v>1101</v>
      </c>
      <c r="V15" s="524"/>
      <c r="W15" s="524"/>
      <c r="X15" s="524"/>
      <c r="Y15" s="524"/>
      <c r="Z15" s="524"/>
      <c r="AA15" s="524"/>
      <c r="AB15" s="524"/>
      <c r="AC15" s="524"/>
      <c r="AD15" s="524"/>
      <c r="AE15" s="525"/>
      <c r="AF15" s="525"/>
      <c r="AG15" s="526"/>
      <c r="AH15" s="510">
        <f>SUMIF('caseload data'!$C:$C,'divisional &amp; regional caseload%'!T15,'caseload data'!V:V)</f>
        <v>0</v>
      </c>
      <c r="AI15" s="527"/>
      <c r="AJ15" s="528"/>
    </row>
    <row r="16" spans="1:50" x14ac:dyDescent="0.15">
      <c r="B16" s="95" t="s">
        <v>1006</v>
      </c>
      <c r="C16" s="38" t="s">
        <v>869</v>
      </c>
      <c r="D16" s="38" t="s">
        <v>870</v>
      </c>
      <c r="E16" s="38" t="s">
        <v>871</v>
      </c>
      <c r="F16" s="38" t="s">
        <v>872</v>
      </c>
      <c r="G16" s="38" t="s">
        <v>873</v>
      </c>
      <c r="H16" s="38" t="s">
        <v>874</v>
      </c>
      <c r="I16" s="38" t="s">
        <v>875</v>
      </c>
      <c r="J16" s="38" t="s">
        <v>876</v>
      </c>
      <c r="K16" s="38" t="s">
        <v>877</v>
      </c>
      <c r="L16" s="38" t="s">
        <v>878</v>
      </c>
      <c r="M16" s="38" t="s">
        <v>879</v>
      </c>
      <c r="N16" s="38" t="s">
        <v>880</v>
      </c>
      <c r="O16" s="38" t="s">
        <v>881</v>
      </c>
      <c r="P16" s="38" t="s">
        <v>882</v>
      </c>
      <c r="Q16" s="38" t="s">
        <v>883</v>
      </c>
      <c r="R16" s="38" t="s">
        <v>884</v>
      </c>
      <c r="S16" s="64"/>
      <c r="T16" s="95" t="s">
        <v>1006</v>
      </c>
      <c r="U16" s="38" t="s">
        <v>869</v>
      </c>
      <c r="V16" s="38" t="s">
        <v>870</v>
      </c>
      <c r="W16" s="38" t="s">
        <v>871</v>
      </c>
      <c r="X16" s="38" t="s">
        <v>872</v>
      </c>
      <c r="Y16" s="38" t="s">
        <v>873</v>
      </c>
      <c r="Z16" s="38" t="s">
        <v>874</v>
      </c>
      <c r="AA16" s="38" t="s">
        <v>875</v>
      </c>
      <c r="AB16" s="38" t="s">
        <v>876</v>
      </c>
      <c r="AC16" s="38" t="s">
        <v>877</v>
      </c>
      <c r="AD16" s="38" t="s">
        <v>878</v>
      </c>
      <c r="AE16" s="38" t="s">
        <v>879</v>
      </c>
      <c r="AF16" s="38" t="s">
        <v>880</v>
      </c>
      <c r="AG16" s="38" t="s">
        <v>881</v>
      </c>
      <c r="AH16" s="38" t="s">
        <v>882</v>
      </c>
      <c r="AI16" s="38" t="s">
        <v>883</v>
      </c>
      <c r="AJ16" s="38" t="s">
        <v>884</v>
      </c>
    </row>
    <row r="17" spans="2:36" x14ac:dyDescent="0.15">
      <c r="B17" s="96" t="s">
        <v>1002</v>
      </c>
      <c r="C17" s="167" t="e">
        <f>SUMIFS('caseload data'!E:E,'caseload data'!$C:$C,'divisional &amp; regional caseload%'!$B$15,'caseload data'!$D:$D,"PO")/SUMIF('caseload data'!$C:$C,'divisional &amp; regional caseload%'!$B$15,'caseload data'!E:E)</f>
        <v>#DIV/0!</v>
      </c>
      <c r="D17" s="167" t="e">
        <f>SUMIFS('caseload data'!F:F,'caseload data'!$C:$C,'divisional &amp; regional caseload%'!$B$15,'caseload data'!$D:$D,"PO")/SUMIF('caseload data'!$C:$C,'divisional &amp; regional caseload%'!$B$15,'caseload data'!F:F)</f>
        <v>#DIV/0!</v>
      </c>
      <c r="E17" s="167" t="e">
        <f>SUMIFS('caseload data'!G:G,'caseload data'!$C:$C,'divisional &amp; regional caseload%'!$B$15,'caseload data'!$D:$D,"PO")/SUMIF('caseload data'!$C:$C,'divisional &amp; regional caseload%'!$B$15,'caseload data'!G:G)</f>
        <v>#DIV/0!</v>
      </c>
      <c r="F17" s="167" t="e">
        <f>SUMIFS('caseload data'!H:H,'caseload data'!$C:$C,'divisional &amp; regional caseload%'!$B$15,'caseload data'!$D:$D,"PO")/SUMIF('caseload data'!$C:$C,'divisional &amp; regional caseload%'!$B$15,'caseload data'!H:H)</f>
        <v>#DIV/0!</v>
      </c>
      <c r="G17" s="167" t="e">
        <f>SUMIFS('caseload data'!I:I,'caseload data'!$C:$C,'divisional &amp; regional caseload%'!$B$15,'caseload data'!$D:$D,"PO")/SUMIF('caseload data'!$C:$C,'divisional &amp; regional caseload%'!$B$15,'caseload data'!I:I)</f>
        <v>#DIV/0!</v>
      </c>
      <c r="H17" s="167" t="e">
        <f>SUMIFS('caseload data'!J:J,'caseload data'!$C:$C,'divisional &amp; regional caseload%'!$B$15,'caseload data'!$D:$D,"PO")/SUMIF('caseload data'!$C:$C,'divisional &amp; regional caseload%'!$B$15,'caseload data'!J:J)</f>
        <v>#DIV/0!</v>
      </c>
      <c r="I17" s="167" t="e">
        <f>SUMIFS('caseload data'!K:K,'caseload data'!$C:$C,'divisional &amp; regional caseload%'!$B$15,'caseload data'!$D:$D,"PO")/SUMIF('caseload data'!$C:$C,'divisional &amp; regional caseload%'!$B$15,'caseload data'!K:K)</f>
        <v>#DIV/0!</v>
      </c>
      <c r="J17" s="167" t="e">
        <f>SUMIFS('caseload data'!L:L,'caseload data'!$C:$C,'divisional &amp; regional caseload%'!$B$15,'caseload data'!$D:$D,"PO")/SUMIF('caseload data'!$C:$C,'divisional &amp; regional caseload%'!$B$15,'caseload data'!L:L)</f>
        <v>#DIV/0!</v>
      </c>
      <c r="K17" s="167" t="e">
        <f>SUMIFS('caseload data'!M:M,'caseload data'!$C:$C,'divisional &amp; regional caseload%'!$B$15,'caseload data'!$D:$D,"PO")/SUMIF('caseload data'!$C:$C,'divisional &amp; regional caseload%'!$B$15,'caseload data'!M:M)</f>
        <v>#DIV/0!</v>
      </c>
      <c r="L17" s="167" t="e">
        <f>SUMIFS('caseload data'!N:N,'caseload data'!$C:$C,'divisional &amp; regional caseload%'!$B$15,'caseload data'!$D:$D,"PO")/SUMIF('caseload data'!$C:$C,'divisional &amp; regional caseload%'!$B$15,'caseload data'!N:N)</f>
        <v>#DIV/0!</v>
      </c>
      <c r="M17" s="167" t="e">
        <f>SUMIFS('caseload data'!O:O,'caseload data'!$C:$C,'divisional &amp; regional caseload%'!$B$15,'caseload data'!$D:$D,"PO")/SUMIF('caseload data'!$C:$C,'divisional &amp; regional caseload%'!$B$15,'caseload data'!O:O)</f>
        <v>#DIV/0!</v>
      </c>
      <c r="N17" s="167" t="e">
        <f>SUMIFS('caseload data'!P:P,'caseload data'!$C:$C,'divisional &amp; regional caseload%'!$B$15,'caseload data'!$D:$D,"PO")/SUMIF('caseload data'!$C:$C,'divisional &amp; regional caseload%'!$B$15,'caseload data'!P:P)</f>
        <v>#DIV/0!</v>
      </c>
      <c r="O17" s="167" t="e">
        <f>SUMIFS('caseload data'!Q:Q,'caseload data'!$C:$C,'divisional &amp; regional caseload%'!$B$15,'caseload data'!$D:$D,"PO")/SUMIF('caseload data'!$C:$C,'divisional &amp; regional caseload%'!$B$15,'caseload data'!Q:Q)</f>
        <v>#DIV/0!</v>
      </c>
      <c r="P17" s="167" t="e">
        <f>SUMIFS('caseload data'!R:R,'caseload data'!$C:$C,'divisional &amp; regional caseload%'!$B$15,'caseload data'!$D:$D,"PO")/SUMIF('caseload data'!$C:$C,'divisional &amp; regional caseload%'!$B$15,'caseload data'!R:R)</f>
        <v>#DIV/0!</v>
      </c>
      <c r="Q17" s="167" t="e">
        <f>SUMIFS('caseload data'!S:S,'caseload data'!$C:$C,'divisional &amp; regional caseload%'!$B$15,'caseload data'!$D:$D,"PO")/SUMIF('caseload data'!$C:$C,'divisional &amp; regional caseload%'!$B$15,'caseload data'!S:S)</f>
        <v>#DIV/0!</v>
      </c>
      <c r="R17" s="167" t="e">
        <f>SUMIFS('caseload data'!T:T,'caseload data'!$C:$C,'divisional &amp; regional caseload%'!$B$15,'caseload data'!$D:$D,"PO")/SUMIF('caseload data'!$C:$C,'divisional &amp; regional caseload%'!$B$15,'caseload data'!T:T)</f>
        <v>#DIV/0!</v>
      </c>
      <c r="S17" s="64"/>
      <c r="T17" s="96" t="s">
        <v>1002</v>
      </c>
      <c r="U17" s="167" t="e">
        <f>SUMIFS('caseload data'!E:E,'caseload data'!$C:$C,'divisional &amp; regional caseload%'!$T$15,'caseload data'!$D:$D,"PO")/SUMIF('caseload data'!$C:$C,'divisional &amp; regional caseload%'!$T$15,'caseload data'!E:E)</f>
        <v>#DIV/0!</v>
      </c>
      <c r="V17" s="167" t="e">
        <f>SUMIFS('caseload data'!F:F,'caseload data'!$C:$C,'divisional &amp; regional caseload%'!$T$15,'caseload data'!$D:$D,"PO")/SUMIF('caseload data'!$C:$C,'divisional &amp; regional caseload%'!$T$15,'caseload data'!F:F)</f>
        <v>#DIV/0!</v>
      </c>
      <c r="W17" s="167" t="e">
        <f>SUMIFS('caseload data'!G:G,'caseload data'!$C:$C,'divisional &amp; regional caseload%'!$T$15,'caseload data'!$D:$D,"PO")/SUMIF('caseload data'!$C:$C,'divisional &amp; regional caseload%'!$T$15,'caseload data'!G:G)</f>
        <v>#DIV/0!</v>
      </c>
      <c r="X17" s="167" t="e">
        <f>SUMIFS('caseload data'!H:H,'caseload data'!$C:$C,'divisional &amp; regional caseload%'!$T$15,'caseload data'!$D:$D,"PO")/SUMIF('caseload data'!$C:$C,'divisional &amp; regional caseload%'!$T$15,'caseload data'!H:H)</f>
        <v>#DIV/0!</v>
      </c>
      <c r="Y17" s="167" t="e">
        <f>SUMIFS('caseload data'!I:I,'caseload data'!$C:$C,'divisional &amp; regional caseload%'!$T$15,'caseload data'!$D:$D,"PO")/SUMIF('caseload data'!$C:$C,'divisional &amp; regional caseload%'!$T$15,'caseload data'!I:I)</f>
        <v>#DIV/0!</v>
      </c>
      <c r="Z17" s="167" t="e">
        <f>SUMIFS('caseload data'!J:J,'caseload data'!$C:$C,'divisional &amp; regional caseload%'!$T$15,'caseload data'!$D:$D,"PO")/SUMIF('caseload data'!$C:$C,'divisional &amp; regional caseload%'!$T$15,'caseload data'!J:J)</f>
        <v>#DIV/0!</v>
      </c>
      <c r="AA17" s="167" t="e">
        <f>SUMIFS('caseload data'!K:K,'caseload data'!$C:$C,'divisional &amp; regional caseload%'!$T$15,'caseload data'!$D:$D,"PO")/SUMIF('caseload data'!$C:$C,'divisional &amp; regional caseload%'!$T$15,'caseload data'!K:K)</f>
        <v>#DIV/0!</v>
      </c>
      <c r="AB17" s="167" t="e">
        <f>SUMIFS('caseload data'!L:L,'caseload data'!$C:$C,'divisional &amp; regional caseload%'!$T$15,'caseload data'!$D:$D,"PO")/SUMIF('caseload data'!$C:$C,'divisional &amp; regional caseload%'!$T$15,'caseload data'!L:L)</f>
        <v>#DIV/0!</v>
      </c>
      <c r="AC17" s="167" t="e">
        <f>SUMIFS('caseload data'!M:M,'caseload data'!$C:$C,'divisional &amp; regional caseload%'!$T$15,'caseload data'!$D:$D,"PO")/SUMIF('caseload data'!$C:$C,'divisional &amp; regional caseload%'!$T$15,'caseload data'!M:M)</f>
        <v>#DIV/0!</v>
      </c>
      <c r="AD17" s="167" t="e">
        <f>SUMIFS('caseload data'!N:N,'caseload data'!$C:$C,'divisional &amp; regional caseload%'!$T$15,'caseload data'!$D:$D,"PO")/SUMIF('caseload data'!$C:$C,'divisional &amp; regional caseload%'!$T$15,'caseload data'!N:N)</f>
        <v>#DIV/0!</v>
      </c>
      <c r="AE17" s="167" t="e">
        <f>SUMIFS('caseload data'!O:O,'caseload data'!$C:$C,'divisional &amp; regional caseload%'!$T$15,'caseload data'!$D:$D,"PO")/SUMIF('caseload data'!$C:$C,'divisional &amp; regional caseload%'!$T$15,'caseload data'!O:O)</f>
        <v>#DIV/0!</v>
      </c>
      <c r="AF17" s="167" t="e">
        <f>SUMIFS('caseload data'!P:P,'caseload data'!$C:$C,'divisional &amp; regional caseload%'!$T$15,'caseload data'!$D:$D,"PO")/SUMIF('caseload data'!$C:$C,'divisional &amp; regional caseload%'!$T$15,'caseload data'!P:P)</f>
        <v>#DIV/0!</v>
      </c>
      <c r="AG17" s="167" t="e">
        <f>SUMIFS('caseload data'!Q:Q,'caseload data'!$C:$C,'divisional &amp; regional caseload%'!$T$15,'caseload data'!$D:$D,"PO")/SUMIF('caseload data'!$C:$C,'divisional &amp; regional caseload%'!$T$15,'caseload data'!Q:Q)</f>
        <v>#DIV/0!</v>
      </c>
      <c r="AH17" s="167" t="e">
        <f>SUMIFS('caseload data'!R:R,'caseload data'!$C:$C,'divisional &amp; regional caseload%'!$T$15,'caseload data'!$D:$D,"PO")/SUMIF('caseload data'!$C:$C,'divisional &amp; regional caseload%'!$T$15,'caseload data'!R:R)</f>
        <v>#DIV/0!</v>
      </c>
      <c r="AI17" s="167" t="e">
        <f>SUMIFS('caseload data'!S:S,'caseload data'!$C:$C,'divisional &amp; regional caseload%'!$T$15,'caseload data'!$D:$D,"PO")/SUMIF('caseload data'!$C:$C,'divisional &amp; regional caseload%'!$T$15,'caseload data'!S:S)</f>
        <v>#DIV/0!</v>
      </c>
      <c r="AJ17" s="167" t="e">
        <f>SUMIFS('caseload data'!T:T,'caseload data'!$C:$C,'divisional &amp; regional caseload%'!$T$15,'caseload data'!$D:$D,"PO")/SUMIF('caseload data'!$C:$C,'divisional &amp; regional caseload%'!$T$15,'caseload data'!T:T)</f>
        <v>#DIV/0!</v>
      </c>
    </row>
    <row r="18" spans="2:36" x14ac:dyDescent="0.15">
      <c r="B18" s="97" t="s">
        <v>1007</v>
      </c>
      <c r="C18" s="167" t="e">
        <f>SUMIFS('caseload data'!E:E,'caseload data'!$C:$C,'divisional &amp; regional caseload%'!$B$15,'caseload data'!$D:$D,"PSO")/SUMIF('caseload data'!$C:$C,'divisional &amp; regional caseload%'!$B$15,'caseload data'!E:E)</f>
        <v>#DIV/0!</v>
      </c>
      <c r="D18" s="167" t="e">
        <f>SUMIFS('caseload data'!F:F,'caseload data'!$C:$C,'divisional &amp; regional caseload%'!$B$15,'caseload data'!$D:$D,"PSO")/SUMIF('caseload data'!$C:$C,'divisional &amp; regional caseload%'!$B$15,'caseload data'!F:F)</f>
        <v>#DIV/0!</v>
      </c>
      <c r="E18" s="167" t="e">
        <f>SUMIFS('caseload data'!G:G,'caseload data'!$C:$C,'divisional &amp; regional caseload%'!$B$15,'caseload data'!$D:$D,"PSO")/SUMIF('caseload data'!$C:$C,'divisional &amp; regional caseload%'!$B$15,'caseload data'!G:G)</f>
        <v>#DIV/0!</v>
      </c>
      <c r="F18" s="167" t="e">
        <f>SUMIFS('caseload data'!H:H,'caseload data'!$C:$C,'divisional &amp; regional caseload%'!$B$15,'caseload data'!$D:$D,"PSO")/SUMIF('caseload data'!$C:$C,'divisional &amp; regional caseload%'!$B$15,'caseload data'!H:H)</f>
        <v>#DIV/0!</v>
      </c>
      <c r="G18" s="167" t="e">
        <f>SUMIFS('caseload data'!I:I,'caseload data'!$C:$C,'divisional &amp; regional caseload%'!$B$15,'caseload data'!$D:$D,"PSO")/SUMIF('caseload data'!$C:$C,'divisional &amp; regional caseload%'!$B$15,'caseload data'!I:I)</f>
        <v>#DIV/0!</v>
      </c>
      <c r="H18" s="167" t="e">
        <f>SUMIFS('caseload data'!J:J,'caseload data'!$C:$C,'divisional &amp; regional caseload%'!$B$15,'caseload data'!$D:$D,"PSO")/SUMIF('caseload data'!$C:$C,'divisional &amp; regional caseload%'!$B$15,'caseload data'!J:J)</f>
        <v>#DIV/0!</v>
      </c>
      <c r="I18" s="167" t="e">
        <f>SUMIFS('caseload data'!K:K,'caseload data'!$C:$C,'divisional &amp; regional caseload%'!$B$15,'caseload data'!$D:$D,"PSO")/SUMIF('caseload data'!$C:$C,'divisional &amp; regional caseload%'!$B$15,'caseload data'!K:K)</f>
        <v>#DIV/0!</v>
      </c>
      <c r="J18" s="167" t="e">
        <f>SUMIFS('caseload data'!L:L,'caseload data'!$C:$C,'divisional &amp; regional caseload%'!$B$15,'caseload data'!$D:$D,"PSO")/SUMIF('caseload data'!$C:$C,'divisional &amp; regional caseload%'!$B$15,'caseload data'!L:L)</f>
        <v>#DIV/0!</v>
      </c>
      <c r="K18" s="167" t="e">
        <f>SUMIFS('caseload data'!M:M,'caseload data'!$C:$C,'divisional &amp; regional caseload%'!$B$15,'caseload data'!$D:$D,"PSO")/SUMIF('caseload data'!$C:$C,'divisional &amp; regional caseload%'!$B$15,'caseload data'!M:M)</f>
        <v>#DIV/0!</v>
      </c>
      <c r="L18" s="167" t="e">
        <f>SUMIFS('caseload data'!N:N,'caseload data'!$C:$C,'divisional &amp; regional caseload%'!$B$15,'caseload data'!$D:$D,"PSO")/SUMIF('caseload data'!$C:$C,'divisional &amp; regional caseload%'!$B$15,'caseload data'!N:N)</f>
        <v>#DIV/0!</v>
      </c>
      <c r="M18" s="167" t="e">
        <f>SUMIFS('caseload data'!O:O,'caseload data'!$C:$C,'divisional &amp; regional caseload%'!$B$15,'caseload data'!$D:$D,"PSO")/SUMIF('caseload data'!$C:$C,'divisional &amp; regional caseload%'!$B$15,'caseload data'!O:O)</f>
        <v>#DIV/0!</v>
      </c>
      <c r="N18" s="167" t="e">
        <f>SUMIFS('caseload data'!P:P,'caseload data'!$C:$C,'divisional &amp; regional caseload%'!$B$15,'caseload data'!$D:$D,"PSO")/SUMIF('caseload data'!$C:$C,'divisional &amp; regional caseload%'!$B$15,'caseload data'!P:P)</f>
        <v>#DIV/0!</v>
      </c>
      <c r="O18" s="167" t="e">
        <f>SUMIFS('caseload data'!Q:Q,'caseload data'!$C:$C,'divisional &amp; regional caseload%'!$B$15,'caseload data'!$D:$D,"PSO")/SUMIF('caseload data'!$C:$C,'divisional &amp; regional caseload%'!$B$15,'caseload data'!Q:Q)</f>
        <v>#DIV/0!</v>
      </c>
      <c r="P18" s="167" t="e">
        <f>SUMIFS('caseload data'!R:R,'caseload data'!$C:$C,'divisional &amp; regional caseload%'!$B$15,'caseload data'!$D:$D,"PSO")/SUMIF('caseload data'!$C:$C,'divisional &amp; regional caseload%'!$B$15,'caseload data'!R:R)</f>
        <v>#DIV/0!</v>
      </c>
      <c r="Q18" s="167" t="e">
        <f>SUMIFS('caseload data'!S:S,'caseload data'!$C:$C,'divisional &amp; regional caseload%'!$B$15,'caseload data'!$D:$D,"PSO")/SUMIF('caseload data'!$C:$C,'divisional &amp; regional caseload%'!$B$15,'caseload data'!S:S)</f>
        <v>#DIV/0!</v>
      </c>
      <c r="R18" s="167" t="e">
        <f>SUMIFS('caseload data'!T:T,'caseload data'!$C:$C,'divisional &amp; regional caseload%'!$B$15,'caseload data'!$D:$D,"PSO")/SUMIF('caseload data'!$C:$C,'divisional &amp; regional caseload%'!$B$15,'caseload data'!T:T)</f>
        <v>#DIV/0!</v>
      </c>
      <c r="S18" s="64"/>
      <c r="T18" s="97" t="s">
        <v>1007</v>
      </c>
      <c r="U18" s="167" t="e">
        <f>SUMIFS('caseload data'!E:E,'caseload data'!$C:$C,'divisional &amp; regional caseload%'!$T$15,'caseload data'!$D:$D,"PSO")/SUMIF('caseload data'!$C:$C,'divisional &amp; regional caseload%'!$T$15,'caseload data'!E:E)</f>
        <v>#DIV/0!</v>
      </c>
      <c r="V18" s="167" t="e">
        <f>SUMIFS('caseload data'!F:F,'caseload data'!$C:$C,'divisional &amp; regional caseload%'!$T$15,'caseload data'!$D:$D,"PSO")/SUMIF('caseload data'!$C:$C,'divisional &amp; regional caseload%'!$T$15,'caseload data'!F:F)</f>
        <v>#DIV/0!</v>
      </c>
      <c r="W18" s="167" t="e">
        <f>SUMIFS('caseload data'!G:G,'caseload data'!$C:$C,'divisional &amp; regional caseload%'!$T$15,'caseload data'!$D:$D,"PSO")/SUMIF('caseload data'!$C:$C,'divisional &amp; regional caseload%'!$T$15,'caseload data'!G:G)</f>
        <v>#DIV/0!</v>
      </c>
      <c r="X18" s="167" t="e">
        <f>SUMIFS('caseload data'!H:H,'caseload data'!$C:$C,'divisional &amp; regional caseload%'!$T$15,'caseload data'!$D:$D,"PSO")/SUMIF('caseload data'!$C:$C,'divisional &amp; regional caseload%'!$T$15,'caseload data'!H:H)</f>
        <v>#DIV/0!</v>
      </c>
      <c r="Y18" s="167" t="e">
        <f>SUMIFS('caseload data'!I:I,'caseload data'!$C:$C,'divisional &amp; regional caseload%'!$T$15,'caseload data'!$D:$D,"PSO")/SUMIF('caseload data'!$C:$C,'divisional &amp; regional caseload%'!$T$15,'caseload data'!I:I)</f>
        <v>#DIV/0!</v>
      </c>
      <c r="Z18" s="167" t="e">
        <f>SUMIFS('caseload data'!J:J,'caseload data'!$C:$C,'divisional &amp; regional caseload%'!$T$15,'caseload data'!$D:$D,"PSO")/SUMIF('caseload data'!$C:$C,'divisional &amp; regional caseload%'!$T$15,'caseload data'!J:J)</f>
        <v>#DIV/0!</v>
      </c>
      <c r="AA18" s="167" t="e">
        <f>SUMIFS('caseload data'!K:K,'caseload data'!$C:$C,'divisional &amp; regional caseload%'!$T$15,'caseload data'!$D:$D,"PSO")/SUMIF('caseload data'!$C:$C,'divisional &amp; regional caseload%'!$T$15,'caseload data'!K:K)</f>
        <v>#DIV/0!</v>
      </c>
      <c r="AB18" s="167" t="e">
        <f>SUMIFS('caseload data'!L:L,'caseload data'!$C:$C,'divisional &amp; regional caseload%'!$T$15,'caseload data'!$D:$D,"PSO")/SUMIF('caseload data'!$C:$C,'divisional &amp; regional caseload%'!$T$15,'caseload data'!L:L)</f>
        <v>#DIV/0!</v>
      </c>
      <c r="AC18" s="167" t="e">
        <f>SUMIFS('caseload data'!M:M,'caseload data'!$C:$C,'divisional &amp; regional caseload%'!$T$15,'caseload data'!$D:$D,"PSO")/SUMIF('caseload data'!$C:$C,'divisional &amp; regional caseload%'!$T$15,'caseload data'!M:M)</f>
        <v>#DIV/0!</v>
      </c>
      <c r="AD18" s="167" t="e">
        <f>SUMIFS('caseload data'!N:N,'caseload data'!$C:$C,'divisional &amp; regional caseload%'!$T$15,'caseload data'!$D:$D,"PSO")/SUMIF('caseload data'!$C:$C,'divisional &amp; regional caseload%'!$T$15,'caseload data'!N:N)</f>
        <v>#DIV/0!</v>
      </c>
      <c r="AE18" s="167" t="e">
        <f>SUMIFS('caseload data'!O:O,'caseload data'!$C:$C,'divisional &amp; regional caseload%'!$T$15,'caseload data'!$D:$D,"PSO")/SUMIF('caseload data'!$C:$C,'divisional &amp; regional caseload%'!$T$15,'caseload data'!O:O)</f>
        <v>#DIV/0!</v>
      </c>
      <c r="AF18" s="167" t="e">
        <f>SUMIFS('caseload data'!P:P,'caseload data'!$C:$C,'divisional &amp; regional caseload%'!$T$15,'caseload data'!$D:$D,"PSO")/SUMIF('caseload data'!$C:$C,'divisional &amp; regional caseload%'!$T$15,'caseload data'!P:P)</f>
        <v>#DIV/0!</v>
      </c>
      <c r="AG18" s="167" t="e">
        <f>SUMIFS('caseload data'!Q:Q,'caseload data'!$C:$C,'divisional &amp; regional caseload%'!$T$15,'caseload data'!$D:$D,"PSO")/SUMIF('caseload data'!$C:$C,'divisional &amp; regional caseload%'!$T$15,'caseload data'!Q:Q)</f>
        <v>#DIV/0!</v>
      </c>
      <c r="AH18" s="167" t="e">
        <f>SUMIFS('caseload data'!R:R,'caseload data'!$C:$C,'divisional &amp; regional caseload%'!$T$15,'caseload data'!$D:$D,"PSO")/SUMIF('caseload data'!$C:$C,'divisional &amp; regional caseload%'!$T$15,'caseload data'!R:R)</f>
        <v>#DIV/0!</v>
      </c>
      <c r="AI18" s="167" t="e">
        <f>SUMIFS('caseload data'!S:S,'caseload data'!$C:$C,'divisional &amp; regional caseload%'!$T$15,'caseload data'!$D:$D,"PSO")/SUMIF('caseload data'!$C:$C,'divisional &amp; regional caseload%'!$T$15,'caseload data'!S:S)</f>
        <v>#DIV/0!</v>
      </c>
      <c r="AJ18" s="167" t="e">
        <f>SUMIFS('caseload data'!T:T,'caseload data'!$C:$C,'divisional &amp; regional caseload%'!$T$15,'caseload data'!$D:$D,"PSO")/SUMIF('caseload data'!$C:$C,'divisional &amp; regional caseload%'!$T$15,'caseload data'!T:T)</f>
        <v>#DIV/0!</v>
      </c>
    </row>
    <row r="19" spans="2:36" x14ac:dyDescent="0.15">
      <c r="B19" s="97" t="s">
        <v>1008</v>
      </c>
      <c r="C19" s="167" t="e">
        <f>SUMIFS('caseload data'!E:E,'caseload data'!$C:$C,'divisional &amp; regional caseload%'!$B$15,'caseload data'!$D:$D,"TPO")/SUMIF('caseload data'!$C:$C,'divisional &amp; regional caseload%'!$B$15,'caseload data'!E:E)</f>
        <v>#DIV/0!</v>
      </c>
      <c r="D19" s="167" t="e">
        <f>SUMIFS('caseload data'!F:F,'caseload data'!$C:$C,'divisional &amp; regional caseload%'!$B$15,'caseload data'!$D:$D,"TPO")/SUMIF('caseload data'!$C:$C,'divisional &amp; regional caseload%'!$B$15,'caseload data'!F:F)</f>
        <v>#DIV/0!</v>
      </c>
      <c r="E19" s="167" t="e">
        <f>SUMIFS('caseload data'!G:G,'caseload data'!$C:$C,'divisional &amp; regional caseload%'!$B$15,'caseload data'!$D:$D,"TPO")/SUMIF('caseload data'!$C:$C,'divisional &amp; regional caseload%'!$B$15,'caseload data'!G:G)</f>
        <v>#DIV/0!</v>
      </c>
      <c r="F19" s="167" t="e">
        <f>SUMIFS('caseload data'!H:H,'caseload data'!$C:$C,'divisional &amp; regional caseload%'!$B$15,'caseload data'!$D:$D,"TPO")/SUMIF('caseload data'!$C:$C,'divisional &amp; regional caseload%'!$B$15,'caseload data'!H:H)</f>
        <v>#DIV/0!</v>
      </c>
      <c r="G19" s="167" t="e">
        <f>SUMIFS('caseload data'!I:I,'caseload data'!$C:$C,'divisional &amp; regional caseload%'!$B$15,'caseload data'!$D:$D,"TPO")/SUMIF('caseload data'!$C:$C,'divisional &amp; regional caseload%'!$B$15,'caseload data'!I:I)</f>
        <v>#DIV/0!</v>
      </c>
      <c r="H19" s="167" t="e">
        <f>SUMIFS('caseload data'!J:J,'caseload data'!$C:$C,'divisional &amp; regional caseload%'!$B$15,'caseload data'!$D:$D,"TPO")/SUMIF('caseload data'!$C:$C,'divisional &amp; regional caseload%'!$B$15,'caseload data'!J:J)</f>
        <v>#DIV/0!</v>
      </c>
      <c r="I19" s="167" t="e">
        <f>SUMIFS('caseload data'!K:K,'caseload data'!$C:$C,'divisional &amp; regional caseload%'!$B$15,'caseload data'!$D:$D,"TPO")/SUMIF('caseload data'!$C:$C,'divisional &amp; regional caseload%'!$B$15,'caseload data'!K:K)</f>
        <v>#DIV/0!</v>
      </c>
      <c r="J19" s="167" t="e">
        <f>SUMIFS('caseload data'!L:L,'caseload data'!$C:$C,'divisional &amp; regional caseload%'!$B$15,'caseload data'!$D:$D,"TPO")/SUMIF('caseload data'!$C:$C,'divisional &amp; regional caseload%'!$B$15,'caseload data'!L:L)</f>
        <v>#DIV/0!</v>
      </c>
      <c r="K19" s="167" t="e">
        <f>SUMIFS('caseload data'!M:M,'caseload data'!$C:$C,'divisional &amp; regional caseload%'!$B$15,'caseload data'!$D:$D,"TPO")/SUMIF('caseload data'!$C:$C,'divisional &amp; regional caseload%'!$B$15,'caseload data'!M:M)</f>
        <v>#DIV/0!</v>
      </c>
      <c r="L19" s="167" t="e">
        <f>SUMIFS('caseload data'!N:N,'caseload data'!$C:$C,'divisional &amp; regional caseload%'!$B$15,'caseload data'!$D:$D,"TPO")/SUMIF('caseload data'!$C:$C,'divisional &amp; regional caseload%'!$B$15,'caseload data'!N:N)</f>
        <v>#DIV/0!</v>
      </c>
      <c r="M19" s="167" t="e">
        <f>SUMIFS('caseload data'!O:O,'caseload data'!$C:$C,'divisional &amp; regional caseload%'!$B$15,'caseload data'!$D:$D,"TPO")/SUMIF('caseload data'!$C:$C,'divisional &amp; regional caseload%'!$B$15,'caseload data'!O:O)</f>
        <v>#DIV/0!</v>
      </c>
      <c r="N19" s="167" t="e">
        <f>SUMIFS('caseload data'!P:P,'caseload data'!$C:$C,'divisional &amp; regional caseload%'!$B$15,'caseload data'!$D:$D,"TPO")/SUMIF('caseload data'!$C:$C,'divisional &amp; regional caseload%'!$B$15,'caseload data'!P:P)</f>
        <v>#DIV/0!</v>
      </c>
      <c r="O19" s="167" t="e">
        <f>SUMIFS('caseload data'!Q:Q,'caseload data'!$C:$C,'divisional &amp; regional caseload%'!$B$15,'caseload data'!$D:$D,"TPO")/SUMIF('caseload data'!$C:$C,'divisional &amp; regional caseload%'!$B$15,'caseload data'!Q:Q)</f>
        <v>#DIV/0!</v>
      </c>
      <c r="P19" s="167" t="e">
        <f>SUMIFS('caseload data'!R:R,'caseload data'!$C:$C,'divisional &amp; regional caseload%'!$B$15,'caseload data'!$D:$D,"TPO")/SUMIF('caseload data'!$C:$C,'divisional &amp; regional caseload%'!$B$15,'caseload data'!R:R)</f>
        <v>#DIV/0!</v>
      </c>
      <c r="Q19" s="167" t="e">
        <f>SUMIFS('caseload data'!S:S,'caseload data'!$C:$C,'divisional &amp; regional caseload%'!$B$15,'caseload data'!$D:$D,"TPO")/SUMIF('caseload data'!$C:$C,'divisional &amp; regional caseload%'!$B$15,'caseload data'!S:S)</f>
        <v>#DIV/0!</v>
      </c>
      <c r="R19" s="167" t="e">
        <f>SUMIFS('caseload data'!T:T,'caseload data'!$C:$C,'divisional &amp; regional caseload%'!$B$15,'caseload data'!$D:$D,"TPO")/SUMIF('caseload data'!$C:$C,'divisional &amp; regional caseload%'!$B$15,'caseload data'!T:T)</f>
        <v>#DIV/0!</v>
      </c>
      <c r="S19" s="64"/>
      <c r="T19" s="97" t="s">
        <v>1008</v>
      </c>
      <c r="U19" s="167" t="e">
        <f>SUMIFS('caseload data'!E:E,'caseload data'!$C:$C,'divisional &amp; regional caseload%'!$T$15,'caseload data'!$D:$D,"TPO")/SUMIF('caseload data'!$C:$C,'divisional &amp; regional caseload%'!$T$15,'caseload data'!E:E)</f>
        <v>#DIV/0!</v>
      </c>
      <c r="V19" s="167" t="e">
        <f>SUMIFS('caseload data'!F:F,'caseload data'!$C:$C,'divisional &amp; regional caseload%'!$T$15,'caseload data'!$D:$D,"TPO")/SUMIF('caseload data'!$C:$C,'divisional &amp; regional caseload%'!$T$15,'caseload data'!F:F)</f>
        <v>#DIV/0!</v>
      </c>
      <c r="W19" s="167" t="e">
        <f>SUMIFS('caseload data'!G:G,'caseload data'!$C:$C,'divisional &amp; regional caseload%'!$T$15,'caseload data'!$D:$D,"TPO")/SUMIF('caseload data'!$C:$C,'divisional &amp; regional caseload%'!$T$15,'caseload data'!G:G)</f>
        <v>#DIV/0!</v>
      </c>
      <c r="X19" s="167" t="e">
        <f>SUMIFS('caseload data'!H:H,'caseload data'!$C:$C,'divisional &amp; regional caseload%'!$T$15,'caseload data'!$D:$D,"TPO")/SUMIF('caseload data'!$C:$C,'divisional &amp; regional caseload%'!$T$15,'caseload data'!H:H)</f>
        <v>#DIV/0!</v>
      </c>
      <c r="Y19" s="167" t="e">
        <f>SUMIFS('caseload data'!I:I,'caseload data'!$C:$C,'divisional &amp; regional caseload%'!$T$15,'caseload data'!$D:$D,"TPO")/SUMIF('caseload data'!$C:$C,'divisional &amp; regional caseload%'!$T$15,'caseload data'!I:I)</f>
        <v>#DIV/0!</v>
      </c>
      <c r="Z19" s="167" t="e">
        <f>SUMIFS('caseload data'!J:J,'caseload data'!$C:$C,'divisional &amp; regional caseload%'!$T$15,'caseload data'!$D:$D,"TPO")/SUMIF('caseload data'!$C:$C,'divisional &amp; regional caseload%'!$T$15,'caseload data'!J:J)</f>
        <v>#DIV/0!</v>
      </c>
      <c r="AA19" s="167" t="e">
        <f>SUMIFS('caseload data'!K:K,'caseload data'!$C:$C,'divisional &amp; regional caseload%'!$T$15,'caseload data'!$D:$D,"TPO")/SUMIF('caseload data'!$C:$C,'divisional &amp; regional caseload%'!$T$15,'caseload data'!K:K)</f>
        <v>#DIV/0!</v>
      </c>
      <c r="AB19" s="167" t="e">
        <f>SUMIFS('caseload data'!L:L,'caseload data'!$C:$C,'divisional &amp; regional caseload%'!$T$15,'caseload data'!$D:$D,"TPO")/SUMIF('caseload data'!$C:$C,'divisional &amp; regional caseload%'!$T$15,'caseload data'!L:L)</f>
        <v>#DIV/0!</v>
      </c>
      <c r="AC19" s="167" t="e">
        <f>SUMIFS('caseload data'!M:M,'caseload data'!$C:$C,'divisional &amp; regional caseload%'!$T$15,'caseload data'!$D:$D,"TPO")/SUMIF('caseload data'!$C:$C,'divisional &amp; regional caseload%'!$T$15,'caseload data'!M:M)</f>
        <v>#DIV/0!</v>
      </c>
      <c r="AD19" s="167" t="e">
        <f>SUMIFS('caseload data'!N:N,'caseload data'!$C:$C,'divisional &amp; regional caseload%'!$T$15,'caseload data'!$D:$D,"TPO")/SUMIF('caseload data'!$C:$C,'divisional &amp; regional caseload%'!$T$15,'caseload data'!N:N)</f>
        <v>#DIV/0!</v>
      </c>
      <c r="AE19" s="167" t="e">
        <f>SUMIFS('caseload data'!O:O,'caseload data'!$C:$C,'divisional &amp; regional caseload%'!$T$15,'caseload data'!$D:$D,"TPO")/SUMIF('caseload data'!$C:$C,'divisional &amp; regional caseload%'!$T$15,'caseload data'!O:O)</f>
        <v>#DIV/0!</v>
      </c>
      <c r="AF19" s="167" t="e">
        <f>SUMIFS('caseload data'!P:P,'caseload data'!$C:$C,'divisional &amp; regional caseload%'!$T$15,'caseload data'!$D:$D,"TPO")/SUMIF('caseload data'!$C:$C,'divisional &amp; regional caseload%'!$T$15,'caseload data'!P:P)</f>
        <v>#DIV/0!</v>
      </c>
      <c r="AG19" s="167" t="e">
        <f>SUMIFS('caseload data'!Q:Q,'caseload data'!$C:$C,'divisional &amp; regional caseload%'!$T$15,'caseload data'!$D:$D,"TPO")/SUMIF('caseload data'!$C:$C,'divisional &amp; regional caseload%'!$T$15,'caseload data'!Q:Q)</f>
        <v>#DIV/0!</v>
      </c>
      <c r="AH19" s="167" t="e">
        <f>SUMIFS('caseload data'!R:R,'caseload data'!$C:$C,'divisional &amp; regional caseload%'!$T$15,'caseload data'!$D:$D,"TPO")/SUMIF('caseload data'!$C:$C,'divisional &amp; regional caseload%'!$T$15,'caseload data'!R:R)</f>
        <v>#DIV/0!</v>
      </c>
      <c r="AI19" s="167" t="e">
        <f>SUMIFS('caseload data'!S:S,'caseload data'!$C:$C,'divisional &amp; regional caseload%'!$T$15,'caseload data'!$D:$D,"TPO")/SUMIF('caseload data'!$C:$C,'divisional &amp; regional caseload%'!$T$15,'caseload data'!S:S)</f>
        <v>#DIV/0!</v>
      </c>
      <c r="AJ19" s="167" t="e">
        <f>SUMIFS('caseload data'!T:T,'caseload data'!$C:$C,'divisional &amp; regional caseload%'!$T$15,'caseload data'!$D:$D,"TPO")/SUMIF('caseload data'!$C:$C,'divisional &amp; regional caseload%'!$T$15,'caseload data'!T:T)</f>
        <v>#DIV/0!</v>
      </c>
    </row>
    <row r="20" spans="2:36" x14ac:dyDescent="0.15">
      <c r="B20" s="98" t="s">
        <v>1009</v>
      </c>
      <c r="C20" s="167" t="e">
        <f>SUMIFS('caseload data'!E:E,'caseload data'!$C:$C,'divisional &amp; regional caseload%'!$B$15,'caseload data'!$D:$D,"SPO")/SUMIF('caseload data'!$C:$C,'divisional &amp; regional caseload%'!$B$15,'caseload data'!E:E)</f>
        <v>#DIV/0!</v>
      </c>
      <c r="D20" s="167" t="e">
        <f>SUMIFS('caseload data'!F:F,'caseload data'!$C:$C,'divisional &amp; regional caseload%'!$B$15,'caseload data'!$D:$D,"SPO")/SUMIF('caseload data'!$C:$C,'divisional &amp; regional caseload%'!$B$15,'caseload data'!F:F)</f>
        <v>#DIV/0!</v>
      </c>
      <c r="E20" s="167" t="e">
        <f>SUMIFS('caseload data'!G:G,'caseload data'!$C:$C,'divisional &amp; regional caseload%'!$B$15,'caseload data'!$D:$D,"SPO")/SUMIF('caseload data'!$C:$C,'divisional &amp; regional caseload%'!$B$15,'caseload data'!G:G)</f>
        <v>#DIV/0!</v>
      </c>
      <c r="F20" s="167" t="e">
        <f>SUMIFS('caseload data'!H:H,'caseload data'!$C:$C,'divisional &amp; regional caseload%'!$B$15,'caseload data'!$D:$D,"SPO")/SUMIF('caseload data'!$C:$C,'divisional &amp; regional caseload%'!$B$15,'caseload data'!H:H)</f>
        <v>#DIV/0!</v>
      </c>
      <c r="G20" s="167" t="e">
        <f>SUMIFS('caseload data'!I:I,'caseload data'!$C:$C,'divisional &amp; regional caseload%'!$B$15,'caseload data'!$D:$D,"SPO")/SUMIF('caseload data'!$C:$C,'divisional &amp; regional caseload%'!$B$15,'caseload data'!I:I)</f>
        <v>#DIV/0!</v>
      </c>
      <c r="H20" s="167" t="e">
        <f>SUMIFS('caseload data'!J:J,'caseload data'!$C:$C,'divisional &amp; regional caseload%'!$B$15,'caseload data'!$D:$D,"SPO")/SUMIF('caseload data'!$C:$C,'divisional &amp; regional caseload%'!$B$15,'caseload data'!J:J)</f>
        <v>#DIV/0!</v>
      </c>
      <c r="I20" s="167" t="e">
        <f>SUMIFS('caseload data'!K:K,'caseload data'!$C:$C,'divisional &amp; regional caseload%'!$B$15,'caseload data'!$D:$D,"SPO")/SUMIF('caseload data'!$C:$C,'divisional &amp; regional caseload%'!$B$15,'caseload data'!K:K)</f>
        <v>#DIV/0!</v>
      </c>
      <c r="J20" s="167" t="e">
        <f>SUMIFS('caseload data'!L:L,'caseload data'!$C:$C,'divisional &amp; regional caseload%'!$B$15,'caseload data'!$D:$D,"SPO")/SUMIF('caseload data'!$C:$C,'divisional &amp; regional caseload%'!$B$15,'caseload data'!L:L)</f>
        <v>#DIV/0!</v>
      </c>
      <c r="K20" s="167" t="e">
        <f>SUMIFS('caseload data'!M:M,'caseload data'!$C:$C,'divisional &amp; regional caseload%'!$B$15,'caseload data'!$D:$D,"SPO")/SUMIF('caseload data'!$C:$C,'divisional &amp; regional caseload%'!$B$15,'caseload data'!M:M)</f>
        <v>#DIV/0!</v>
      </c>
      <c r="L20" s="167" t="e">
        <f>SUMIFS('caseload data'!N:N,'caseload data'!$C:$C,'divisional &amp; regional caseload%'!$B$15,'caseload data'!$D:$D,"SPO")/SUMIF('caseload data'!$C:$C,'divisional &amp; regional caseload%'!$B$15,'caseload data'!N:N)</f>
        <v>#DIV/0!</v>
      </c>
      <c r="M20" s="167" t="e">
        <f>SUMIFS('caseload data'!O:O,'caseload data'!$C:$C,'divisional &amp; regional caseload%'!$B$15,'caseload data'!$D:$D,"SPO")/SUMIF('caseload data'!$C:$C,'divisional &amp; regional caseload%'!$B$15,'caseload data'!O:O)</f>
        <v>#DIV/0!</v>
      </c>
      <c r="N20" s="167" t="e">
        <f>SUMIFS('caseload data'!P:P,'caseload data'!$C:$C,'divisional &amp; regional caseload%'!$B$15,'caseload data'!$D:$D,"SPO")/SUMIF('caseload data'!$C:$C,'divisional &amp; regional caseload%'!$B$15,'caseload data'!P:P)</f>
        <v>#DIV/0!</v>
      </c>
      <c r="O20" s="167" t="e">
        <f>SUMIFS('caseload data'!Q:Q,'caseload data'!$C:$C,'divisional &amp; regional caseload%'!$B$15,'caseload data'!$D:$D,"SPO")/SUMIF('caseload data'!$C:$C,'divisional &amp; regional caseload%'!$B$15,'caseload data'!Q:Q)</f>
        <v>#DIV/0!</v>
      </c>
      <c r="P20" s="167" t="e">
        <f>SUMIFS('caseload data'!R:R,'caseload data'!$C:$C,'divisional &amp; regional caseload%'!$B$15,'caseload data'!$D:$D,"SPO")/SUMIF('caseload data'!$C:$C,'divisional &amp; regional caseload%'!$B$15,'caseload data'!R:R)</f>
        <v>#DIV/0!</v>
      </c>
      <c r="Q20" s="167" t="e">
        <f>SUMIFS('caseload data'!S:S,'caseload data'!$C:$C,'divisional &amp; regional caseload%'!$B$15,'caseload data'!$D:$D,"SPO")/SUMIF('caseload data'!$C:$C,'divisional &amp; regional caseload%'!$B$15,'caseload data'!S:S)</f>
        <v>#DIV/0!</v>
      </c>
      <c r="R20" s="167" t="e">
        <f>SUMIFS('caseload data'!T:T,'caseload data'!$C:$C,'divisional &amp; regional caseload%'!$B$15,'caseload data'!$D:$D,"SPO")/SUMIF('caseload data'!$C:$C,'divisional &amp; regional caseload%'!$B$15,'caseload data'!T:T)</f>
        <v>#DIV/0!</v>
      </c>
      <c r="S20" s="64"/>
      <c r="T20" s="98" t="s">
        <v>1009</v>
      </c>
      <c r="U20" s="167" t="e">
        <f>SUMIFS('caseload data'!E:E,'caseload data'!$C:$C,'divisional &amp; regional caseload%'!$T$15,'caseload data'!$D:$D,"SPO")/SUMIF('caseload data'!$C:$C,'divisional &amp; regional caseload%'!$T$15,'caseload data'!E:E)</f>
        <v>#DIV/0!</v>
      </c>
      <c r="V20" s="167" t="e">
        <f>SUMIFS('caseload data'!F:F,'caseload data'!$C:$C,'divisional &amp; regional caseload%'!$T$15,'caseload data'!$D:$D,"SPO")/SUMIF('caseload data'!$C:$C,'divisional &amp; regional caseload%'!$T$15,'caseload data'!F:F)</f>
        <v>#DIV/0!</v>
      </c>
      <c r="W20" s="167" t="e">
        <f>SUMIFS('caseload data'!G:G,'caseload data'!$C:$C,'divisional &amp; regional caseload%'!$T$15,'caseload data'!$D:$D,"SPO")/SUMIF('caseload data'!$C:$C,'divisional &amp; regional caseload%'!$T$15,'caseload data'!G:G)</f>
        <v>#DIV/0!</v>
      </c>
      <c r="X20" s="167" t="e">
        <f>SUMIFS('caseload data'!H:H,'caseload data'!$C:$C,'divisional &amp; regional caseload%'!$T$15,'caseload data'!$D:$D,"SPO")/SUMIF('caseload data'!$C:$C,'divisional &amp; regional caseload%'!$T$15,'caseload data'!H:H)</f>
        <v>#DIV/0!</v>
      </c>
      <c r="Y20" s="167" t="e">
        <f>SUMIFS('caseload data'!I:I,'caseload data'!$C:$C,'divisional &amp; regional caseload%'!$T$15,'caseload data'!$D:$D,"SPO")/SUMIF('caseload data'!$C:$C,'divisional &amp; regional caseload%'!$T$15,'caseload data'!I:I)</f>
        <v>#DIV/0!</v>
      </c>
      <c r="Z20" s="167" t="e">
        <f>SUMIFS('caseload data'!J:J,'caseload data'!$C:$C,'divisional &amp; regional caseload%'!$T$15,'caseload data'!$D:$D,"SPO")/SUMIF('caseload data'!$C:$C,'divisional &amp; regional caseload%'!$T$15,'caseload data'!J:J)</f>
        <v>#DIV/0!</v>
      </c>
      <c r="AA20" s="167" t="e">
        <f>SUMIFS('caseload data'!K:K,'caseload data'!$C:$C,'divisional &amp; regional caseload%'!$T$15,'caseload data'!$D:$D,"SPO")/SUMIF('caseload data'!$C:$C,'divisional &amp; regional caseload%'!$T$15,'caseload data'!K:K)</f>
        <v>#DIV/0!</v>
      </c>
      <c r="AB20" s="167" t="e">
        <f>SUMIFS('caseload data'!L:L,'caseload data'!$C:$C,'divisional &amp; regional caseload%'!$T$15,'caseload data'!$D:$D,"SPO")/SUMIF('caseload data'!$C:$C,'divisional &amp; regional caseload%'!$T$15,'caseload data'!L:L)</f>
        <v>#DIV/0!</v>
      </c>
      <c r="AC20" s="167" t="e">
        <f>SUMIFS('caseload data'!M:M,'caseload data'!$C:$C,'divisional &amp; regional caseload%'!$T$15,'caseload data'!$D:$D,"SPO")/SUMIF('caseload data'!$C:$C,'divisional &amp; regional caseload%'!$T$15,'caseload data'!M:M)</f>
        <v>#DIV/0!</v>
      </c>
      <c r="AD20" s="167" t="e">
        <f>SUMIFS('caseload data'!N:N,'caseload data'!$C:$C,'divisional &amp; regional caseload%'!$T$15,'caseload data'!$D:$D,"SPO")/SUMIF('caseload data'!$C:$C,'divisional &amp; regional caseload%'!$T$15,'caseload data'!N:N)</f>
        <v>#DIV/0!</v>
      </c>
      <c r="AE20" s="167" t="e">
        <f>SUMIFS('caseload data'!O:O,'caseload data'!$C:$C,'divisional &amp; regional caseload%'!$T$15,'caseload data'!$D:$D,"SPO")/SUMIF('caseload data'!$C:$C,'divisional &amp; regional caseload%'!$T$15,'caseload data'!O:O)</f>
        <v>#DIV/0!</v>
      </c>
      <c r="AF20" s="167" t="e">
        <f>SUMIFS('caseload data'!P:P,'caseload data'!$C:$C,'divisional &amp; regional caseload%'!$T$15,'caseload data'!$D:$D,"SPO")/SUMIF('caseload data'!$C:$C,'divisional &amp; regional caseload%'!$T$15,'caseload data'!P:P)</f>
        <v>#DIV/0!</v>
      </c>
      <c r="AG20" s="167" t="e">
        <f>SUMIFS('caseload data'!Q:Q,'caseload data'!$C:$C,'divisional &amp; regional caseload%'!$T$15,'caseload data'!$D:$D,"SPO")/SUMIF('caseload data'!$C:$C,'divisional &amp; regional caseload%'!$T$15,'caseload data'!Q:Q)</f>
        <v>#DIV/0!</v>
      </c>
      <c r="AH20" s="167" t="e">
        <f>SUMIFS('caseload data'!R:R,'caseload data'!$C:$C,'divisional &amp; regional caseload%'!$T$15,'caseload data'!$D:$D,"SPO")/SUMIF('caseload data'!$C:$C,'divisional &amp; regional caseload%'!$T$15,'caseload data'!R:R)</f>
        <v>#DIV/0!</v>
      </c>
      <c r="AI20" s="167" t="e">
        <f>SUMIFS('caseload data'!S:S,'caseload data'!$C:$C,'divisional &amp; regional caseload%'!$T$15,'caseload data'!$D:$D,"SPO")/SUMIF('caseload data'!$C:$C,'divisional &amp; regional caseload%'!$T$15,'caseload data'!S:S)</f>
        <v>#DIV/0!</v>
      </c>
      <c r="AJ20" s="167" t="e">
        <f>SUMIFS('caseload data'!T:T,'caseload data'!$C:$C,'divisional &amp; regional caseload%'!$T$15,'caseload data'!$D:$D,"SPO")/SUMIF('caseload data'!$C:$C,'divisional &amp; regional caseload%'!$T$15,'caseload data'!T:T)</f>
        <v>#DIV/0!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289" t="str">
        <f>HLOOKUP($B$5,Region_Table,6,0)</f>
        <v>Lincolnshire East and West - N53</v>
      </c>
      <c r="C22" s="523" t="s">
        <v>1101</v>
      </c>
      <c r="D22" s="524"/>
      <c r="E22" s="524"/>
      <c r="F22" s="524"/>
      <c r="G22" s="524"/>
      <c r="H22" s="524"/>
      <c r="I22" s="524"/>
      <c r="J22" s="524"/>
      <c r="K22" s="524"/>
      <c r="L22" s="524"/>
      <c r="M22" s="525"/>
      <c r="N22" s="525"/>
      <c r="O22" s="526"/>
      <c r="P22" s="510">
        <f>SUMIF('caseload data'!$C:$C,'divisional &amp; regional caseload%'!B22,'caseload data'!V:V)</f>
        <v>0</v>
      </c>
      <c r="Q22" s="527"/>
      <c r="R22" s="528"/>
      <c r="S22" s="64"/>
      <c r="T22" s="289" t="str">
        <f>HLOOKUP($B$5,Region_Table,7,0)</f>
        <v>Nottingham City</v>
      </c>
      <c r="U22" s="523" t="s">
        <v>1101</v>
      </c>
      <c r="V22" s="524"/>
      <c r="W22" s="524"/>
      <c r="X22" s="524"/>
      <c r="Y22" s="524"/>
      <c r="Z22" s="524"/>
      <c r="AA22" s="524"/>
      <c r="AB22" s="524"/>
      <c r="AC22" s="524"/>
      <c r="AD22" s="524"/>
      <c r="AE22" s="525"/>
      <c r="AF22" s="525"/>
      <c r="AG22" s="526"/>
      <c r="AH22" s="510">
        <f>SUMIF('caseload data'!$C:$C,'divisional &amp; regional caseload%'!T22,'caseload data'!V:V)</f>
        <v>0</v>
      </c>
      <c r="AI22" s="527"/>
      <c r="AJ22" s="528"/>
    </row>
    <row r="23" spans="2:36" x14ac:dyDescent="0.15">
      <c r="B23" s="95" t="s">
        <v>1006</v>
      </c>
      <c r="C23" s="38" t="s">
        <v>869</v>
      </c>
      <c r="D23" s="38" t="s">
        <v>870</v>
      </c>
      <c r="E23" s="38" t="s">
        <v>871</v>
      </c>
      <c r="F23" s="38" t="s">
        <v>872</v>
      </c>
      <c r="G23" s="38" t="s">
        <v>873</v>
      </c>
      <c r="H23" s="38" t="s">
        <v>874</v>
      </c>
      <c r="I23" s="38" t="s">
        <v>875</v>
      </c>
      <c r="J23" s="38" t="s">
        <v>876</v>
      </c>
      <c r="K23" s="38" t="s">
        <v>877</v>
      </c>
      <c r="L23" s="38" t="s">
        <v>878</v>
      </c>
      <c r="M23" s="38" t="s">
        <v>879</v>
      </c>
      <c r="N23" s="38" t="s">
        <v>880</v>
      </c>
      <c r="O23" s="38" t="s">
        <v>881</v>
      </c>
      <c r="P23" s="38" t="s">
        <v>882</v>
      </c>
      <c r="Q23" s="38" t="s">
        <v>883</v>
      </c>
      <c r="R23" s="38" t="s">
        <v>884</v>
      </c>
      <c r="S23" s="64"/>
      <c r="T23" s="95" t="s">
        <v>1006</v>
      </c>
      <c r="U23" s="38" t="s">
        <v>869</v>
      </c>
      <c r="V23" s="38" t="s">
        <v>870</v>
      </c>
      <c r="W23" s="38" t="s">
        <v>871</v>
      </c>
      <c r="X23" s="38" t="s">
        <v>872</v>
      </c>
      <c r="Y23" s="38" t="s">
        <v>873</v>
      </c>
      <c r="Z23" s="38" t="s">
        <v>874</v>
      </c>
      <c r="AA23" s="38" t="s">
        <v>875</v>
      </c>
      <c r="AB23" s="38" t="s">
        <v>876</v>
      </c>
      <c r="AC23" s="38" t="s">
        <v>877</v>
      </c>
      <c r="AD23" s="38" t="s">
        <v>878</v>
      </c>
      <c r="AE23" s="38" t="s">
        <v>879</v>
      </c>
      <c r="AF23" s="38" t="s">
        <v>880</v>
      </c>
      <c r="AG23" s="38" t="s">
        <v>881</v>
      </c>
      <c r="AH23" s="38" t="s">
        <v>882</v>
      </c>
      <c r="AI23" s="38" t="s">
        <v>883</v>
      </c>
      <c r="AJ23" s="38" t="s">
        <v>884</v>
      </c>
    </row>
    <row r="24" spans="2:36" x14ac:dyDescent="0.15">
      <c r="B24" s="96" t="s">
        <v>1002</v>
      </c>
      <c r="C24" s="167" t="e">
        <f>SUMIFS('caseload data'!E:E,'caseload data'!$C:$C,'divisional &amp; regional caseload%'!$B$22,'caseload data'!$D:$D,"PO")/SUMIF('caseload data'!$C:$C,'divisional &amp; regional caseload%'!$B$22,'caseload data'!E:E)</f>
        <v>#DIV/0!</v>
      </c>
      <c r="D24" s="167" t="e">
        <f>SUMIFS('caseload data'!F:F,'caseload data'!$C:$C,'divisional &amp; regional caseload%'!$B$22,'caseload data'!$D:$D,"PO")/SUMIF('caseload data'!$C:$C,'divisional &amp; regional caseload%'!$B$22,'caseload data'!F:F)</f>
        <v>#DIV/0!</v>
      </c>
      <c r="E24" s="167" t="e">
        <f>SUMIFS('caseload data'!G:G,'caseload data'!$C:$C,'divisional &amp; regional caseload%'!$B$22,'caseload data'!$D:$D,"PO")/SUMIF('caseload data'!$C:$C,'divisional &amp; regional caseload%'!$B$22,'caseload data'!G:G)</f>
        <v>#DIV/0!</v>
      </c>
      <c r="F24" s="167" t="e">
        <f>SUMIFS('caseload data'!H:H,'caseload data'!$C:$C,'divisional &amp; regional caseload%'!$B$22,'caseload data'!$D:$D,"PO")/SUMIF('caseload data'!$C:$C,'divisional &amp; regional caseload%'!$B$22,'caseload data'!H:H)</f>
        <v>#DIV/0!</v>
      </c>
      <c r="G24" s="167" t="e">
        <f>SUMIFS('caseload data'!I:I,'caseload data'!$C:$C,'divisional &amp; regional caseload%'!$B$22,'caseload data'!$D:$D,"PO")/SUMIF('caseload data'!$C:$C,'divisional &amp; regional caseload%'!$B$22,'caseload data'!I:I)</f>
        <v>#DIV/0!</v>
      </c>
      <c r="H24" s="167" t="e">
        <f>SUMIFS('caseload data'!J:J,'caseload data'!$C:$C,'divisional &amp; regional caseload%'!$B$22,'caseload data'!$D:$D,"PO")/SUMIF('caseload data'!$C:$C,'divisional &amp; regional caseload%'!$B$22,'caseload data'!J:J)</f>
        <v>#DIV/0!</v>
      </c>
      <c r="I24" s="167" t="e">
        <f>SUMIFS('caseload data'!K:K,'caseload data'!$C:$C,'divisional &amp; regional caseload%'!$B$22,'caseload data'!$D:$D,"PO")/SUMIF('caseload data'!$C:$C,'divisional &amp; regional caseload%'!$B$22,'caseload data'!K:K)</f>
        <v>#DIV/0!</v>
      </c>
      <c r="J24" s="167" t="e">
        <f>SUMIFS('caseload data'!L:L,'caseload data'!$C:$C,'divisional &amp; regional caseload%'!$B$22,'caseload data'!$D:$D,"PO")/SUMIF('caseload data'!$C:$C,'divisional &amp; regional caseload%'!$B$22,'caseload data'!L:L)</f>
        <v>#DIV/0!</v>
      </c>
      <c r="K24" s="167" t="e">
        <f>SUMIFS('caseload data'!M:M,'caseload data'!$C:$C,'divisional &amp; regional caseload%'!$B$22,'caseload data'!$D:$D,"PO")/SUMIF('caseload data'!$C:$C,'divisional &amp; regional caseload%'!$B$22,'caseload data'!M:M)</f>
        <v>#DIV/0!</v>
      </c>
      <c r="L24" s="167" t="e">
        <f>SUMIFS('caseload data'!N:N,'caseload data'!$C:$C,'divisional &amp; regional caseload%'!$B$22,'caseload data'!$D:$D,"PO")/SUMIF('caseload data'!$C:$C,'divisional &amp; regional caseload%'!$B$22,'caseload data'!N:N)</f>
        <v>#DIV/0!</v>
      </c>
      <c r="M24" s="167" t="e">
        <f>SUMIFS('caseload data'!O:O,'caseload data'!$C:$C,'divisional &amp; regional caseload%'!$B$22,'caseload data'!$D:$D,"PO")/SUMIF('caseload data'!$C:$C,'divisional &amp; regional caseload%'!$B$22,'caseload data'!O:O)</f>
        <v>#DIV/0!</v>
      </c>
      <c r="N24" s="167" t="e">
        <f>SUMIFS('caseload data'!P:P,'caseload data'!$C:$C,'divisional &amp; regional caseload%'!$B$22,'caseload data'!$D:$D,"PO")/SUMIF('caseload data'!$C:$C,'divisional &amp; regional caseload%'!$B$22,'caseload data'!P:P)</f>
        <v>#DIV/0!</v>
      </c>
      <c r="O24" s="167" t="e">
        <f>SUMIFS('caseload data'!Q:Q,'caseload data'!$C:$C,'divisional &amp; regional caseload%'!$B$22,'caseload data'!$D:$D,"PO")/SUMIF('caseload data'!$C:$C,'divisional &amp; regional caseload%'!$B$22,'caseload data'!Q:Q)</f>
        <v>#DIV/0!</v>
      </c>
      <c r="P24" s="167" t="e">
        <f>SUMIFS('caseload data'!R:R,'caseload data'!$C:$C,'divisional &amp; regional caseload%'!$B$22,'caseload data'!$D:$D,"PO")/SUMIF('caseload data'!$C:$C,'divisional &amp; regional caseload%'!$B$22,'caseload data'!R:R)</f>
        <v>#DIV/0!</v>
      </c>
      <c r="Q24" s="167" t="e">
        <f>SUMIFS('caseload data'!S:S,'caseload data'!$C:$C,'divisional &amp; regional caseload%'!$B$22,'caseload data'!$D:$D,"PO")/SUMIF('caseload data'!$C:$C,'divisional &amp; regional caseload%'!$B$22,'caseload data'!S:S)</f>
        <v>#DIV/0!</v>
      </c>
      <c r="R24" s="167" t="e">
        <f>SUMIFS('caseload data'!T:T,'caseload data'!$C:$C,'divisional &amp; regional caseload%'!$B$22,'caseload data'!$D:$D,"PO")/SUMIF('caseload data'!$C:$C,'divisional &amp; regional caseload%'!$B$22,'caseload data'!T:T)</f>
        <v>#DIV/0!</v>
      </c>
      <c r="S24" s="64"/>
      <c r="T24" s="96" t="s">
        <v>1002</v>
      </c>
      <c r="U24" s="167" t="str">
        <f>IFERROR(SUMIFS('caseload data'!E:E,'caseload data'!$C:$C,'divisional &amp; regional caseload%'!$T$22,'caseload data'!$D:$D,"PO")/SUMIF('caseload data'!$C:$C,'divisional &amp; regional caseload%'!$T$22,'caseload data'!E:E),"")</f>
        <v/>
      </c>
      <c r="V24" s="167" t="str">
        <f>IFERROR(SUMIFS('caseload data'!F:F,'caseload data'!$C:$C,'divisional &amp; regional caseload%'!$T$22,'caseload data'!$D:$D,"PO")/SUMIF('caseload data'!$C:$C,'divisional &amp; regional caseload%'!$T$22,'caseload data'!F:F),"")</f>
        <v/>
      </c>
      <c r="W24" s="167" t="str">
        <f>IFERROR(SUMIFS('caseload data'!G:G,'caseload data'!$C:$C,'divisional &amp; regional caseload%'!$T$22,'caseload data'!$D:$D,"PO")/SUMIF('caseload data'!$C:$C,'divisional &amp; regional caseload%'!$T$22,'caseload data'!G:G),"")</f>
        <v/>
      </c>
      <c r="X24" s="167" t="str">
        <f>IFERROR(SUMIFS('caseload data'!H:H,'caseload data'!$C:$C,'divisional &amp; regional caseload%'!$T$22,'caseload data'!$D:$D,"PO")/SUMIF('caseload data'!$C:$C,'divisional &amp; regional caseload%'!$T$22,'caseload data'!H:H),"")</f>
        <v/>
      </c>
      <c r="Y24" s="167" t="str">
        <f>IFERROR(SUMIFS('caseload data'!I:I,'caseload data'!$C:$C,'divisional &amp; regional caseload%'!$T$22,'caseload data'!$D:$D,"PO")/SUMIF('caseload data'!$C:$C,'divisional &amp; regional caseload%'!$T$22,'caseload data'!I:I),"")</f>
        <v/>
      </c>
      <c r="Z24" s="167" t="str">
        <f>IFERROR(SUMIFS('caseload data'!J:J,'caseload data'!$C:$C,'divisional &amp; regional caseload%'!$T$22,'caseload data'!$D:$D,"PO")/SUMIF('caseload data'!$C:$C,'divisional &amp; regional caseload%'!$T$22,'caseload data'!J:J),"")</f>
        <v/>
      </c>
      <c r="AA24" s="167" t="str">
        <f>IFERROR(SUMIFS('caseload data'!K:K,'caseload data'!$C:$C,'divisional &amp; regional caseload%'!$T$22,'caseload data'!$D:$D,"PO")/SUMIF('caseload data'!$C:$C,'divisional &amp; regional caseload%'!$T$22,'caseload data'!K:K),"")</f>
        <v/>
      </c>
      <c r="AB24" s="167" t="str">
        <f>IFERROR(SUMIFS('caseload data'!L:L,'caseload data'!$C:$C,'divisional &amp; regional caseload%'!$T$22,'caseload data'!$D:$D,"PO")/SUMIF('caseload data'!$C:$C,'divisional &amp; regional caseload%'!$T$22,'caseload data'!L:L),"")</f>
        <v/>
      </c>
      <c r="AC24" s="167" t="str">
        <f>IFERROR(SUMIFS('caseload data'!M:M,'caseload data'!$C:$C,'divisional &amp; regional caseload%'!$T$22,'caseload data'!$D:$D,"PO")/SUMIF('caseload data'!$C:$C,'divisional &amp; regional caseload%'!$T$22,'caseload data'!M:M),"")</f>
        <v/>
      </c>
      <c r="AD24" s="167" t="str">
        <f>IFERROR(SUMIFS('caseload data'!N:N,'caseload data'!$C:$C,'divisional &amp; regional caseload%'!$T$22,'caseload data'!$D:$D,"PO")/SUMIF('caseload data'!$C:$C,'divisional &amp; regional caseload%'!$T$22,'caseload data'!N:N),"")</f>
        <v/>
      </c>
      <c r="AE24" s="167" t="str">
        <f>IFERROR(SUMIFS('caseload data'!O:O,'caseload data'!$C:$C,'divisional &amp; regional caseload%'!$T$22,'caseload data'!$D:$D,"PO")/SUMIF('caseload data'!$C:$C,'divisional &amp; regional caseload%'!$T$22,'caseload data'!O:O),"")</f>
        <v/>
      </c>
      <c r="AF24" s="167" t="str">
        <f>IFERROR(SUMIFS('caseload data'!P:P,'caseload data'!$C:$C,'divisional &amp; regional caseload%'!$T$22,'caseload data'!$D:$D,"PO")/SUMIF('caseload data'!$C:$C,'divisional &amp; regional caseload%'!$T$22,'caseload data'!P:P),"")</f>
        <v/>
      </c>
      <c r="AG24" s="167" t="str">
        <f>IFERROR(SUMIFS('caseload data'!Q:Q,'caseload data'!$C:$C,'divisional &amp; regional caseload%'!$T$22,'caseload data'!$D:$D,"PO")/SUMIF('caseload data'!$C:$C,'divisional &amp; regional caseload%'!$T$22,'caseload data'!Q:Q),"")</f>
        <v/>
      </c>
      <c r="AH24" s="167" t="str">
        <f>IFERROR(SUMIFS('caseload data'!R:R,'caseload data'!$C:$C,'divisional &amp; regional caseload%'!$T$22,'caseload data'!$D:$D,"PO")/SUMIF('caseload data'!$C:$C,'divisional &amp; regional caseload%'!$T$22,'caseload data'!R:R),"")</f>
        <v/>
      </c>
      <c r="AI24" s="167" t="str">
        <f>IFERROR(SUMIFS('caseload data'!S:S,'caseload data'!$C:$C,'divisional &amp; regional caseload%'!$T$22,'caseload data'!$D:$D,"PO")/SUMIF('caseload data'!$C:$C,'divisional &amp; regional caseload%'!$T$22,'caseload data'!S:S),"")</f>
        <v/>
      </c>
      <c r="AJ24" s="167" t="str">
        <f>IFERROR(SUMIFS('caseload data'!T:T,'caseload data'!$C:$C,'divisional &amp; regional caseload%'!$T$22,'caseload data'!$D:$D,"PO")/SUMIF('caseload data'!$C:$C,'divisional &amp; regional caseload%'!$T$22,'caseload data'!T:T),"")</f>
        <v/>
      </c>
    </row>
    <row r="25" spans="2:36" x14ac:dyDescent="0.15">
      <c r="B25" s="97" t="s">
        <v>1007</v>
      </c>
      <c r="C25" s="167" t="e">
        <f>SUMIFS('caseload data'!E:E,'caseload data'!$C:$C,'divisional &amp; regional caseload%'!$B$22,'caseload data'!$D:$D,"PSO")/SUMIF('caseload data'!$C:$C,'divisional &amp; regional caseload%'!$B$22,'caseload data'!E:E)</f>
        <v>#DIV/0!</v>
      </c>
      <c r="D25" s="167" t="e">
        <f>SUMIFS('caseload data'!F:F,'caseload data'!$C:$C,'divisional &amp; regional caseload%'!$B$22,'caseload data'!$D:$D,"PSO")/SUMIF('caseload data'!$C:$C,'divisional &amp; regional caseload%'!$B$22,'caseload data'!F:F)</f>
        <v>#DIV/0!</v>
      </c>
      <c r="E25" s="167" t="e">
        <f>SUMIFS('caseload data'!G:G,'caseload data'!$C:$C,'divisional &amp; regional caseload%'!$B$22,'caseload data'!$D:$D,"PSO")/SUMIF('caseload data'!$C:$C,'divisional &amp; regional caseload%'!$B$22,'caseload data'!G:G)</f>
        <v>#DIV/0!</v>
      </c>
      <c r="F25" s="167" t="e">
        <f>SUMIFS('caseload data'!H:H,'caseload data'!$C:$C,'divisional &amp; regional caseload%'!$B$22,'caseload data'!$D:$D,"PSO")/SUMIF('caseload data'!$C:$C,'divisional &amp; regional caseload%'!$B$22,'caseload data'!H:H)</f>
        <v>#DIV/0!</v>
      </c>
      <c r="G25" s="167" t="e">
        <f>SUMIFS('caseload data'!I:I,'caseload data'!$C:$C,'divisional &amp; regional caseload%'!$B$22,'caseload data'!$D:$D,"PSO")/SUMIF('caseload data'!$C:$C,'divisional &amp; regional caseload%'!$B$22,'caseload data'!I:I)</f>
        <v>#DIV/0!</v>
      </c>
      <c r="H25" s="167" t="e">
        <f>SUMIFS('caseload data'!J:J,'caseload data'!$C:$C,'divisional &amp; regional caseload%'!$B$22,'caseload data'!$D:$D,"PSO")/SUMIF('caseload data'!$C:$C,'divisional &amp; regional caseload%'!$B$22,'caseload data'!J:J)</f>
        <v>#DIV/0!</v>
      </c>
      <c r="I25" s="167" t="e">
        <f>SUMIFS('caseload data'!K:K,'caseload data'!$C:$C,'divisional &amp; regional caseload%'!$B$22,'caseload data'!$D:$D,"PSO")/SUMIF('caseload data'!$C:$C,'divisional &amp; regional caseload%'!$B$22,'caseload data'!K:K)</f>
        <v>#DIV/0!</v>
      </c>
      <c r="J25" s="167" t="e">
        <f>SUMIFS('caseload data'!L:L,'caseload data'!$C:$C,'divisional &amp; regional caseload%'!$B$22,'caseload data'!$D:$D,"PSO")/SUMIF('caseload data'!$C:$C,'divisional &amp; regional caseload%'!$B$22,'caseload data'!L:L)</f>
        <v>#DIV/0!</v>
      </c>
      <c r="K25" s="167" t="e">
        <f>SUMIFS('caseload data'!M:M,'caseload data'!$C:$C,'divisional &amp; regional caseload%'!$B$22,'caseload data'!$D:$D,"PSO")/SUMIF('caseload data'!$C:$C,'divisional &amp; regional caseload%'!$B$22,'caseload data'!M:M)</f>
        <v>#DIV/0!</v>
      </c>
      <c r="L25" s="167" t="e">
        <f>SUMIFS('caseload data'!N:N,'caseload data'!$C:$C,'divisional &amp; regional caseload%'!$B$22,'caseload data'!$D:$D,"PSO")/SUMIF('caseload data'!$C:$C,'divisional &amp; regional caseload%'!$B$22,'caseload data'!N:N)</f>
        <v>#DIV/0!</v>
      </c>
      <c r="M25" s="167" t="e">
        <f>SUMIFS('caseload data'!O:O,'caseload data'!$C:$C,'divisional &amp; regional caseload%'!$B$22,'caseload data'!$D:$D,"PSO")/SUMIF('caseload data'!$C:$C,'divisional &amp; regional caseload%'!$B$22,'caseload data'!O:O)</f>
        <v>#DIV/0!</v>
      </c>
      <c r="N25" s="167" t="e">
        <f>SUMIFS('caseload data'!P:P,'caseload data'!$C:$C,'divisional &amp; regional caseload%'!$B$22,'caseload data'!$D:$D,"PSO")/SUMIF('caseload data'!$C:$C,'divisional &amp; regional caseload%'!$B$22,'caseload data'!P:P)</f>
        <v>#DIV/0!</v>
      </c>
      <c r="O25" s="167" t="e">
        <f>SUMIFS('caseload data'!Q:Q,'caseload data'!$C:$C,'divisional &amp; regional caseload%'!$B$22,'caseload data'!$D:$D,"PSO")/SUMIF('caseload data'!$C:$C,'divisional &amp; regional caseload%'!$B$22,'caseload data'!Q:Q)</f>
        <v>#DIV/0!</v>
      </c>
      <c r="P25" s="167" t="e">
        <f>SUMIFS('caseload data'!R:R,'caseload data'!$C:$C,'divisional &amp; regional caseload%'!$B$22,'caseload data'!$D:$D,"PSO")/SUMIF('caseload data'!$C:$C,'divisional &amp; regional caseload%'!$B$22,'caseload data'!R:R)</f>
        <v>#DIV/0!</v>
      </c>
      <c r="Q25" s="167" t="e">
        <f>SUMIFS('caseload data'!S:S,'caseload data'!$C:$C,'divisional &amp; regional caseload%'!$B$22,'caseload data'!$D:$D,"PSO")/SUMIF('caseload data'!$C:$C,'divisional &amp; regional caseload%'!$B$22,'caseload data'!S:S)</f>
        <v>#DIV/0!</v>
      </c>
      <c r="R25" s="167" t="e">
        <f>SUMIFS('caseload data'!T:T,'caseload data'!$C:$C,'divisional &amp; regional caseload%'!$B$22,'caseload data'!$D:$D,"PSO")/SUMIF('caseload data'!$C:$C,'divisional &amp; regional caseload%'!$B$22,'caseload data'!T:T)</f>
        <v>#DIV/0!</v>
      </c>
      <c r="S25" s="64"/>
      <c r="T25" s="97" t="s">
        <v>1007</v>
      </c>
      <c r="U25" s="167" t="str">
        <f>IFERROR(SUMIFS('caseload data'!E:E,'caseload data'!$C:$C,'divisional &amp; regional caseload%'!$T$22,'caseload data'!$D:$D,"PSO")/SUMIF('caseload data'!$C:$C,'divisional &amp; regional caseload%'!$T$22,'caseload data'!E:E),"")</f>
        <v/>
      </c>
      <c r="V25" s="167" t="str">
        <f>IFERROR(SUMIFS('caseload data'!F:F,'caseload data'!$C:$C,'divisional &amp; regional caseload%'!$T$22,'caseload data'!$D:$D,"PSO")/SUMIF('caseload data'!$C:$C,'divisional &amp; regional caseload%'!$T$22,'caseload data'!F:F),"")</f>
        <v/>
      </c>
      <c r="W25" s="167" t="str">
        <f>IFERROR(SUMIFS('caseload data'!G:G,'caseload data'!$C:$C,'divisional &amp; regional caseload%'!$T$22,'caseload data'!$D:$D,"PSO")/SUMIF('caseload data'!$C:$C,'divisional &amp; regional caseload%'!$T$22,'caseload data'!G:G),"")</f>
        <v/>
      </c>
      <c r="X25" s="167" t="str">
        <f>IFERROR(SUMIFS('caseload data'!H:H,'caseload data'!$C:$C,'divisional &amp; regional caseload%'!$T$22,'caseload data'!$D:$D,"PSO")/SUMIF('caseload data'!$C:$C,'divisional &amp; regional caseload%'!$T$22,'caseload data'!H:H),"")</f>
        <v/>
      </c>
      <c r="Y25" s="167" t="str">
        <f>IFERROR(SUMIFS('caseload data'!I:I,'caseload data'!$C:$C,'divisional &amp; regional caseload%'!$T$22,'caseload data'!$D:$D,"PSO")/SUMIF('caseload data'!$C:$C,'divisional &amp; regional caseload%'!$T$22,'caseload data'!I:I),"")</f>
        <v/>
      </c>
      <c r="Z25" s="167" t="str">
        <f>IFERROR(SUMIFS('caseload data'!J:J,'caseload data'!$C:$C,'divisional &amp; regional caseload%'!$T$22,'caseload data'!$D:$D,"PSO")/SUMIF('caseload data'!$C:$C,'divisional &amp; regional caseload%'!$T$22,'caseload data'!J:J),"")</f>
        <v/>
      </c>
      <c r="AA25" s="167" t="str">
        <f>IFERROR(SUMIFS('caseload data'!K:K,'caseload data'!$C:$C,'divisional &amp; regional caseload%'!$T$22,'caseload data'!$D:$D,"PSO")/SUMIF('caseload data'!$C:$C,'divisional &amp; regional caseload%'!$T$22,'caseload data'!K:K),"")</f>
        <v/>
      </c>
      <c r="AB25" s="167" t="str">
        <f>IFERROR(SUMIFS('caseload data'!L:L,'caseload data'!$C:$C,'divisional &amp; regional caseload%'!$T$22,'caseload data'!$D:$D,"PSO")/SUMIF('caseload data'!$C:$C,'divisional &amp; regional caseload%'!$T$22,'caseload data'!L:L),"")</f>
        <v/>
      </c>
      <c r="AC25" s="167" t="str">
        <f>IFERROR(SUMIFS('caseload data'!M:M,'caseload data'!$C:$C,'divisional &amp; regional caseload%'!$T$22,'caseload data'!$D:$D,"PSO")/SUMIF('caseload data'!$C:$C,'divisional &amp; regional caseload%'!$T$22,'caseload data'!M:M),"")</f>
        <v/>
      </c>
      <c r="AD25" s="167" t="str">
        <f>IFERROR(SUMIFS('caseload data'!N:N,'caseload data'!$C:$C,'divisional &amp; regional caseload%'!$T$22,'caseload data'!$D:$D,"PSO")/SUMIF('caseload data'!$C:$C,'divisional &amp; regional caseload%'!$T$22,'caseload data'!N:N),"")</f>
        <v/>
      </c>
      <c r="AE25" s="167" t="str">
        <f>IFERROR(SUMIFS('caseload data'!O:O,'caseload data'!$C:$C,'divisional &amp; regional caseload%'!$T$22,'caseload data'!$D:$D,"PSO")/SUMIF('caseload data'!$C:$C,'divisional &amp; regional caseload%'!$T$22,'caseload data'!O:O),"")</f>
        <v/>
      </c>
      <c r="AF25" s="167" t="str">
        <f>IFERROR(SUMIFS('caseload data'!P:P,'caseload data'!$C:$C,'divisional &amp; regional caseload%'!$T$22,'caseload data'!$D:$D,"PSO")/SUMIF('caseload data'!$C:$C,'divisional &amp; regional caseload%'!$T$22,'caseload data'!P:P),"")</f>
        <v/>
      </c>
      <c r="AG25" s="167" t="str">
        <f>IFERROR(SUMIFS('caseload data'!Q:Q,'caseload data'!$C:$C,'divisional &amp; regional caseload%'!$T$22,'caseload data'!$D:$D,"PSO")/SUMIF('caseload data'!$C:$C,'divisional &amp; regional caseload%'!$T$22,'caseload data'!Q:Q),"")</f>
        <v/>
      </c>
      <c r="AH25" s="167" t="str">
        <f>IFERROR(SUMIFS('caseload data'!R:R,'caseload data'!$C:$C,'divisional &amp; regional caseload%'!$T$22,'caseload data'!$D:$D,"PSO")/SUMIF('caseload data'!$C:$C,'divisional &amp; regional caseload%'!$T$22,'caseload data'!R:R),"")</f>
        <v/>
      </c>
      <c r="AI25" s="167" t="str">
        <f>IFERROR(SUMIFS('caseload data'!S:S,'caseload data'!$C:$C,'divisional &amp; regional caseload%'!$T$22,'caseload data'!$D:$D,"PSO")/SUMIF('caseload data'!$C:$C,'divisional &amp; regional caseload%'!$T$22,'caseload data'!S:S),"")</f>
        <v/>
      </c>
      <c r="AJ25" s="167" t="str">
        <f>IFERROR(SUMIFS('caseload data'!T:T,'caseload data'!$C:$C,'divisional &amp; regional caseload%'!$T$22,'caseload data'!$D:$D,"PSO")/SUMIF('caseload data'!$C:$C,'divisional &amp; regional caseload%'!$T$22,'caseload data'!T:T),"")</f>
        <v/>
      </c>
    </row>
    <row r="26" spans="2:36" x14ac:dyDescent="0.15">
      <c r="B26" s="97" t="s">
        <v>1008</v>
      </c>
      <c r="C26" s="167" t="e">
        <f>SUMIFS('caseload data'!E:E,'caseload data'!$C:$C,'divisional &amp; regional caseload%'!$B$22,'caseload data'!$D:$D,"TPO")/SUMIF('caseload data'!$C:$C,'divisional &amp; regional caseload%'!$B$22,'caseload data'!E:E)</f>
        <v>#DIV/0!</v>
      </c>
      <c r="D26" s="167" t="e">
        <f>SUMIFS('caseload data'!F:F,'caseload data'!$C:$C,'divisional &amp; regional caseload%'!$B$22,'caseload data'!$D:$D,"TPO")/SUMIF('caseload data'!$C:$C,'divisional &amp; regional caseload%'!$B$22,'caseload data'!F:F)</f>
        <v>#DIV/0!</v>
      </c>
      <c r="E26" s="167" t="e">
        <f>SUMIFS('caseload data'!G:G,'caseload data'!$C:$C,'divisional &amp; regional caseload%'!$B$22,'caseload data'!$D:$D,"TPO")/SUMIF('caseload data'!$C:$C,'divisional &amp; regional caseload%'!$B$22,'caseload data'!G:G)</f>
        <v>#DIV/0!</v>
      </c>
      <c r="F26" s="167" t="e">
        <f>SUMIFS('caseload data'!H:H,'caseload data'!$C:$C,'divisional &amp; regional caseload%'!$B$22,'caseload data'!$D:$D,"TPO")/SUMIF('caseload data'!$C:$C,'divisional &amp; regional caseload%'!$B$22,'caseload data'!H:H)</f>
        <v>#DIV/0!</v>
      </c>
      <c r="G26" s="167" t="e">
        <f>SUMIFS('caseload data'!I:I,'caseload data'!$C:$C,'divisional &amp; regional caseload%'!$B$22,'caseload data'!$D:$D,"TPO")/SUMIF('caseload data'!$C:$C,'divisional &amp; regional caseload%'!$B$22,'caseload data'!I:I)</f>
        <v>#DIV/0!</v>
      </c>
      <c r="H26" s="167" t="e">
        <f>SUMIFS('caseload data'!J:J,'caseload data'!$C:$C,'divisional &amp; regional caseload%'!$B$22,'caseload data'!$D:$D,"TPO")/SUMIF('caseload data'!$C:$C,'divisional &amp; regional caseload%'!$B$22,'caseload data'!J:J)</f>
        <v>#DIV/0!</v>
      </c>
      <c r="I26" s="167" t="e">
        <f>SUMIFS('caseload data'!K:K,'caseload data'!$C:$C,'divisional &amp; regional caseload%'!$B$22,'caseload data'!$D:$D,"TPO")/SUMIF('caseload data'!$C:$C,'divisional &amp; regional caseload%'!$B$22,'caseload data'!K:K)</f>
        <v>#DIV/0!</v>
      </c>
      <c r="J26" s="167" t="e">
        <f>SUMIFS('caseload data'!L:L,'caseload data'!$C:$C,'divisional &amp; regional caseload%'!$B$22,'caseload data'!$D:$D,"TPO")/SUMIF('caseload data'!$C:$C,'divisional &amp; regional caseload%'!$B$22,'caseload data'!L:L)</f>
        <v>#DIV/0!</v>
      </c>
      <c r="K26" s="167" t="e">
        <f>SUMIFS('caseload data'!M:M,'caseload data'!$C:$C,'divisional &amp; regional caseload%'!$B$22,'caseload data'!$D:$D,"TPO")/SUMIF('caseload data'!$C:$C,'divisional &amp; regional caseload%'!$B$22,'caseload data'!M:M)</f>
        <v>#DIV/0!</v>
      </c>
      <c r="L26" s="167" t="e">
        <f>SUMIFS('caseload data'!N:N,'caseload data'!$C:$C,'divisional &amp; regional caseload%'!$B$22,'caseload data'!$D:$D,"TPO")/SUMIF('caseload data'!$C:$C,'divisional &amp; regional caseload%'!$B$22,'caseload data'!N:N)</f>
        <v>#DIV/0!</v>
      </c>
      <c r="M26" s="167" t="e">
        <f>SUMIFS('caseload data'!O:O,'caseload data'!$C:$C,'divisional &amp; regional caseload%'!$B$22,'caseload data'!$D:$D,"TPO")/SUMIF('caseload data'!$C:$C,'divisional &amp; regional caseload%'!$B$22,'caseload data'!O:O)</f>
        <v>#DIV/0!</v>
      </c>
      <c r="N26" s="167" t="e">
        <f>SUMIFS('caseload data'!P:P,'caseload data'!$C:$C,'divisional &amp; regional caseload%'!$B$22,'caseload data'!$D:$D,"TPO")/SUMIF('caseload data'!$C:$C,'divisional &amp; regional caseload%'!$B$22,'caseload data'!P:P)</f>
        <v>#DIV/0!</v>
      </c>
      <c r="O26" s="167" t="e">
        <f>SUMIFS('caseload data'!Q:Q,'caseload data'!$C:$C,'divisional &amp; regional caseload%'!$B$22,'caseload data'!$D:$D,"TPO")/SUMIF('caseload data'!$C:$C,'divisional &amp; regional caseload%'!$B$22,'caseload data'!Q:Q)</f>
        <v>#DIV/0!</v>
      </c>
      <c r="P26" s="167" t="e">
        <f>SUMIFS('caseload data'!R:R,'caseload data'!$C:$C,'divisional &amp; regional caseload%'!$B$22,'caseload data'!$D:$D,"TPO")/SUMIF('caseload data'!$C:$C,'divisional &amp; regional caseload%'!$B$22,'caseload data'!R:R)</f>
        <v>#DIV/0!</v>
      </c>
      <c r="Q26" s="167" t="e">
        <f>SUMIFS('caseload data'!S:S,'caseload data'!$C:$C,'divisional &amp; regional caseload%'!$B$22,'caseload data'!$D:$D,"TPO")/SUMIF('caseload data'!$C:$C,'divisional &amp; regional caseload%'!$B$22,'caseload data'!S:S)</f>
        <v>#DIV/0!</v>
      </c>
      <c r="R26" s="167" t="e">
        <f>SUMIFS('caseload data'!T:T,'caseload data'!$C:$C,'divisional &amp; regional caseload%'!$B$22,'caseload data'!$D:$D,"TPO")/SUMIF('caseload data'!$C:$C,'divisional &amp; regional caseload%'!$B$22,'caseload data'!T:T)</f>
        <v>#DIV/0!</v>
      </c>
      <c r="S26" s="64"/>
      <c r="T26" s="97" t="s">
        <v>1008</v>
      </c>
      <c r="U26" s="167" t="str">
        <f>IFERROR(SUMIFS('caseload data'!E:E,'caseload data'!$C:$C,'divisional &amp; regional caseload%'!$T$22,'caseload data'!$D:$D,"TPO")/SUMIF('caseload data'!$C:$C,'divisional &amp; regional caseload%'!$T$22,'caseload data'!E:E),"")</f>
        <v/>
      </c>
      <c r="V26" s="167" t="str">
        <f>IFERROR(SUMIFS('caseload data'!F:F,'caseload data'!$C:$C,'divisional &amp; regional caseload%'!$T$22,'caseload data'!$D:$D,"TPO")/SUMIF('caseload data'!$C:$C,'divisional &amp; regional caseload%'!$T$22,'caseload data'!F:F),"")</f>
        <v/>
      </c>
      <c r="W26" s="167" t="str">
        <f>IFERROR(SUMIFS('caseload data'!G:G,'caseload data'!$C:$C,'divisional &amp; regional caseload%'!$T$22,'caseload data'!$D:$D,"TPO")/SUMIF('caseload data'!$C:$C,'divisional &amp; regional caseload%'!$T$22,'caseload data'!G:G),"")</f>
        <v/>
      </c>
      <c r="X26" s="167" t="str">
        <f>IFERROR(SUMIFS('caseload data'!H:H,'caseload data'!$C:$C,'divisional &amp; regional caseload%'!$T$22,'caseload data'!$D:$D,"TPO")/SUMIF('caseload data'!$C:$C,'divisional &amp; regional caseload%'!$T$22,'caseload data'!H:H),"")</f>
        <v/>
      </c>
      <c r="Y26" s="167" t="str">
        <f>IFERROR(SUMIFS('caseload data'!I:I,'caseload data'!$C:$C,'divisional &amp; regional caseload%'!$T$22,'caseload data'!$D:$D,"TPO")/SUMIF('caseload data'!$C:$C,'divisional &amp; regional caseload%'!$T$22,'caseload data'!I:I),"")</f>
        <v/>
      </c>
      <c r="Z26" s="167" t="str">
        <f>IFERROR(SUMIFS('caseload data'!J:J,'caseload data'!$C:$C,'divisional &amp; regional caseload%'!$T$22,'caseload data'!$D:$D,"TPO")/SUMIF('caseload data'!$C:$C,'divisional &amp; regional caseload%'!$T$22,'caseload data'!J:J),"")</f>
        <v/>
      </c>
      <c r="AA26" s="167" t="str">
        <f>IFERROR(SUMIFS('caseload data'!K:K,'caseload data'!$C:$C,'divisional &amp; regional caseload%'!$T$22,'caseload data'!$D:$D,"TPO")/SUMIF('caseload data'!$C:$C,'divisional &amp; regional caseload%'!$T$22,'caseload data'!K:K),"")</f>
        <v/>
      </c>
      <c r="AB26" s="167" t="str">
        <f>IFERROR(SUMIFS('caseload data'!L:L,'caseload data'!$C:$C,'divisional &amp; regional caseload%'!$T$22,'caseload data'!$D:$D,"TPO")/SUMIF('caseload data'!$C:$C,'divisional &amp; regional caseload%'!$T$22,'caseload data'!L:L),"")</f>
        <v/>
      </c>
      <c r="AC26" s="167" t="str">
        <f>IFERROR(SUMIFS('caseload data'!M:M,'caseload data'!$C:$C,'divisional &amp; regional caseload%'!$T$22,'caseload data'!$D:$D,"TPO")/SUMIF('caseload data'!$C:$C,'divisional &amp; regional caseload%'!$T$22,'caseload data'!M:M),"")</f>
        <v/>
      </c>
      <c r="AD26" s="167" t="str">
        <f>IFERROR(SUMIFS('caseload data'!N:N,'caseload data'!$C:$C,'divisional &amp; regional caseload%'!$T$22,'caseload data'!$D:$D,"TPO")/SUMIF('caseload data'!$C:$C,'divisional &amp; regional caseload%'!$T$22,'caseload data'!N:N),"")</f>
        <v/>
      </c>
      <c r="AE26" s="167" t="str">
        <f>IFERROR(SUMIFS('caseload data'!O:O,'caseload data'!$C:$C,'divisional &amp; regional caseload%'!$T$22,'caseload data'!$D:$D,"TPO")/SUMIF('caseload data'!$C:$C,'divisional &amp; regional caseload%'!$T$22,'caseload data'!O:O),"")</f>
        <v/>
      </c>
      <c r="AF26" s="167" t="str">
        <f>IFERROR(SUMIFS('caseload data'!P:P,'caseload data'!$C:$C,'divisional &amp; regional caseload%'!$T$22,'caseload data'!$D:$D,"TPO")/SUMIF('caseload data'!$C:$C,'divisional &amp; regional caseload%'!$T$22,'caseload data'!P:P),"")</f>
        <v/>
      </c>
      <c r="AG26" s="167" t="str">
        <f>IFERROR(SUMIFS('caseload data'!Q:Q,'caseload data'!$C:$C,'divisional &amp; regional caseload%'!$T$22,'caseload data'!$D:$D,"TPO")/SUMIF('caseload data'!$C:$C,'divisional &amp; regional caseload%'!$T$22,'caseload data'!Q:Q),"")</f>
        <v/>
      </c>
      <c r="AH26" s="167" t="str">
        <f>IFERROR(SUMIFS('caseload data'!R:R,'caseload data'!$C:$C,'divisional &amp; regional caseload%'!$T$22,'caseload data'!$D:$D,"TPO")/SUMIF('caseload data'!$C:$C,'divisional &amp; regional caseload%'!$T$22,'caseload data'!R:R),"")</f>
        <v/>
      </c>
      <c r="AI26" s="167" t="str">
        <f>IFERROR(SUMIFS('caseload data'!S:S,'caseload data'!$C:$C,'divisional &amp; regional caseload%'!$T$22,'caseload data'!$D:$D,"TPO")/SUMIF('caseload data'!$C:$C,'divisional &amp; regional caseload%'!$T$22,'caseload data'!S:S),"")</f>
        <v/>
      </c>
      <c r="AJ26" s="167" t="str">
        <f>IFERROR(SUMIFS('caseload data'!T:T,'caseload data'!$C:$C,'divisional &amp; regional caseload%'!$T$22,'caseload data'!$D:$D,"TPO")/SUMIF('caseload data'!$C:$C,'divisional &amp; regional caseload%'!$T$22,'caseload data'!T:T),"")</f>
        <v/>
      </c>
    </row>
    <row r="27" spans="2:36" x14ac:dyDescent="0.15">
      <c r="B27" s="98" t="s">
        <v>1009</v>
      </c>
      <c r="C27" s="167" t="e">
        <f>SUMIFS('caseload data'!E:E,'caseload data'!$C:$C,'divisional &amp; regional caseload%'!$B$22,'caseload data'!$D:$D,"SPO")/SUMIF('caseload data'!$C:$C,'divisional &amp; regional caseload%'!$B$22,'caseload data'!E:E)</f>
        <v>#DIV/0!</v>
      </c>
      <c r="D27" s="167" t="e">
        <f>SUMIFS('caseload data'!F:F,'caseload data'!$C:$C,'divisional &amp; regional caseload%'!$B$22,'caseload data'!$D:$D,"SPO")/SUMIF('caseload data'!$C:$C,'divisional &amp; regional caseload%'!$B$22,'caseload data'!F:F)</f>
        <v>#DIV/0!</v>
      </c>
      <c r="E27" s="167" t="e">
        <f>SUMIFS('caseload data'!G:G,'caseload data'!$C:$C,'divisional &amp; regional caseload%'!$B$22,'caseload data'!$D:$D,"SPO")/SUMIF('caseload data'!$C:$C,'divisional &amp; regional caseload%'!$B$22,'caseload data'!G:G)</f>
        <v>#DIV/0!</v>
      </c>
      <c r="F27" s="167" t="e">
        <f>SUMIFS('caseload data'!H:H,'caseload data'!$C:$C,'divisional &amp; regional caseload%'!$B$22,'caseload data'!$D:$D,"SPO")/SUMIF('caseload data'!$C:$C,'divisional &amp; regional caseload%'!$B$22,'caseload data'!H:H)</f>
        <v>#DIV/0!</v>
      </c>
      <c r="G27" s="167" t="e">
        <f>SUMIFS('caseload data'!I:I,'caseload data'!$C:$C,'divisional &amp; regional caseload%'!$B$22,'caseload data'!$D:$D,"SPO")/SUMIF('caseload data'!$C:$C,'divisional &amp; regional caseload%'!$B$22,'caseload data'!I:I)</f>
        <v>#DIV/0!</v>
      </c>
      <c r="H27" s="167" t="e">
        <f>SUMIFS('caseload data'!J:J,'caseload data'!$C:$C,'divisional &amp; regional caseload%'!$B$22,'caseload data'!$D:$D,"SPO")/SUMIF('caseload data'!$C:$C,'divisional &amp; regional caseload%'!$B$22,'caseload data'!J:J)</f>
        <v>#DIV/0!</v>
      </c>
      <c r="I27" s="167" t="e">
        <f>SUMIFS('caseload data'!K:K,'caseload data'!$C:$C,'divisional &amp; regional caseload%'!$B$22,'caseload data'!$D:$D,"SPO")/SUMIF('caseload data'!$C:$C,'divisional &amp; regional caseload%'!$B$22,'caseload data'!K:K)</f>
        <v>#DIV/0!</v>
      </c>
      <c r="J27" s="167" t="e">
        <f>SUMIFS('caseload data'!L:L,'caseload data'!$C:$C,'divisional &amp; regional caseload%'!$B$22,'caseload data'!$D:$D,"SPO")/SUMIF('caseload data'!$C:$C,'divisional &amp; regional caseload%'!$B$22,'caseload data'!L:L)</f>
        <v>#DIV/0!</v>
      </c>
      <c r="K27" s="167" t="e">
        <f>SUMIFS('caseload data'!M:M,'caseload data'!$C:$C,'divisional &amp; regional caseload%'!$B$22,'caseload data'!$D:$D,"SPO")/SUMIF('caseload data'!$C:$C,'divisional &amp; regional caseload%'!$B$22,'caseload data'!M:M)</f>
        <v>#DIV/0!</v>
      </c>
      <c r="L27" s="167" t="e">
        <f>SUMIFS('caseload data'!N:N,'caseload data'!$C:$C,'divisional &amp; regional caseload%'!$B$22,'caseload data'!$D:$D,"SPO")/SUMIF('caseload data'!$C:$C,'divisional &amp; regional caseload%'!$B$22,'caseload data'!N:N)</f>
        <v>#DIV/0!</v>
      </c>
      <c r="M27" s="167" t="e">
        <f>SUMIFS('caseload data'!O:O,'caseload data'!$C:$C,'divisional &amp; regional caseload%'!$B$22,'caseload data'!$D:$D,"SPO")/SUMIF('caseload data'!$C:$C,'divisional &amp; regional caseload%'!$B$22,'caseload data'!O:O)</f>
        <v>#DIV/0!</v>
      </c>
      <c r="N27" s="167" t="e">
        <f>SUMIFS('caseload data'!P:P,'caseload data'!$C:$C,'divisional &amp; regional caseload%'!$B$22,'caseload data'!$D:$D,"SPO")/SUMIF('caseload data'!$C:$C,'divisional &amp; regional caseload%'!$B$22,'caseload data'!P:P)</f>
        <v>#DIV/0!</v>
      </c>
      <c r="O27" s="167" t="e">
        <f>SUMIFS('caseload data'!Q:Q,'caseload data'!$C:$C,'divisional &amp; regional caseload%'!$B$22,'caseload data'!$D:$D,"SPO")/SUMIF('caseload data'!$C:$C,'divisional &amp; regional caseload%'!$B$22,'caseload data'!Q:Q)</f>
        <v>#DIV/0!</v>
      </c>
      <c r="P27" s="167" t="e">
        <f>SUMIFS('caseload data'!R:R,'caseload data'!$C:$C,'divisional &amp; regional caseload%'!$B$22,'caseload data'!$D:$D,"SPO")/SUMIF('caseload data'!$C:$C,'divisional &amp; regional caseload%'!$B$22,'caseload data'!R:R)</f>
        <v>#DIV/0!</v>
      </c>
      <c r="Q27" s="167" t="e">
        <f>SUMIFS('caseload data'!S:S,'caseload data'!$C:$C,'divisional &amp; regional caseload%'!$B$22,'caseload data'!$D:$D,"SPO")/SUMIF('caseload data'!$C:$C,'divisional &amp; regional caseload%'!$B$22,'caseload data'!S:S)</f>
        <v>#DIV/0!</v>
      </c>
      <c r="R27" s="167" t="e">
        <f>SUMIFS('caseload data'!T:T,'caseload data'!$C:$C,'divisional &amp; regional caseload%'!$B$22,'caseload data'!$D:$D,"SPO")/SUMIF('caseload data'!$C:$C,'divisional &amp; regional caseload%'!$B$22,'caseload data'!T:T)</f>
        <v>#DIV/0!</v>
      </c>
      <c r="S27" s="64"/>
      <c r="T27" s="98" t="s">
        <v>1009</v>
      </c>
      <c r="U27" s="167" t="str">
        <f>IFERROR(SUMIFS('caseload data'!E:E,'caseload data'!$C:$C,'divisional &amp; regional caseload%'!$T$22,'caseload data'!$D:$D,"SPO")/SUMIF('caseload data'!$C:$C,'divisional &amp; regional caseload%'!$T$22,'caseload data'!E:E),"")</f>
        <v/>
      </c>
      <c r="V27" s="167" t="str">
        <f>IFERROR(SUMIFS('caseload data'!F:F,'caseload data'!$C:$C,'divisional &amp; regional caseload%'!$T$22,'caseload data'!$D:$D,"SPO")/SUMIF('caseload data'!$C:$C,'divisional &amp; regional caseload%'!$T$22,'caseload data'!F:F),"")</f>
        <v/>
      </c>
      <c r="W27" s="167" t="str">
        <f>IFERROR(SUMIFS('caseload data'!G:G,'caseload data'!$C:$C,'divisional &amp; regional caseload%'!$T$22,'caseload data'!$D:$D,"SPO")/SUMIF('caseload data'!$C:$C,'divisional &amp; regional caseload%'!$T$22,'caseload data'!G:G),"")</f>
        <v/>
      </c>
      <c r="X27" s="167" t="str">
        <f>IFERROR(SUMIFS('caseload data'!H:H,'caseload data'!$C:$C,'divisional &amp; regional caseload%'!$T$22,'caseload data'!$D:$D,"SPO")/SUMIF('caseload data'!$C:$C,'divisional &amp; regional caseload%'!$T$22,'caseload data'!H:H),"")</f>
        <v/>
      </c>
      <c r="Y27" s="167" t="str">
        <f>IFERROR(SUMIFS('caseload data'!I:I,'caseload data'!$C:$C,'divisional &amp; regional caseload%'!$T$22,'caseload data'!$D:$D,"SPO")/SUMIF('caseload data'!$C:$C,'divisional &amp; regional caseload%'!$T$22,'caseload data'!I:I),"")</f>
        <v/>
      </c>
      <c r="Z27" s="167" t="str">
        <f>IFERROR(SUMIFS('caseload data'!J:J,'caseload data'!$C:$C,'divisional &amp; regional caseload%'!$T$22,'caseload data'!$D:$D,"SPO")/SUMIF('caseload data'!$C:$C,'divisional &amp; regional caseload%'!$T$22,'caseload data'!J:J),"")</f>
        <v/>
      </c>
      <c r="AA27" s="167" t="str">
        <f>IFERROR(SUMIFS('caseload data'!K:K,'caseload data'!$C:$C,'divisional &amp; regional caseload%'!$T$22,'caseload data'!$D:$D,"SPO")/SUMIF('caseload data'!$C:$C,'divisional &amp; regional caseload%'!$T$22,'caseload data'!K:K),"")</f>
        <v/>
      </c>
      <c r="AB27" s="167" t="str">
        <f>IFERROR(SUMIFS('caseload data'!L:L,'caseload data'!$C:$C,'divisional &amp; regional caseload%'!$T$22,'caseload data'!$D:$D,"SPO")/SUMIF('caseload data'!$C:$C,'divisional &amp; regional caseload%'!$T$22,'caseload data'!L:L),"")</f>
        <v/>
      </c>
      <c r="AC27" s="167" t="str">
        <f>IFERROR(SUMIFS('caseload data'!M:M,'caseload data'!$C:$C,'divisional &amp; regional caseload%'!$T$22,'caseload data'!$D:$D,"SPO")/SUMIF('caseload data'!$C:$C,'divisional &amp; regional caseload%'!$T$22,'caseload data'!M:M),"")</f>
        <v/>
      </c>
      <c r="AD27" s="167" t="str">
        <f>IFERROR(SUMIFS('caseload data'!N:N,'caseload data'!$C:$C,'divisional &amp; regional caseload%'!$T$22,'caseload data'!$D:$D,"SPO")/SUMIF('caseload data'!$C:$C,'divisional &amp; regional caseload%'!$T$22,'caseload data'!N:N),"")</f>
        <v/>
      </c>
      <c r="AE27" s="167" t="str">
        <f>IFERROR(SUMIFS('caseload data'!O:O,'caseload data'!$C:$C,'divisional &amp; regional caseload%'!$T$22,'caseload data'!$D:$D,"SPO")/SUMIF('caseload data'!$C:$C,'divisional &amp; regional caseload%'!$T$22,'caseload data'!O:O),"")</f>
        <v/>
      </c>
      <c r="AF27" s="167" t="str">
        <f>IFERROR(SUMIFS('caseload data'!P:P,'caseload data'!$C:$C,'divisional &amp; regional caseload%'!$T$22,'caseload data'!$D:$D,"SPO")/SUMIF('caseload data'!$C:$C,'divisional &amp; regional caseload%'!$T$22,'caseload data'!P:P),"")</f>
        <v/>
      </c>
      <c r="AG27" s="167" t="str">
        <f>IFERROR(SUMIFS('caseload data'!Q:Q,'caseload data'!$C:$C,'divisional &amp; regional caseload%'!$T$22,'caseload data'!$D:$D,"SPO")/SUMIF('caseload data'!$C:$C,'divisional &amp; regional caseload%'!$T$22,'caseload data'!Q:Q),"")</f>
        <v/>
      </c>
      <c r="AH27" s="167" t="str">
        <f>IFERROR(SUMIFS('caseload data'!R:R,'caseload data'!$C:$C,'divisional &amp; regional caseload%'!$T$22,'caseload data'!$D:$D,"SPO")/SUMIF('caseload data'!$C:$C,'divisional &amp; regional caseload%'!$T$22,'caseload data'!R:R),"")</f>
        <v/>
      </c>
      <c r="AI27" s="167" t="str">
        <f>IFERROR(SUMIFS('caseload data'!S:S,'caseload data'!$C:$C,'divisional &amp; regional caseload%'!$T$22,'caseload data'!$D:$D,"SPO")/SUMIF('caseload data'!$C:$C,'divisional &amp; regional caseload%'!$T$22,'caseload data'!S:S),"")</f>
        <v/>
      </c>
      <c r="AJ27" s="167" t="str">
        <f>IFERROR(SUMIFS('caseload data'!T:T,'caseload data'!$C:$C,'divisional &amp; regional caseload%'!$T$22,'caseload data'!$D:$D,"SPO")/SUMIF('caseload data'!$C:$C,'divisional &amp; regional caseload%'!$T$22,'caseload data'!T:T),"")</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289" t="str">
        <f>HLOOKUP($B$5,Region_Table,8,0)</f>
        <v>Nottinghamshire - N53</v>
      </c>
      <c r="C29" s="523" t="s">
        <v>1101</v>
      </c>
      <c r="D29" s="524"/>
      <c r="E29" s="524"/>
      <c r="F29" s="524"/>
      <c r="G29" s="524"/>
      <c r="H29" s="524"/>
      <c r="I29" s="524"/>
      <c r="J29" s="524"/>
      <c r="K29" s="524"/>
      <c r="L29" s="524"/>
      <c r="M29" s="525"/>
      <c r="N29" s="525"/>
      <c r="O29" s="526"/>
      <c r="P29" s="510">
        <f>SUMIF('caseload data'!$C:$C,'divisional &amp; regional caseload%'!B29,'caseload data'!V:V)</f>
        <v>0</v>
      </c>
      <c r="Q29" s="527"/>
      <c r="R29" s="528"/>
      <c r="S29" s="64"/>
      <c r="T29" s="289" t="str">
        <f>HLOOKUP($B$5,Region_Table,9,0)</f>
        <v>Unpaid Work and Attendance Centres - N53</v>
      </c>
      <c r="U29" s="523" t="s">
        <v>1101</v>
      </c>
      <c r="V29" s="524"/>
      <c r="W29" s="524"/>
      <c r="X29" s="524"/>
      <c r="Y29" s="524"/>
      <c r="Z29" s="524"/>
      <c r="AA29" s="524"/>
      <c r="AB29" s="524"/>
      <c r="AC29" s="524"/>
      <c r="AD29" s="524"/>
      <c r="AE29" s="525"/>
      <c r="AF29" s="525"/>
      <c r="AG29" s="526"/>
      <c r="AH29" s="510">
        <f>SUMIF('caseload data'!$C:$C,'divisional &amp; regional caseload%'!T29,'caseload data'!V:V)</f>
        <v>0</v>
      </c>
      <c r="AI29" s="527"/>
      <c r="AJ29" s="528"/>
    </row>
    <row r="30" spans="2:36" x14ac:dyDescent="0.15">
      <c r="B30" s="95" t="s">
        <v>1006</v>
      </c>
      <c r="C30" s="38" t="s">
        <v>869</v>
      </c>
      <c r="D30" s="38" t="s">
        <v>870</v>
      </c>
      <c r="E30" s="38" t="s">
        <v>871</v>
      </c>
      <c r="F30" s="38" t="s">
        <v>872</v>
      </c>
      <c r="G30" s="38" t="s">
        <v>873</v>
      </c>
      <c r="H30" s="38" t="s">
        <v>874</v>
      </c>
      <c r="I30" s="38" t="s">
        <v>875</v>
      </c>
      <c r="J30" s="38" t="s">
        <v>876</v>
      </c>
      <c r="K30" s="38" t="s">
        <v>877</v>
      </c>
      <c r="L30" s="38" t="s">
        <v>878</v>
      </c>
      <c r="M30" s="38" t="s">
        <v>879</v>
      </c>
      <c r="N30" s="38" t="s">
        <v>880</v>
      </c>
      <c r="O30" s="38" t="s">
        <v>881</v>
      </c>
      <c r="P30" s="38" t="s">
        <v>882</v>
      </c>
      <c r="Q30" s="38" t="s">
        <v>883</v>
      </c>
      <c r="R30" s="38" t="s">
        <v>884</v>
      </c>
      <c r="S30" s="64"/>
      <c r="T30" s="95" t="s">
        <v>1006</v>
      </c>
      <c r="U30" s="38" t="s">
        <v>869</v>
      </c>
      <c r="V30" s="38" t="s">
        <v>870</v>
      </c>
      <c r="W30" s="38" t="s">
        <v>871</v>
      </c>
      <c r="X30" s="38" t="s">
        <v>872</v>
      </c>
      <c r="Y30" s="38" t="s">
        <v>873</v>
      </c>
      <c r="Z30" s="38" t="s">
        <v>874</v>
      </c>
      <c r="AA30" s="38" t="s">
        <v>875</v>
      </c>
      <c r="AB30" s="38" t="s">
        <v>876</v>
      </c>
      <c r="AC30" s="38" t="s">
        <v>877</v>
      </c>
      <c r="AD30" s="38" t="s">
        <v>878</v>
      </c>
      <c r="AE30" s="38" t="s">
        <v>879</v>
      </c>
      <c r="AF30" s="38" t="s">
        <v>880</v>
      </c>
      <c r="AG30" s="38" t="s">
        <v>881</v>
      </c>
      <c r="AH30" s="38" t="s">
        <v>882</v>
      </c>
      <c r="AI30" s="38" t="s">
        <v>883</v>
      </c>
      <c r="AJ30" s="38" t="s">
        <v>884</v>
      </c>
    </row>
    <row r="31" spans="2:36" x14ac:dyDescent="0.15">
      <c r="B31" s="96" t="s">
        <v>1002</v>
      </c>
      <c r="C31" s="167" t="str">
        <f>IFERROR(SUMIFS('caseload data'!E:E,'caseload data'!$C:$C,'divisional &amp; regional caseload%'!$B$29,'caseload data'!$D:$D,"PO")/SUMIF('caseload data'!$C:$C,'divisional &amp; regional caseload%'!$B$29,'caseload data'!E:E),"")</f>
        <v/>
      </c>
      <c r="D31" s="167" t="str">
        <f>IFERROR(SUMIFS('caseload data'!F:F,'caseload data'!$C:$C,'divisional &amp; regional caseload%'!$B$29,'caseload data'!$D:$D,"PO")/SUMIF('caseload data'!$C:$C,'divisional &amp; regional caseload%'!$B$29,'caseload data'!F:F),"")</f>
        <v/>
      </c>
      <c r="E31" s="167" t="str">
        <f>IFERROR(SUMIFS('caseload data'!G:G,'caseload data'!$C:$C,'divisional &amp; regional caseload%'!$B$29,'caseload data'!$D:$D,"PO")/SUMIF('caseload data'!$C:$C,'divisional &amp; regional caseload%'!$B$29,'caseload data'!G:G),"")</f>
        <v/>
      </c>
      <c r="F31" s="167" t="str">
        <f>IFERROR(SUMIFS('caseload data'!H:H,'caseload data'!$C:$C,'divisional &amp; regional caseload%'!$B$29,'caseload data'!$D:$D,"PO")/SUMIF('caseload data'!$C:$C,'divisional &amp; regional caseload%'!$B$29,'caseload data'!H:H),"")</f>
        <v/>
      </c>
      <c r="G31" s="167" t="str">
        <f>IFERROR(SUMIFS('caseload data'!I:I,'caseload data'!$C:$C,'divisional &amp; regional caseload%'!$B$29,'caseload data'!$D:$D,"PO")/SUMIF('caseload data'!$C:$C,'divisional &amp; regional caseload%'!$B$29,'caseload data'!I:I),"")</f>
        <v/>
      </c>
      <c r="H31" s="167" t="str">
        <f>IFERROR(SUMIFS('caseload data'!J:J,'caseload data'!$C:$C,'divisional &amp; regional caseload%'!$B$29,'caseload data'!$D:$D,"PO")/SUMIF('caseload data'!$C:$C,'divisional &amp; regional caseload%'!$B$29,'caseload data'!J:J),"")</f>
        <v/>
      </c>
      <c r="I31" s="167" t="str">
        <f>IFERROR(SUMIFS('caseload data'!K:K,'caseload data'!$C:$C,'divisional &amp; regional caseload%'!$B$29,'caseload data'!$D:$D,"PO")/SUMIF('caseload data'!$C:$C,'divisional &amp; regional caseload%'!$B$29,'caseload data'!K:K),"")</f>
        <v/>
      </c>
      <c r="J31" s="167" t="str">
        <f>IFERROR(SUMIFS('caseload data'!L:L,'caseload data'!$C:$C,'divisional &amp; regional caseload%'!$B$29,'caseload data'!$D:$D,"PO")/SUMIF('caseload data'!$C:$C,'divisional &amp; regional caseload%'!$B$29,'caseload data'!L:L),"")</f>
        <v/>
      </c>
      <c r="K31" s="167" t="str">
        <f>IFERROR(SUMIFS('caseload data'!M:M,'caseload data'!$C:$C,'divisional &amp; regional caseload%'!$B$29,'caseload data'!$D:$D,"PO")/SUMIF('caseload data'!$C:$C,'divisional &amp; regional caseload%'!$B$29,'caseload data'!M:M),"")</f>
        <v/>
      </c>
      <c r="L31" s="167" t="str">
        <f>IFERROR(SUMIFS('caseload data'!N:N,'caseload data'!$C:$C,'divisional &amp; regional caseload%'!$B$29,'caseload data'!$D:$D,"PO")/SUMIF('caseload data'!$C:$C,'divisional &amp; regional caseload%'!$B$29,'caseload data'!N:N),"")</f>
        <v/>
      </c>
      <c r="M31" s="167" t="str">
        <f>IFERROR(SUMIFS('caseload data'!O:O,'caseload data'!$C:$C,'divisional &amp; regional caseload%'!$B$29,'caseload data'!$D:$D,"PO")/SUMIF('caseload data'!$C:$C,'divisional &amp; regional caseload%'!$B$29,'caseload data'!O:O),"")</f>
        <v/>
      </c>
      <c r="N31" s="167" t="str">
        <f>IFERROR(SUMIFS('caseload data'!P:P,'caseload data'!$C:$C,'divisional &amp; regional caseload%'!$B$29,'caseload data'!$D:$D,"PO")/SUMIF('caseload data'!$C:$C,'divisional &amp; regional caseload%'!$B$29,'caseload data'!P:P),"")</f>
        <v/>
      </c>
      <c r="O31" s="167" t="str">
        <f>IFERROR(SUMIFS('caseload data'!Q:Q,'caseload data'!$C:$C,'divisional &amp; regional caseload%'!$B$29,'caseload data'!$D:$D,"PO")/SUMIF('caseload data'!$C:$C,'divisional &amp; regional caseload%'!$B$29,'caseload data'!Q:Q),"")</f>
        <v/>
      </c>
      <c r="P31" s="167" t="str">
        <f>IFERROR(SUMIFS('caseload data'!R:R,'caseload data'!$C:$C,'divisional &amp; regional caseload%'!$B$29,'caseload data'!$D:$D,"PO")/SUMIF('caseload data'!$C:$C,'divisional &amp; regional caseload%'!$B$29,'caseload data'!R:R),"")</f>
        <v/>
      </c>
      <c r="Q31" s="167" t="str">
        <f>IFERROR(SUMIFS('caseload data'!S:S,'caseload data'!$C:$C,'divisional &amp; regional caseload%'!$B$29,'caseload data'!$D:$D,"PO")/SUMIF('caseload data'!$C:$C,'divisional &amp; regional caseload%'!$B$29,'caseload data'!S:S),"")</f>
        <v/>
      </c>
      <c r="R31" s="167" t="str">
        <f>IFERROR(SUMIFS('caseload data'!T:T,'caseload data'!$C:$C,'divisional &amp; regional caseload%'!$B$29,'caseload data'!$D:$D,"PO")/SUMIF('caseload data'!$C:$C,'divisional &amp; regional caseload%'!$B$29,'caseload data'!T:T),"")</f>
        <v/>
      </c>
      <c r="S31" s="64"/>
      <c r="T31" s="96" t="s">
        <v>1002</v>
      </c>
      <c r="U31" s="167" t="str">
        <f>IFERROR(SUMIFS('caseload data'!E:E,'caseload data'!$C:$C,'divisional &amp; regional caseload%'!$T$29,'caseload data'!$D:$D,"PO")/SUMIF('caseload data'!$C:$C,'divisional &amp; regional caseload%'!$T$29,'caseload data'!E:E),"")</f>
        <v/>
      </c>
      <c r="V31" s="167" t="str">
        <f>IFERROR(SUMIFS('caseload data'!F:F,'caseload data'!$C:$C,'divisional &amp; regional caseload%'!$T$29,'caseload data'!$D:$D,"PO")/SUMIF('caseload data'!$C:$C,'divisional &amp; regional caseload%'!$T$29,'caseload data'!F:F),"")</f>
        <v/>
      </c>
      <c r="W31" s="167" t="str">
        <f>IFERROR(SUMIFS('caseload data'!G:G,'caseload data'!$C:$C,'divisional &amp; regional caseload%'!$T$29,'caseload data'!$D:$D,"PO")/SUMIF('caseload data'!$C:$C,'divisional &amp; regional caseload%'!$T$29,'caseload data'!G:G),"")</f>
        <v/>
      </c>
      <c r="X31" s="167" t="str">
        <f>IFERROR(SUMIFS('caseload data'!H:H,'caseload data'!$C:$C,'divisional &amp; regional caseload%'!$T$29,'caseload data'!$D:$D,"PO")/SUMIF('caseload data'!$C:$C,'divisional &amp; regional caseload%'!$T$29,'caseload data'!H:H),"")</f>
        <v/>
      </c>
      <c r="Y31" s="167" t="str">
        <f>IFERROR(SUMIFS('caseload data'!I:I,'caseload data'!$C:$C,'divisional &amp; regional caseload%'!$T$29,'caseload data'!$D:$D,"PO")/SUMIF('caseload data'!$C:$C,'divisional &amp; regional caseload%'!$T$29,'caseload data'!I:I),"")</f>
        <v/>
      </c>
      <c r="Z31" s="167" t="str">
        <f>IFERROR(SUMIFS('caseload data'!J:J,'caseload data'!$C:$C,'divisional &amp; regional caseload%'!$T$29,'caseload data'!$D:$D,"PO")/SUMIF('caseload data'!$C:$C,'divisional &amp; regional caseload%'!$T$29,'caseload data'!J:J),"")</f>
        <v/>
      </c>
      <c r="AA31" s="167" t="str">
        <f>IFERROR(SUMIFS('caseload data'!K:K,'caseload data'!$C:$C,'divisional &amp; regional caseload%'!$T$29,'caseload data'!$D:$D,"PO")/SUMIF('caseload data'!$C:$C,'divisional &amp; regional caseload%'!$T$29,'caseload data'!K:K),"")</f>
        <v/>
      </c>
      <c r="AB31" s="167" t="str">
        <f>IFERROR(SUMIFS('caseload data'!L:L,'caseload data'!$C:$C,'divisional &amp; regional caseload%'!$T$29,'caseload data'!$D:$D,"PO")/SUMIF('caseload data'!$C:$C,'divisional &amp; regional caseload%'!$T$29,'caseload data'!L:L),"")</f>
        <v/>
      </c>
      <c r="AC31" s="167" t="str">
        <f>IFERROR(SUMIFS('caseload data'!M:M,'caseload data'!$C:$C,'divisional &amp; regional caseload%'!$T$29,'caseload data'!$D:$D,"PO")/SUMIF('caseload data'!$C:$C,'divisional &amp; regional caseload%'!$T$29,'caseload data'!M:M),"")</f>
        <v/>
      </c>
      <c r="AD31" s="167" t="str">
        <f>IFERROR(SUMIFS('caseload data'!N:N,'caseload data'!$C:$C,'divisional &amp; regional caseload%'!$T$29,'caseload data'!$D:$D,"PO")/SUMIF('caseload data'!$C:$C,'divisional &amp; regional caseload%'!$T$29,'caseload data'!N:N),"")</f>
        <v/>
      </c>
      <c r="AE31" s="167" t="str">
        <f>IFERROR(SUMIFS('caseload data'!O:O,'caseload data'!$C:$C,'divisional &amp; regional caseload%'!$T$29,'caseload data'!$D:$D,"PO")/SUMIF('caseload data'!$C:$C,'divisional &amp; regional caseload%'!$T$29,'caseload data'!O:O),"")</f>
        <v/>
      </c>
      <c r="AF31" s="167" t="str">
        <f>IFERROR(SUMIFS('caseload data'!P:P,'caseload data'!$C:$C,'divisional &amp; regional caseload%'!$T$29,'caseload data'!$D:$D,"PO")/SUMIF('caseload data'!$C:$C,'divisional &amp; regional caseload%'!$T$29,'caseload data'!P:P),"")</f>
        <v/>
      </c>
      <c r="AG31" s="167" t="str">
        <f>IFERROR(SUMIFS('caseload data'!Q:Q,'caseload data'!$C:$C,'divisional &amp; regional caseload%'!$T$29,'caseload data'!$D:$D,"PO")/SUMIF('caseload data'!$C:$C,'divisional &amp; regional caseload%'!$T$29,'caseload data'!Q:Q),"")</f>
        <v/>
      </c>
      <c r="AH31" s="167" t="str">
        <f>IFERROR(SUMIFS('caseload data'!R:R,'caseload data'!$C:$C,'divisional &amp; regional caseload%'!$T$29,'caseload data'!$D:$D,"PO")/SUMIF('caseload data'!$C:$C,'divisional &amp; regional caseload%'!$T$29,'caseload data'!R:R),"")</f>
        <v/>
      </c>
      <c r="AI31" s="167" t="str">
        <f>IFERROR(SUMIFS('caseload data'!S:S,'caseload data'!$C:$C,'divisional &amp; regional caseload%'!$T$29,'caseload data'!$D:$D,"PO")/SUMIF('caseload data'!$C:$C,'divisional &amp; regional caseload%'!$T$29,'caseload data'!S:S),"")</f>
        <v/>
      </c>
      <c r="AJ31" s="167" t="str">
        <f>IFERROR(SUMIFS('caseload data'!T:T,'caseload data'!$C:$C,'divisional &amp; regional caseload%'!$T$29,'caseload data'!$D:$D,"PO")/SUMIF('caseload data'!$C:$C,'divisional &amp; regional caseload%'!$T$29,'caseload data'!T:T),"")</f>
        <v/>
      </c>
    </row>
    <row r="32" spans="2:36" x14ac:dyDescent="0.15">
      <c r="B32" s="97" t="s">
        <v>1007</v>
      </c>
      <c r="C32" s="167" t="str">
        <f>IFERROR(SUMIFS('caseload data'!E:E,'caseload data'!$C:$C,'divisional &amp; regional caseload%'!$B$29,'caseload data'!$D:$D,"PSO")/SUMIF('caseload data'!$C:$C,'divisional &amp; regional caseload%'!$B$29,'caseload data'!E:E),"")</f>
        <v/>
      </c>
      <c r="D32" s="167" t="str">
        <f>IFERROR(SUMIFS('caseload data'!F:F,'caseload data'!$C:$C,'divisional &amp; regional caseload%'!$B$29,'caseload data'!$D:$D,"PSO")/SUMIF('caseload data'!$C:$C,'divisional &amp; regional caseload%'!$B$29,'caseload data'!F:F),"")</f>
        <v/>
      </c>
      <c r="E32" s="167" t="str">
        <f>IFERROR(SUMIFS('caseload data'!G:G,'caseload data'!$C:$C,'divisional &amp; regional caseload%'!$B$29,'caseload data'!$D:$D,"PSO")/SUMIF('caseload data'!$C:$C,'divisional &amp; regional caseload%'!$B$29,'caseload data'!G:G),"")</f>
        <v/>
      </c>
      <c r="F32" s="167" t="str">
        <f>IFERROR(SUMIFS('caseload data'!H:H,'caseload data'!$C:$C,'divisional &amp; regional caseload%'!$B$29,'caseload data'!$D:$D,"PSO")/SUMIF('caseload data'!$C:$C,'divisional &amp; regional caseload%'!$B$29,'caseload data'!H:H),"")</f>
        <v/>
      </c>
      <c r="G32" s="167" t="str">
        <f>IFERROR(SUMIFS('caseload data'!I:I,'caseload data'!$C:$C,'divisional &amp; regional caseload%'!$B$29,'caseload data'!$D:$D,"PSO")/SUMIF('caseload data'!$C:$C,'divisional &amp; regional caseload%'!$B$29,'caseload data'!I:I),"")</f>
        <v/>
      </c>
      <c r="H32" s="167" t="str">
        <f>IFERROR(SUMIFS('caseload data'!J:J,'caseload data'!$C:$C,'divisional &amp; regional caseload%'!$B$29,'caseload data'!$D:$D,"PSO")/SUMIF('caseload data'!$C:$C,'divisional &amp; regional caseload%'!$B$29,'caseload data'!J:J),"")</f>
        <v/>
      </c>
      <c r="I32" s="167" t="str">
        <f>IFERROR(SUMIFS('caseload data'!K:K,'caseload data'!$C:$C,'divisional &amp; regional caseload%'!$B$29,'caseload data'!$D:$D,"PSO")/SUMIF('caseload data'!$C:$C,'divisional &amp; regional caseload%'!$B$29,'caseload data'!K:K),"")</f>
        <v/>
      </c>
      <c r="J32" s="167" t="str">
        <f>IFERROR(SUMIFS('caseload data'!L:L,'caseload data'!$C:$C,'divisional &amp; regional caseload%'!$B$29,'caseload data'!$D:$D,"PSO")/SUMIF('caseload data'!$C:$C,'divisional &amp; regional caseload%'!$B$29,'caseload data'!L:L),"")</f>
        <v/>
      </c>
      <c r="K32" s="167" t="str">
        <f>IFERROR(SUMIFS('caseload data'!M:M,'caseload data'!$C:$C,'divisional &amp; regional caseload%'!$B$29,'caseload data'!$D:$D,"PSO")/SUMIF('caseload data'!$C:$C,'divisional &amp; regional caseload%'!$B$29,'caseload data'!M:M),"")</f>
        <v/>
      </c>
      <c r="L32" s="167" t="str">
        <f>IFERROR(SUMIFS('caseload data'!N:N,'caseload data'!$C:$C,'divisional &amp; regional caseload%'!$B$29,'caseload data'!$D:$D,"PSO")/SUMIF('caseload data'!$C:$C,'divisional &amp; regional caseload%'!$B$29,'caseload data'!N:N),"")</f>
        <v/>
      </c>
      <c r="M32" s="167" t="str">
        <f>IFERROR(SUMIFS('caseload data'!O:O,'caseload data'!$C:$C,'divisional &amp; regional caseload%'!$B$29,'caseload data'!$D:$D,"PSO")/SUMIF('caseload data'!$C:$C,'divisional &amp; regional caseload%'!$B$29,'caseload data'!O:O),"")</f>
        <v/>
      </c>
      <c r="N32" s="167" t="str">
        <f>IFERROR(SUMIFS('caseload data'!P:P,'caseload data'!$C:$C,'divisional &amp; regional caseload%'!$B$29,'caseload data'!$D:$D,"PSO")/SUMIF('caseload data'!$C:$C,'divisional &amp; regional caseload%'!$B$29,'caseload data'!P:P),"")</f>
        <v/>
      </c>
      <c r="O32" s="167" t="str">
        <f>IFERROR(SUMIFS('caseload data'!Q:Q,'caseload data'!$C:$C,'divisional &amp; regional caseload%'!$B$29,'caseload data'!$D:$D,"PSO")/SUMIF('caseload data'!$C:$C,'divisional &amp; regional caseload%'!$B$29,'caseload data'!Q:Q),"")</f>
        <v/>
      </c>
      <c r="P32" s="167" t="str">
        <f>IFERROR(SUMIFS('caseload data'!R:R,'caseload data'!$C:$C,'divisional &amp; regional caseload%'!$B$29,'caseload data'!$D:$D,"PSO")/SUMIF('caseload data'!$C:$C,'divisional &amp; regional caseload%'!$B$29,'caseload data'!R:R),"")</f>
        <v/>
      </c>
      <c r="Q32" s="167" t="str">
        <f>IFERROR(SUMIFS('caseload data'!S:S,'caseload data'!$C:$C,'divisional &amp; regional caseload%'!$B$29,'caseload data'!$D:$D,"PSO")/SUMIF('caseload data'!$C:$C,'divisional &amp; regional caseload%'!$B$29,'caseload data'!S:S),"")</f>
        <v/>
      </c>
      <c r="R32" s="167" t="str">
        <f>IFERROR(SUMIFS('caseload data'!T:T,'caseload data'!$C:$C,'divisional &amp; regional caseload%'!$B$29,'caseload data'!$D:$D,"PSO")/SUMIF('caseload data'!$C:$C,'divisional &amp; regional caseload%'!$B$29,'caseload data'!T:T),"")</f>
        <v/>
      </c>
      <c r="S32" s="64"/>
      <c r="T32" s="97" t="s">
        <v>1007</v>
      </c>
      <c r="U32" s="167" t="str">
        <f>IFERROR(SUMIFS('caseload data'!E:E,'caseload data'!$C:$C,'divisional &amp; regional caseload%'!$T$29,'caseload data'!$D:$D,"PSO")/SUMIF('caseload data'!$C:$C,'divisional &amp; regional caseload%'!$T$29,'caseload data'!E:E),"")</f>
        <v/>
      </c>
      <c r="V32" s="167" t="str">
        <f>IFERROR(SUMIFS('caseload data'!F:F,'caseload data'!$C:$C,'divisional &amp; regional caseload%'!$T$29,'caseload data'!$D:$D,"PSO")/SUMIF('caseload data'!$C:$C,'divisional &amp; regional caseload%'!$T$29,'caseload data'!F:F),"")</f>
        <v/>
      </c>
      <c r="W32" s="167" t="str">
        <f>IFERROR(SUMIFS('caseload data'!G:G,'caseload data'!$C:$C,'divisional &amp; regional caseload%'!$T$29,'caseload data'!$D:$D,"PSO")/SUMIF('caseload data'!$C:$C,'divisional &amp; regional caseload%'!$T$29,'caseload data'!G:G),"")</f>
        <v/>
      </c>
      <c r="X32" s="167" t="str">
        <f>IFERROR(SUMIFS('caseload data'!H:H,'caseload data'!$C:$C,'divisional &amp; regional caseload%'!$T$29,'caseload data'!$D:$D,"PSO")/SUMIF('caseload data'!$C:$C,'divisional &amp; regional caseload%'!$T$29,'caseload data'!H:H),"")</f>
        <v/>
      </c>
      <c r="Y32" s="167" t="str">
        <f>IFERROR(SUMIFS('caseload data'!I:I,'caseload data'!$C:$C,'divisional &amp; regional caseload%'!$T$29,'caseload data'!$D:$D,"PSO")/SUMIF('caseload data'!$C:$C,'divisional &amp; regional caseload%'!$T$29,'caseload data'!I:I),"")</f>
        <v/>
      </c>
      <c r="Z32" s="167" t="str">
        <f>IFERROR(SUMIFS('caseload data'!J:J,'caseload data'!$C:$C,'divisional &amp; regional caseload%'!$T$29,'caseload data'!$D:$D,"PSO")/SUMIF('caseload data'!$C:$C,'divisional &amp; regional caseload%'!$T$29,'caseload data'!J:J),"")</f>
        <v/>
      </c>
      <c r="AA32" s="167" t="str">
        <f>IFERROR(SUMIFS('caseload data'!K:K,'caseload data'!$C:$C,'divisional &amp; regional caseload%'!$T$29,'caseload data'!$D:$D,"PSO")/SUMIF('caseload data'!$C:$C,'divisional &amp; regional caseload%'!$T$29,'caseload data'!K:K),"")</f>
        <v/>
      </c>
      <c r="AB32" s="167" t="str">
        <f>IFERROR(SUMIFS('caseload data'!L:L,'caseload data'!$C:$C,'divisional &amp; regional caseload%'!$T$29,'caseload data'!$D:$D,"PSO")/SUMIF('caseload data'!$C:$C,'divisional &amp; regional caseload%'!$T$29,'caseload data'!L:L),"")</f>
        <v/>
      </c>
      <c r="AC32" s="167" t="str">
        <f>IFERROR(SUMIFS('caseload data'!M:M,'caseload data'!$C:$C,'divisional &amp; regional caseload%'!$T$29,'caseload data'!$D:$D,"PSO")/SUMIF('caseload data'!$C:$C,'divisional &amp; regional caseload%'!$T$29,'caseload data'!M:M),"")</f>
        <v/>
      </c>
      <c r="AD32" s="167" t="str">
        <f>IFERROR(SUMIFS('caseload data'!N:N,'caseload data'!$C:$C,'divisional &amp; regional caseload%'!$T$29,'caseload data'!$D:$D,"PSO")/SUMIF('caseload data'!$C:$C,'divisional &amp; regional caseload%'!$T$29,'caseload data'!N:N),"")</f>
        <v/>
      </c>
      <c r="AE32" s="167" t="str">
        <f>IFERROR(SUMIFS('caseload data'!O:O,'caseload data'!$C:$C,'divisional &amp; regional caseload%'!$T$29,'caseload data'!$D:$D,"PSO")/SUMIF('caseload data'!$C:$C,'divisional &amp; regional caseload%'!$T$29,'caseload data'!O:O),"")</f>
        <v/>
      </c>
      <c r="AF32" s="167" t="str">
        <f>IFERROR(SUMIFS('caseload data'!P:P,'caseload data'!$C:$C,'divisional &amp; regional caseload%'!$T$29,'caseload data'!$D:$D,"PSO")/SUMIF('caseload data'!$C:$C,'divisional &amp; regional caseload%'!$T$29,'caseload data'!P:P),"")</f>
        <v/>
      </c>
      <c r="AG32" s="167" t="str">
        <f>IFERROR(SUMIFS('caseload data'!Q:Q,'caseload data'!$C:$C,'divisional &amp; regional caseload%'!$T$29,'caseload data'!$D:$D,"PSO")/SUMIF('caseload data'!$C:$C,'divisional &amp; regional caseload%'!$T$29,'caseload data'!Q:Q),"")</f>
        <v/>
      </c>
      <c r="AH32" s="167" t="str">
        <f>IFERROR(SUMIFS('caseload data'!R:R,'caseload data'!$C:$C,'divisional &amp; regional caseload%'!$T$29,'caseload data'!$D:$D,"PSO")/SUMIF('caseload data'!$C:$C,'divisional &amp; regional caseload%'!$T$29,'caseload data'!R:R),"")</f>
        <v/>
      </c>
      <c r="AI32" s="167" t="str">
        <f>IFERROR(SUMIFS('caseload data'!S:S,'caseload data'!$C:$C,'divisional &amp; regional caseload%'!$T$29,'caseload data'!$D:$D,"PSO")/SUMIF('caseload data'!$C:$C,'divisional &amp; regional caseload%'!$T$29,'caseload data'!S:S),"")</f>
        <v/>
      </c>
      <c r="AJ32" s="167" t="str">
        <f>IFERROR(SUMIFS('caseload data'!T:T,'caseload data'!$C:$C,'divisional &amp; regional caseload%'!$T$29,'caseload data'!$D:$D,"PSO")/SUMIF('caseload data'!$C:$C,'divisional &amp; regional caseload%'!$T$29,'caseload data'!T:T),"")</f>
        <v/>
      </c>
    </row>
    <row r="33" spans="2:36" x14ac:dyDescent="0.15">
      <c r="B33" s="97" t="s">
        <v>1008</v>
      </c>
      <c r="C33" s="167" t="str">
        <f>IFERROR(SUMIFS('caseload data'!E:E,'caseload data'!$C:$C,'divisional &amp; regional caseload%'!$B$29,'caseload data'!$D:$D,"TPO")/SUMIF('caseload data'!$C:$C,'divisional &amp; regional caseload%'!$B$29,'caseload data'!E:E),"")</f>
        <v/>
      </c>
      <c r="D33" s="167" t="str">
        <f>IFERROR(SUMIFS('caseload data'!F:F,'caseload data'!$C:$C,'divisional &amp; regional caseload%'!$B$29,'caseload data'!$D:$D,"TPO")/SUMIF('caseload data'!$C:$C,'divisional &amp; regional caseload%'!$B$29,'caseload data'!F:F),"")</f>
        <v/>
      </c>
      <c r="E33" s="167" t="str">
        <f>IFERROR(SUMIFS('caseload data'!G:G,'caseload data'!$C:$C,'divisional &amp; regional caseload%'!$B$29,'caseload data'!$D:$D,"TPO")/SUMIF('caseload data'!$C:$C,'divisional &amp; regional caseload%'!$B$29,'caseload data'!G:G),"")</f>
        <v/>
      </c>
      <c r="F33" s="167" t="str">
        <f>IFERROR(SUMIFS('caseload data'!H:H,'caseload data'!$C:$C,'divisional &amp; regional caseload%'!$B$29,'caseload data'!$D:$D,"TPO")/SUMIF('caseload data'!$C:$C,'divisional &amp; regional caseload%'!$B$29,'caseload data'!H:H),"")</f>
        <v/>
      </c>
      <c r="G33" s="167" t="str">
        <f>IFERROR(SUMIFS('caseload data'!I:I,'caseload data'!$C:$C,'divisional &amp; regional caseload%'!$B$29,'caseload data'!$D:$D,"TPO")/SUMIF('caseload data'!$C:$C,'divisional &amp; regional caseload%'!$B$29,'caseload data'!I:I),"")</f>
        <v/>
      </c>
      <c r="H33" s="167" t="str">
        <f>IFERROR(SUMIFS('caseload data'!J:J,'caseload data'!$C:$C,'divisional &amp; regional caseload%'!$B$29,'caseload data'!$D:$D,"TPO")/SUMIF('caseload data'!$C:$C,'divisional &amp; regional caseload%'!$B$29,'caseload data'!J:J),"")</f>
        <v/>
      </c>
      <c r="I33" s="167" t="str">
        <f>IFERROR(SUMIFS('caseload data'!K:K,'caseload data'!$C:$C,'divisional &amp; regional caseload%'!$B$29,'caseload data'!$D:$D,"TPO")/SUMIF('caseload data'!$C:$C,'divisional &amp; regional caseload%'!$B$29,'caseload data'!K:K),"")</f>
        <v/>
      </c>
      <c r="J33" s="167" t="str">
        <f>IFERROR(SUMIFS('caseload data'!L:L,'caseload data'!$C:$C,'divisional &amp; regional caseload%'!$B$29,'caseload data'!$D:$D,"TPO")/SUMIF('caseload data'!$C:$C,'divisional &amp; regional caseload%'!$B$29,'caseload data'!L:L),"")</f>
        <v/>
      </c>
      <c r="K33" s="167" t="str">
        <f>IFERROR(SUMIFS('caseload data'!M:M,'caseload data'!$C:$C,'divisional &amp; regional caseload%'!$B$29,'caseload data'!$D:$D,"TPO")/SUMIF('caseload data'!$C:$C,'divisional &amp; regional caseload%'!$B$29,'caseload data'!M:M),"")</f>
        <v/>
      </c>
      <c r="L33" s="167" t="str">
        <f>IFERROR(SUMIFS('caseload data'!N:N,'caseload data'!$C:$C,'divisional &amp; regional caseload%'!$B$29,'caseload data'!$D:$D,"TPO")/SUMIF('caseload data'!$C:$C,'divisional &amp; regional caseload%'!$B$29,'caseload data'!N:N),"")</f>
        <v/>
      </c>
      <c r="M33" s="167" t="str">
        <f>IFERROR(SUMIFS('caseload data'!O:O,'caseload data'!$C:$C,'divisional &amp; regional caseload%'!$B$29,'caseload data'!$D:$D,"TPO")/SUMIF('caseload data'!$C:$C,'divisional &amp; regional caseload%'!$B$29,'caseload data'!O:O),"")</f>
        <v/>
      </c>
      <c r="N33" s="167" t="str">
        <f>IFERROR(SUMIFS('caseload data'!P:P,'caseload data'!$C:$C,'divisional &amp; regional caseload%'!$B$29,'caseload data'!$D:$D,"TPO")/SUMIF('caseload data'!$C:$C,'divisional &amp; regional caseload%'!$B$29,'caseload data'!P:P),"")</f>
        <v/>
      </c>
      <c r="O33" s="167" t="str">
        <f>IFERROR(SUMIFS('caseload data'!Q:Q,'caseload data'!$C:$C,'divisional &amp; regional caseload%'!$B$29,'caseload data'!$D:$D,"TPO")/SUMIF('caseload data'!$C:$C,'divisional &amp; regional caseload%'!$B$29,'caseload data'!Q:Q),"")</f>
        <v/>
      </c>
      <c r="P33" s="167" t="str">
        <f>IFERROR(SUMIFS('caseload data'!R:R,'caseload data'!$C:$C,'divisional &amp; regional caseload%'!$B$29,'caseload data'!$D:$D,"TPO")/SUMIF('caseload data'!$C:$C,'divisional &amp; regional caseload%'!$B$29,'caseload data'!R:R),"")</f>
        <v/>
      </c>
      <c r="Q33" s="167" t="str">
        <f>IFERROR(SUMIFS('caseload data'!S:S,'caseload data'!$C:$C,'divisional &amp; regional caseload%'!$B$29,'caseload data'!$D:$D,"TPO")/SUMIF('caseload data'!$C:$C,'divisional &amp; regional caseload%'!$B$29,'caseload data'!S:S),"")</f>
        <v/>
      </c>
      <c r="R33" s="167" t="str">
        <f>IFERROR(SUMIFS('caseload data'!T:T,'caseload data'!$C:$C,'divisional &amp; regional caseload%'!$B$29,'caseload data'!$D:$D,"TPO")/SUMIF('caseload data'!$C:$C,'divisional &amp; regional caseload%'!$B$29,'caseload data'!T:T),"")</f>
        <v/>
      </c>
      <c r="S33" s="64"/>
      <c r="T33" s="97" t="s">
        <v>1008</v>
      </c>
      <c r="U33" s="167" t="str">
        <f>IFERROR(SUMIFS('caseload data'!E:E,'caseload data'!$C:$C,'divisional &amp; regional caseload%'!$T$29,'caseload data'!$D:$D,"TPO")/SUMIF('caseload data'!$C:$C,'divisional &amp; regional caseload%'!$T$29,'caseload data'!E:E),"")</f>
        <v/>
      </c>
      <c r="V33" s="167" t="str">
        <f>IFERROR(SUMIFS('caseload data'!F:F,'caseload data'!$C:$C,'divisional &amp; regional caseload%'!$T$29,'caseload data'!$D:$D,"TPO")/SUMIF('caseload data'!$C:$C,'divisional &amp; regional caseload%'!$T$29,'caseload data'!F:F),"")</f>
        <v/>
      </c>
      <c r="W33" s="167" t="str">
        <f>IFERROR(SUMIFS('caseload data'!G:G,'caseload data'!$C:$C,'divisional &amp; regional caseload%'!$T$29,'caseload data'!$D:$D,"TPO")/SUMIF('caseload data'!$C:$C,'divisional &amp; regional caseload%'!$T$29,'caseload data'!G:G),"")</f>
        <v/>
      </c>
      <c r="X33" s="167" t="str">
        <f>IFERROR(SUMIFS('caseload data'!H:H,'caseload data'!$C:$C,'divisional &amp; regional caseload%'!$T$29,'caseload data'!$D:$D,"TPO")/SUMIF('caseload data'!$C:$C,'divisional &amp; regional caseload%'!$T$29,'caseload data'!H:H),"")</f>
        <v/>
      </c>
      <c r="Y33" s="167" t="str">
        <f>IFERROR(SUMIFS('caseload data'!I:I,'caseload data'!$C:$C,'divisional &amp; regional caseload%'!$T$29,'caseload data'!$D:$D,"TPO")/SUMIF('caseload data'!$C:$C,'divisional &amp; regional caseload%'!$T$29,'caseload data'!I:I),"")</f>
        <v/>
      </c>
      <c r="Z33" s="167" t="str">
        <f>IFERROR(SUMIFS('caseload data'!J:J,'caseload data'!$C:$C,'divisional &amp; regional caseload%'!$T$29,'caseload data'!$D:$D,"TPO")/SUMIF('caseload data'!$C:$C,'divisional &amp; regional caseload%'!$T$29,'caseload data'!J:J),"")</f>
        <v/>
      </c>
      <c r="AA33" s="167" t="str">
        <f>IFERROR(SUMIFS('caseload data'!K:K,'caseload data'!$C:$C,'divisional &amp; regional caseload%'!$T$29,'caseload data'!$D:$D,"TPO")/SUMIF('caseload data'!$C:$C,'divisional &amp; regional caseload%'!$T$29,'caseload data'!K:K),"")</f>
        <v/>
      </c>
      <c r="AB33" s="167" t="str">
        <f>IFERROR(SUMIFS('caseload data'!L:L,'caseload data'!$C:$C,'divisional &amp; regional caseload%'!$T$29,'caseload data'!$D:$D,"TPO")/SUMIF('caseload data'!$C:$C,'divisional &amp; regional caseload%'!$T$29,'caseload data'!L:L),"")</f>
        <v/>
      </c>
      <c r="AC33" s="167" t="str">
        <f>IFERROR(SUMIFS('caseload data'!M:M,'caseload data'!$C:$C,'divisional &amp; regional caseload%'!$T$29,'caseload data'!$D:$D,"TPO")/SUMIF('caseload data'!$C:$C,'divisional &amp; regional caseload%'!$T$29,'caseload data'!M:M),"")</f>
        <v/>
      </c>
      <c r="AD33" s="167" t="str">
        <f>IFERROR(SUMIFS('caseload data'!N:N,'caseload data'!$C:$C,'divisional &amp; regional caseload%'!$T$29,'caseload data'!$D:$D,"TPO")/SUMIF('caseload data'!$C:$C,'divisional &amp; regional caseload%'!$T$29,'caseload data'!N:N),"")</f>
        <v/>
      </c>
      <c r="AE33" s="167" t="str">
        <f>IFERROR(SUMIFS('caseload data'!O:O,'caseload data'!$C:$C,'divisional &amp; regional caseload%'!$T$29,'caseload data'!$D:$D,"TPO")/SUMIF('caseload data'!$C:$C,'divisional &amp; regional caseload%'!$T$29,'caseload data'!O:O),"")</f>
        <v/>
      </c>
      <c r="AF33" s="167" t="str">
        <f>IFERROR(SUMIFS('caseload data'!P:P,'caseload data'!$C:$C,'divisional &amp; regional caseload%'!$T$29,'caseload data'!$D:$D,"TPO")/SUMIF('caseload data'!$C:$C,'divisional &amp; regional caseload%'!$T$29,'caseload data'!P:P),"")</f>
        <v/>
      </c>
      <c r="AG33" s="167" t="str">
        <f>IFERROR(SUMIFS('caseload data'!Q:Q,'caseload data'!$C:$C,'divisional &amp; regional caseload%'!$T$29,'caseload data'!$D:$D,"TPO")/SUMIF('caseload data'!$C:$C,'divisional &amp; regional caseload%'!$T$29,'caseload data'!Q:Q),"")</f>
        <v/>
      </c>
      <c r="AH33" s="167" t="str">
        <f>IFERROR(SUMIFS('caseload data'!R:R,'caseload data'!$C:$C,'divisional &amp; regional caseload%'!$T$29,'caseload data'!$D:$D,"TPO")/SUMIF('caseload data'!$C:$C,'divisional &amp; regional caseload%'!$T$29,'caseload data'!R:R),"")</f>
        <v/>
      </c>
      <c r="AI33" s="167" t="str">
        <f>IFERROR(SUMIFS('caseload data'!S:S,'caseload data'!$C:$C,'divisional &amp; regional caseload%'!$T$29,'caseload data'!$D:$D,"TPO")/SUMIF('caseload data'!$C:$C,'divisional &amp; regional caseload%'!$T$29,'caseload data'!S:S),"")</f>
        <v/>
      </c>
      <c r="AJ33" s="167" t="str">
        <f>IFERROR(SUMIFS('caseload data'!T:T,'caseload data'!$C:$C,'divisional &amp; regional caseload%'!$T$29,'caseload data'!$D:$D,"TPO")/SUMIF('caseload data'!$C:$C,'divisional &amp; regional caseload%'!$T$29,'caseload data'!T:T),"")</f>
        <v/>
      </c>
    </row>
    <row r="34" spans="2:36" x14ac:dyDescent="0.15">
      <c r="B34" s="98" t="s">
        <v>1009</v>
      </c>
      <c r="C34" s="167" t="str">
        <f>IFERROR(SUMIFS('caseload data'!E:E,'caseload data'!$C:$C,'divisional &amp; regional caseload%'!$B$29,'caseload data'!$D:$D,"SPO")/SUMIF('caseload data'!$C:$C,'divisional &amp; regional caseload%'!$B$29,'caseload data'!E:E),"")</f>
        <v/>
      </c>
      <c r="D34" s="167" t="str">
        <f>IFERROR(SUMIFS('caseload data'!F:F,'caseload data'!$C:$C,'divisional &amp; regional caseload%'!$B$29,'caseload data'!$D:$D,"SPO")/SUMIF('caseload data'!$C:$C,'divisional &amp; regional caseload%'!$B$29,'caseload data'!F:F),"")</f>
        <v/>
      </c>
      <c r="E34" s="167" t="str">
        <f>IFERROR(SUMIFS('caseload data'!G:G,'caseload data'!$C:$C,'divisional &amp; regional caseload%'!$B$29,'caseload data'!$D:$D,"SPO")/SUMIF('caseload data'!$C:$C,'divisional &amp; regional caseload%'!$B$29,'caseload data'!G:G),"")</f>
        <v/>
      </c>
      <c r="F34" s="167" t="str">
        <f>IFERROR(SUMIFS('caseload data'!H:H,'caseload data'!$C:$C,'divisional &amp; regional caseload%'!$B$29,'caseload data'!$D:$D,"SPO")/SUMIF('caseload data'!$C:$C,'divisional &amp; regional caseload%'!$B$29,'caseload data'!H:H),"")</f>
        <v/>
      </c>
      <c r="G34" s="167" t="str">
        <f>IFERROR(SUMIFS('caseload data'!I:I,'caseload data'!$C:$C,'divisional &amp; regional caseload%'!$B$29,'caseload data'!$D:$D,"SPO")/SUMIF('caseload data'!$C:$C,'divisional &amp; regional caseload%'!$B$29,'caseload data'!I:I),"")</f>
        <v/>
      </c>
      <c r="H34" s="167" t="str">
        <f>IFERROR(SUMIFS('caseload data'!J:J,'caseload data'!$C:$C,'divisional &amp; regional caseload%'!$B$29,'caseload data'!$D:$D,"SPO")/SUMIF('caseload data'!$C:$C,'divisional &amp; regional caseload%'!$B$29,'caseload data'!J:J),"")</f>
        <v/>
      </c>
      <c r="I34" s="167" t="str">
        <f>IFERROR(SUMIFS('caseload data'!K:K,'caseload data'!$C:$C,'divisional &amp; regional caseload%'!$B$29,'caseload data'!$D:$D,"SPO")/SUMIF('caseload data'!$C:$C,'divisional &amp; regional caseload%'!$B$29,'caseload data'!K:K),"")</f>
        <v/>
      </c>
      <c r="J34" s="167" t="str">
        <f>IFERROR(SUMIFS('caseload data'!L:L,'caseload data'!$C:$C,'divisional &amp; regional caseload%'!$B$29,'caseload data'!$D:$D,"SPO")/SUMIF('caseload data'!$C:$C,'divisional &amp; regional caseload%'!$B$29,'caseload data'!L:L),"")</f>
        <v/>
      </c>
      <c r="K34" s="167" t="str">
        <f>IFERROR(SUMIFS('caseload data'!M:M,'caseload data'!$C:$C,'divisional &amp; regional caseload%'!$B$29,'caseload data'!$D:$D,"SPO")/SUMIF('caseload data'!$C:$C,'divisional &amp; regional caseload%'!$B$29,'caseload data'!M:M),"")</f>
        <v/>
      </c>
      <c r="L34" s="167" t="str">
        <f>IFERROR(SUMIFS('caseload data'!N:N,'caseload data'!$C:$C,'divisional &amp; regional caseload%'!$B$29,'caseload data'!$D:$D,"SPO")/SUMIF('caseload data'!$C:$C,'divisional &amp; regional caseload%'!$B$29,'caseload data'!N:N),"")</f>
        <v/>
      </c>
      <c r="M34" s="167" t="str">
        <f>IFERROR(SUMIFS('caseload data'!O:O,'caseload data'!$C:$C,'divisional &amp; regional caseload%'!$B$29,'caseload data'!$D:$D,"SPO")/SUMIF('caseload data'!$C:$C,'divisional &amp; regional caseload%'!$B$29,'caseload data'!O:O),"")</f>
        <v/>
      </c>
      <c r="N34" s="167" t="str">
        <f>IFERROR(SUMIFS('caseload data'!P:P,'caseload data'!$C:$C,'divisional &amp; regional caseload%'!$B$29,'caseload data'!$D:$D,"SPO")/SUMIF('caseload data'!$C:$C,'divisional &amp; regional caseload%'!$B$29,'caseload data'!P:P),"")</f>
        <v/>
      </c>
      <c r="O34" s="167" t="str">
        <f>IFERROR(SUMIFS('caseload data'!Q:Q,'caseload data'!$C:$C,'divisional &amp; regional caseload%'!$B$29,'caseload data'!$D:$D,"SPO")/SUMIF('caseload data'!$C:$C,'divisional &amp; regional caseload%'!$B$29,'caseload data'!Q:Q),"")</f>
        <v/>
      </c>
      <c r="P34" s="167" t="str">
        <f>IFERROR(SUMIFS('caseload data'!R:R,'caseload data'!$C:$C,'divisional &amp; regional caseload%'!$B$29,'caseload data'!$D:$D,"SPO")/SUMIF('caseload data'!$C:$C,'divisional &amp; regional caseload%'!$B$29,'caseload data'!R:R),"")</f>
        <v/>
      </c>
      <c r="Q34" s="167" t="str">
        <f>IFERROR(SUMIFS('caseload data'!S:S,'caseload data'!$C:$C,'divisional &amp; regional caseload%'!$B$29,'caseload data'!$D:$D,"SPO")/SUMIF('caseload data'!$C:$C,'divisional &amp; regional caseload%'!$B$29,'caseload data'!S:S),"")</f>
        <v/>
      </c>
      <c r="R34" s="167" t="str">
        <f>IFERROR(SUMIFS('caseload data'!T:T,'caseload data'!$C:$C,'divisional &amp; regional caseload%'!$B$29,'caseload data'!$D:$D,"SPO")/SUMIF('caseload data'!$C:$C,'divisional &amp; regional caseload%'!$B$29,'caseload data'!T:T),"")</f>
        <v/>
      </c>
      <c r="S34" s="64"/>
      <c r="T34" s="98" t="s">
        <v>1009</v>
      </c>
      <c r="U34" s="167" t="str">
        <f>IFERROR(SUMIFS('caseload data'!E:E,'caseload data'!$C:$C,'divisional &amp; regional caseload%'!$T$29,'caseload data'!$D:$D,"SPO")/SUMIF('caseload data'!$C:$C,'divisional &amp; regional caseload%'!$T$29,'caseload data'!E:E),"")</f>
        <v/>
      </c>
      <c r="V34" s="167" t="str">
        <f>IFERROR(SUMIFS('caseload data'!F:F,'caseload data'!$C:$C,'divisional &amp; regional caseload%'!$T$29,'caseload data'!$D:$D,"SPO")/SUMIF('caseload data'!$C:$C,'divisional &amp; regional caseload%'!$T$29,'caseload data'!F:F),"")</f>
        <v/>
      </c>
      <c r="W34" s="167" t="str">
        <f>IFERROR(SUMIFS('caseload data'!G:G,'caseload data'!$C:$C,'divisional &amp; regional caseload%'!$T$29,'caseload data'!$D:$D,"SPO")/SUMIF('caseload data'!$C:$C,'divisional &amp; regional caseload%'!$T$29,'caseload data'!G:G),"")</f>
        <v/>
      </c>
      <c r="X34" s="167" t="str">
        <f>IFERROR(SUMIFS('caseload data'!H:H,'caseload data'!$C:$C,'divisional &amp; regional caseload%'!$T$29,'caseload data'!$D:$D,"SPO")/SUMIF('caseload data'!$C:$C,'divisional &amp; regional caseload%'!$T$29,'caseload data'!H:H),"")</f>
        <v/>
      </c>
      <c r="Y34" s="167" t="str">
        <f>IFERROR(SUMIFS('caseload data'!I:I,'caseload data'!$C:$C,'divisional &amp; regional caseload%'!$T$29,'caseload data'!$D:$D,"SPO")/SUMIF('caseload data'!$C:$C,'divisional &amp; regional caseload%'!$T$29,'caseload data'!I:I),"")</f>
        <v/>
      </c>
      <c r="Z34" s="167" t="str">
        <f>IFERROR(SUMIFS('caseload data'!J:J,'caseload data'!$C:$C,'divisional &amp; regional caseload%'!$T$29,'caseload data'!$D:$D,"SPO")/SUMIF('caseload data'!$C:$C,'divisional &amp; regional caseload%'!$T$29,'caseload data'!J:J),"")</f>
        <v/>
      </c>
      <c r="AA34" s="167" t="str">
        <f>IFERROR(SUMIFS('caseload data'!K:K,'caseload data'!$C:$C,'divisional &amp; regional caseload%'!$T$29,'caseload data'!$D:$D,"SPO")/SUMIF('caseload data'!$C:$C,'divisional &amp; regional caseload%'!$T$29,'caseload data'!K:K),"")</f>
        <v/>
      </c>
      <c r="AB34" s="167" t="str">
        <f>IFERROR(SUMIFS('caseload data'!L:L,'caseload data'!$C:$C,'divisional &amp; regional caseload%'!$T$29,'caseload data'!$D:$D,"SPO")/SUMIF('caseload data'!$C:$C,'divisional &amp; regional caseload%'!$T$29,'caseload data'!L:L),"")</f>
        <v/>
      </c>
      <c r="AC34" s="167" t="str">
        <f>IFERROR(SUMIFS('caseload data'!M:M,'caseload data'!$C:$C,'divisional &amp; regional caseload%'!$T$29,'caseload data'!$D:$D,"SPO")/SUMIF('caseload data'!$C:$C,'divisional &amp; regional caseload%'!$T$29,'caseload data'!M:M),"")</f>
        <v/>
      </c>
      <c r="AD34" s="167" t="str">
        <f>IFERROR(SUMIFS('caseload data'!N:N,'caseload data'!$C:$C,'divisional &amp; regional caseload%'!$T$29,'caseload data'!$D:$D,"SPO")/SUMIF('caseload data'!$C:$C,'divisional &amp; regional caseload%'!$T$29,'caseload data'!N:N),"")</f>
        <v/>
      </c>
      <c r="AE34" s="167" t="str">
        <f>IFERROR(SUMIFS('caseload data'!O:O,'caseload data'!$C:$C,'divisional &amp; regional caseload%'!$T$29,'caseload data'!$D:$D,"SPO")/SUMIF('caseload data'!$C:$C,'divisional &amp; regional caseload%'!$T$29,'caseload data'!O:O),"")</f>
        <v/>
      </c>
      <c r="AF34" s="167" t="str">
        <f>IFERROR(SUMIFS('caseload data'!P:P,'caseload data'!$C:$C,'divisional &amp; regional caseload%'!$T$29,'caseload data'!$D:$D,"SPO")/SUMIF('caseload data'!$C:$C,'divisional &amp; regional caseload%'!$T$29,'caseload data'!P:P),"")</f>
        <v/>
      </c>
      <c r="AG34" s="167" t="str">
        <f>IFERROR(SUMIFS('caseload data'!Q:Q,'caseload data'!$C:$C,'divisional &amp; regional caseload%'!$T$29,'caseload data'!$D:$D,"SPO")/SUMIF('caseload data'!$C:$C,'divisional &amp; regional caseload%'!$T$29,'caseload data'!Q:Q),"")</f>
        <v/>
      </c>
      <c r="AH34" s="167" t="str">
        <f>IFERROR(SUMIFS('caseload data'!R:R,'caseload data'!$C:$C,'divisional &amp; regional caseload%'!$T$29,'caseload data'!$D:$D,"SPO")/SUMIF('caseload data'!$C:$C,'divisional &amp; regional caseload%'!$T$29,'caseload data'!R:R),"")</f>
        <v/>
      </c>
      <c r="AI34" s="167" t="str">
        <f>IFERROR(SUMIFS('caseload data'!S:S,'caseload data'!$C:$C,'divisional &amp; regional caseload%'!$T$29,'caseload data'!$D:$D,"SPO")/SUMIF('caseload data'!$C:$C,'divisional &amp; regional caseload%'!$T$29,'caseload data'!S:S),"")</f>
        <v/>
      </c>
      <c r="AJ34" s="167" t="str">
        <f>IFERROR(SUMIFS('caseload data'!T:T,'caseload data'!$C:$C,'divisional &amp; regional caseload%'!$T$29,'caseload data'!$D:$D,"SPO")/SUMIF('caseload data'!$C:$C,'divisional &amp; regional caseload%'!$T$29,'caseload data'!T:T),"")</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289">
        <f>HLOOKUP($B$5,Region_Table,10,0)</f>
        <v>0</v>
      </c>
      <c r="C36" s="523" t="s">
        <v>1101</v>
      </c>
      <c r="D36" s="524"/>
      <c r="E36" s="524"/>
      <c r="F36" s="524"/>
      <c r="G36" s="524"/>
      <c r="H36" s="524"/>
      <c r="I36" s="524"/>
      <c r="J36" s="524"/>
      <c r="K36" s="524"/>
      <c r="L36" s="524"/>
      <c r="M36" s="525"/>
      <c r="N36" s="525"/>
      <c r="O36" s="526"/>
      <c r="P36" s="510">
        <f>SUMIF('caseload data'!$C:$C,'divisional &amp; regional caseload%'!B36,'caseload data'!V:V)</f>
        <v>0</v>
      </c>
      <c r="Q36" s="527"/>
      <c r="R36" s="528"/>
      <c r="S36" s="64"/>
      <c r="T36" s="289">
        <f>HLOOKUP($B$5,Region_Table,11,0)</f>
        <v>0</v>
      </c>
      <c r="U36" s="523" t="s">
        <v>1101</v>
      </c>
      <c r="V36" s="524"/>
      <c r="W36" s="524"/>
      <c r="X36" s="524"/>
      <c r="Y36" s="524"/>
      <c r="Z36" s="524"/>
      <c r="AA36" s="524"/>
      <c r="AB36" s="524"/>
      <c r="AC36" s="524"/>
      <c r="AD36" s="524"/>
      <c r="AE36" s="525"/>
      <c r="AF36" s="525"/>
      <c r="AG36" s="526"/>
      <c r="AH36" s="510">
        <f>SUMIF('caseload data'!$C:$C,'divisional &amp; regional caseload%'!T36,'caseload data'!V:V)</f>
        <v>0</v>
      </c>
      <c r="AI36" s="527"/>
      <c r="AJ36" s="528"/>
    </row>
    <row r="37" spans="2:36" x14ac:dyDescent="0.15">
      <c r="B37" s="95" t="s">
        <v>1006</v>
      </c>
      <c r="C37" s="38" t="s">
        <v>869</v>
      </c>
      <c r="D37" s="38" t="s">
        <v>870</v>
      </c>
      <c r="E37" s="38" t="s">
        <v>871</v>
      </c>
      <c r="F37" s="38" t="s">
        <v>872</v>
      </c>
      <c r="G37" s="38" t="s">
        <v>873</v>
      </c>
      <c r="H37" s="38" t="s">
        <v>874</v>
      </c>
      <c r="I37" s="38" t="s">
        <v>875</v>
      </c>
      <c r="J37" s="38" t="s">
        <v>876</v>
      </c>
      <c r="K37" s="38" t="s">
        <v>877</v>
      </c>
      <c r="L37" s="38" t="s">
        <v>878</v>
      </c>
      <c r="M37" s="38" t="s">
        <v>879</v>
      </c>
      <c r="N37" s="38" t="s">
        <v>880</v>
      </c>
      <c r="O37" s="38" t="s">
        <v>881</v>
      </c>
      <c r="P37" s="38" t="s">
        <v>882</v>
      </c>
      <c r="Q37" s="38" t="s">
        <v>883</v>
      </c>
      <c r="R37" s="38" t="s">
        <v>884</v>
      </c>
      <c r="S37" s="64"/>
      <c r="T37" s="95" t="s">
        <v>1006</v>
      </c>
      <c r="U37" s="38" t="s">
        <v>869</v>
      </c>
      <c r="V37" s="38" t="s">
        <v>870</v>
      </c>
      <c r="W37" s="38" t="s">
        <v>871</v>
      </c>
      <c r="X37" s="38" t="s">
        <v>872</v>
      </c>
      <c r="Y37" s="38" t="s">
        <v>873</v>
      </c>
      <c r="Z37" s="38" t="s">
        <v>874</v>
      </c>
      <c r="AA37" s="38" t="s">
        <v>875</v>
      </c>
      <c r="AB37" s="38" t="s">
        <v>876</v>
      </c>
      <c r="AC37" s="38" t="s">
        <v>877</v>
      </c>
      <c r="AD37" s="38" t="s">
        <v>878</v>
      </c>
      <c r="AE37" s="38" t="s">
        <v>879</v>
      </c>
      <c r="AF37" s="38" t="s">
        <v>880</v>
      </c>
      <c r="AG37" s="38" t="s">
        <v>881</v>
      </c>
      <c r="AH37" s="38" t="s">
        <v>882</v>
      </c>
      <c r="AI37" s="38" t="s">
        <v>883</v>
      </c>
      <c r="AJ37" s="38" t="s">
        <v>884</v>
      </c>
    </row>
    <row r="38" spans="2:36" x14ac:dyDescent="0.15">
      <c r="B38" s="96" t="s">
        <v>1002</v>
      </c>
      <c r="C38" s="167" t="str">
        <f>IFERROR(SUMIFS('caseload data'!E:E,'caseload data'!$C:$C,'divisional &amp; regional caseload%'!$B$36,'caseload data'!$D:$D,"PO")/SUMIF('caseload data'!$C:$C,'divisional &amp; regional caseload%'!$B$36,'caseload data'!E:E),"")</f>
        <v/>
      </c>
      <c r="D38" s="167" t="str">
        <f>IFERROR(SUMIFS('caseload data'!F:F,'caseload data'!$C:$C,'divisional &amp; regional caseload%'!$B$36,'caseload data'!$D:$D,"PO")/SUMIF('caseload data'!$C:$C,'divisional &amp; regional caseload%'!$B$36,'caseload data'!F:F),"")</f>
        <v/>
      </c>
      <c r="E38" s="167" t="str">
        <f>IFERROR(SUMIFS('caseload data'!G:G,'caseload data'!$C:$C,'divisional &amp; regional caseload%'!$B$36,'caseload data'!$D:$D,"PO")/SUMIF('caseload data'!$C:$C,'divisional &amp; regional caseload%'!$B$36,'caseload data'!G:G),"")</f>
        <v/>
      </c>
      <c r="F38" s="167" t="str">
        <f>IFERROR(SUMIFS('caseload data'!H:H,'caseload data'!$C:$C,'divisional &amp; regional caseload%'!$B$36,'caseload data'!$D:$D,"PO")/SUMIF('caseload data'!$C:$C,'divisional &amp; regional caseload%'!$B$36,'caseload data'!H:H),"")</f>
        <v/>
      </c>
      <c r="G38" s="167" t="str">
        <f>IFERROR(SUMIFS('caseload data'!I:I,'caseload data'!$C:$C,'divisional &amp; regional caseload%'!$B$36,'caseload data'!$D:$D,"PO")/SUMIF('caseload data'!$C:$C,'divisional &amp; regional caseload%'!$B$36,'caseload data'!I:I),"")</f>
        <v/>
      </c>
      <c r="H38" s="167" t="str">
        <f>IFERROR(SUMIFS('caseload data'!J:J,'caseload data'!$C:$C,'divisional &amp; regional caseload%'!$B$36,'caseload data'!$D:$D,"PO")/SUMIF('caseload data'!$C:$C,'divisional &amp; regional caseload%'!$B$36,'caseload data'!J:J),"")</f>
        <v/>
      </c>
      <c r="I38" s="167" t="str">
        <f>IFERROR(SUMIFS('caseload data'!K:K,'caseload data'!$C:$C,'divisional &amp; regional caseload%'!$B$36,'caseload data'!$D:$D,"PO")/SUMIF('caseload data'!$C:$C,'divisional &amp; regional caseload%'!$B$36,'caseload data'!K:K),"")</f>
        <v/>
      </c>
      <c r="J38" s="167" t="str">
        <f>IFERROR(SUMIFS('caseload data'!L:L,'caseload data'!$C:$C,'divisional &amp; regional caseload%'!$B$36,'caseload data'!$D:$D,"PO")/SUMIF('caseload data'!$C:$C,'divisional &amp; regional caseload%'!$B$36,'caseload data'!L:L),"")</f>
        <v/>
      </c>
      <c r="K38" s="167" t="str">
        <f>IFERROR(SUMIFS('caseload data'!M:M,'caseload data'!$C:$C,'divisional &amp; regional caseload%'!$B$36,'caseload data'!$D:$D,"PO")/SUMIF('caseload data'!$C:$C,'divisional &amp; regional caseload%'!$B$36,'caseload data'!M:M),"")</f>
        <v/>
      </c>
      <c r="L38" s="167" t="str">
        <f>IFERROR(SUMIFS('caseload data'!N:N,'caseload data'!$C:$C,'divisional &amp; regional caseload%'!$B$36,'caseload data'!$D:$D,"PO")/SUMIF('caseload data'!$C:$C,'divisional &amp; regional caseload%'!$B$36,'caseload data'!N:N),"")</f>
        <v/>
      </c>
      <c r="M38" s="167" t="str">
        <f>IFERROR(SUMIFS('caseload data'!O:O,'caseload data'!$C:$C,'divisional &amp; regional caseload%'!$B$36,'caseload data'!$D:$D,"PO")/SUMIF('caseload data'!$C:$C,'divisional &amp; regional caseload%'!$B$36,'caseload data'!O:O),"")</f>
        <v/>
      </c>
      <c r="N38" s="167" t="str">
        <f>IFERROR(SUMIFS('caseload data'!P:P,'caseload data'!$C:$C,'divisional &amp; regional caseload%'!$B$36,'caseload data'!$D:$D,"PO")/SUMIF('caseload data'!$C:$C,'divisional &amp; regional caseload%'!$B$36,'caseload data'!P:P),"")</f>
        <v/>
      </c>
      <c r="O38" s="167" t="str">
        <f>IFERROR(SUMIFS('caseload data'!Q:Q,'caseload data'!$C:$C,'divisional &amp; regional caseload%'!$B$36,'caseload data'!$D:$D,"PO")/SUMIF('caseload data'!$C:$C,'divisional &amp; regional caseload%'!$B$36,'caseload data'!Q:Q),"")</f>
        <v/>
      </c>
      <c r="P38" s="167" t="str">
        <f>IFERROR(SUMIFS('caseload data'!R:R,'caseload data'!$C:$C,'divisional &amp; regional caseload%'!$B$36,'caseload data'!$D:$D,"PO")/SUMIF('caseload data'!$C:$C,'divisional &amp; regional caseload%'!$B$36,'caseload data'!R:R),"")</f>
        <v/>
      </c>
      <c r="Q38" s="167" t="str">
        <f>IFERROR(SUMIFS('caseload data'!S:S,'caseload data'!$C:$C,'divisional &amp; regional caseload%'!$B$36,'caseload data'!$D:$D,"PO")/SUMIF('caseload data'!$C:$C,'divisional &amp; regional caseload%'!$B$36,'caseload data'!S:S),"")</f>
        <v/>
      </c>
      <c r="R38" s="167" t="str">
        <f>IFERROR(SUMIFS('caseload data'!T:T,'caseload data'!$C:$C,'divisional &amp; regional caseload%'!$B$36,'caseload data'!$D:$D,"PO")/SUMIF('caseload data'!$C:$C,'divisional &amp; regional caseload%'!$B$36,'caseload data'!T:T),"")</f>
        <v/>
      </c>
      <c r="S38" s="64"/>
      <c r="T38" s="96" t="s">
        <v>1002</v>
      </c>
      <c r="U38" s="167" t="str">
        <f>IFERROR(SUMIFS('caseload data'!E:E,'caseload data'!$C:$C,'divisional &amp; regional caseload%'!$T$36,'caseload data'!$D:$D,"PO")/SUMIF('caseload data'!$C:$C,'divisional &amp; regional caseload%'!$T$36,'caseload data'!E:E),"")</f>
        <v/>
      </c>
      <c r="V38" s="167" t="str">
        <f>IFERROR(SUMIFS('caseload data'!F:F,'caseload data'!$C:$C,'divisional &amp; regional caseload%'!$T$36,'caseload data'!$D:$D,"PO")/SUMIF('caseload data'!$C:$C,'divisional &amp; regional caseload%'!$T$36,'caseload data'!F:F),"")</f>
        <v/>
      </c>
      <c r="W38" s="167" t="str">
        <f>IFERROR(SUMIFS('caseload data'!G:G,'caseload data'!$C:$C,'divisional &amp; regional caseload%'!$T$36,'caseload data'!$D:$D,"PO")/SUMIF('caseload data'!$C:$C,'divisional &amp; regional caseload%'!$T$36,'caseload data'!G:G),"")</f>
        <v/>
      </c>
      <c r="X38" s="167" t="str">
        <f>IFERROR(SUMIFS('caseload data'!H:H,'caseload data'!$C:$C,'divisional &amp; regional caseload%'!$T$36,'caseload data'!$D:$D,"PO")/SUMIF('caseload data'!$C:$C,'divisional &amp; regional caseload%'!$T$36,'caseload data'!H:H),"")</f>
        <v/>
      </c>
      <c r="Y38" s="167" t="str">
        <f>IFERROR(SUMIFS('caseload data'!I:I,'caseload data'!$C:$C,'divisional &amp; regional caseload%'!$T$36,'caseload data'!$D:$D,"PO")/SUMIF('caseload data'!$C:$C,'divisional &amp; regional caseload%'!$T$36,'caseload data'!I:I),"")</f>
        <v/>
      </c>
      <c r="Z38" s="167" t="str">
        <f>IFERROR(SUMIFS('caseload data'!J:J,'caseload data'!$C:$C,'divisional &amp; regional caseload%'!$T$36,'caseload data'!$D:$D,"PO")/SUMIF('caseload data'!$C:$C,'divisional &amp; regional caseload%'!$T$36,'caseload data'!J:J),"")</f>
        <v/>
      </c>
      <c r="AA38" s="167" t="str">
        <f>IFERROR(SUMIFS('caseload data'!K:K,'caseload data'!$C:$C,'divisional &amp; regional caseload%'!$T$36,'caseload data'!$D:$D,"PO")/SUMIF('caseload data'!$C:$C,'divisional &amp; regional caseload%'!$T$36,'caseload data'!K:K),"")</f>
        <v/>
      </c>
      <c r="AB38" s="167" t="str">
        <f>IFERROR(SUMIFS('caseload data'!L:L,'caseload data'!$C:$C,'divisional &amp; regional caseload%'!$T$36,'caseload data'!$D:$D,"PO")/SUMIF('caseload data'!$C:$C,'divisional &amp; regional caseload%'!$T$36,'caseload data'!L:L),"")</f>
        <v/>
      </c>
      <c r="AC38" s="167" t="str">
        <f>IFERROR(SUMIFS('caseload data'!M:M,'caseload data'!$C:$C,'divisional &amp; regional caseload%'!$T$36,'caseload data'!$D:$D,"PO")/SUMIF('caseload data'!$C:$C,'divisional &amp; regional caseload%'!$T$36,'caseload data'!M:M),"")</f>
        <v/>
      </c>
      <c r="AD38" s="167" t="str">
        <f>IFERROR(SUMIFS('caseload data'!N:N,'caseload data'!$C:$C,'divisional &amp; regional caseload%'!$T$36,'caseload data'!$D:$D,"PO")/SUMIF('caseload data'!$C:$C,'divisional &amp; regional caseload%'!$T$36,'caseload data'!N:N),"")</f>
        <v/>
      </c>
      <c r="AE38" s="167" t="str">
        <f>IFERROR(SUMIFS('caseload data'!O:O,'caseload data'!$C:$C,'divisional &amp; regional caseload%'!$T$36,'caseload data'!$D:$D,"PO")/SUMIF('caseload data'!$C:$C,'divisional &amp; regional caseload%'!$T$36,'caseload data'!O:O),"")</f>
        <v/>
      </c>
      <c r="AF38" s="167" t="str">
        <f>IFERROR(SUMIFS('caseload data'!P:P,'caseload data'!$C:$C,'divisional &amp; regional caseload%'!$T$36,'caseload data'!$D:$D,"PO")/SUMIF('caseload data'!$C:$C,'divisional &amp; regional caseload%'!$T$36,'caseload data'!P:P),"")</f>
        <v/>
      </c>
      <c r="AG38" s="167" t="str">
        <f>IFERROR(SUMIFS('caseload data'!Q:Q,'caseload data'!$C:$C,'divisional &amp; regional caseload%'!$T$36,'caseload data'!$D:$D,"PO")/SUMIF('caseload data'!$C:$C,'divisional &amp; regional caseload%'!$T$36,'caseload data'!Q:Q),"")</f>
        <v/>
      </c>
      <c r="AH38" s="167" t="str">
        <f>IFERROR(SUMIFS('caseload data'!R:R,'caseload data'!$C:$C,'divisional &amp; regional caseload%'!$T$36,'caseload data'!$D:$D,"PO")/SUMIF('caseload data'!$C:$C,'divisional &amp; regional caseload%'!$T$36,'caseload data'!R:R),"")</f>
        <v/>
      </c>
      <c r="AI38" s="167" t="str">
        <f>IFERROR(SUMIFS('caseload data'!S:S,'caseload data'!$C:$C,'divisional &amp; regional caseload%'!$T$36,'caseload data'!$D:$D,"PO")/SUMIF('caseload data'!$C:$C,'divisional &amp; regional caseload%'!$T$36,'caseload data'!S:S),"")</f>
        <v/>
      </c>
      <c r="AJ38" s="167" t="str">
        <f>IFERROR(SUMIFS('caseload data'!T:T,'caseload data'!$C:$C,'divisional &amp; regional caseload%'!$T$36,'caseload data'!$D:$D,"PO")/SUMIF('caseload data'!$C:$C,'divisional &amp; regional caseload%'!$T$36,'caseload data'!T:T),"")</f>
        <v/>
      </c>
    </row>
    <row r="39" spans="2:36" x14ac:dyDescent="0.15">
      <c r="B39" s="97" t="s">
        <v>1007</v>
      </c>
      <c r="C39" s="167" t="str">
        <f>IFERROR(SUMIFS('caseload data'!E:E,'caseload data'!$C:$C,'divisional &amp; regional caseload%'!$B$36,'caseload data'!$D:$D,"PSO")/SUMIF('caseload data'!$C:$C,'divisional &amp; regional caseload%'!$B$36,'caseload data'!E:E),"")</f>
        <v/>
      </c>
      <c r="D39" s="167" t="str">
        <f>IFERROR(SUMIFS('caseload data'!F:F,'caseload data'!$C:$C,'divisional &amp; regional caseload%'!$B$36,'caseload data'!$D:$D,"PSO")/SUMIF('caseload data'!$C:$C,'divisional &amp; regional caseload%'!$B$36,'caseload data'!F:F),"")</f>
        <v/>
      </c>
      <c r="E39" s="167" t="str">
        <f>IFERROR(SUMIFS('caseload data'!G:G,'caseload data'!$C:$C,'divisional &amp; regional caseload%'!$B$36,'caseload data'!$D:$D,"PSO")/SUMIF('caseload data'!$C:$C,'divisional &amp; regional caseload%'!$B$36,'caseload data'!G:G),"")</f>
        <v/>
      </c>
      <c r="F39" s="167" t="str">
        <f>IFERROR(SUMIFS('caseload data'!H:H,'caseload data'!$C:$C,'divisional &amp; regional caseload%'!$B$36,'caseload data'!$D:$D,"PSO")/SUMIF('caseload data'!$C:$C,'divisional &amp; regional caseload%'!$B$36,'caseload data'!H:H),"")</f>
        <v/>
      </c>
      <c r="G39" s="167" t="str">
        <f>IFERROR(SUMIFS('caseload data'!I:I,'caseload data'!$C:$C,'divisional &amp; regional caseload%'!$B$36,'caseload data'!$D:$D,"PSO")/SUMIF('caseload data'!$C:$C,'divisional &amp; regional caseload%'!$B$36,'caseload data'!I:I),"")</f>
        <v/>
      </c>
      <c r="H39" s="167" t="str">
        <f>IFERROR(SUMIFS('caseload data'!J:J,'caseload data'!$C:$C,'divisional &amp; regional caseload%'!$B$36,'caseload data'!$D:$D,"PSO")/SUMIF('caseload data'!$C:$C,'divisional &amp; regional caseload%'!$B$36,'caseload data'!J:J),"")</f>
        <v/>
      </c>
      <c r="I39" s="167" t="str">
        <f>IFERROR(SUMIFS('caseload data'!K:K,'caseload data'!$C:$C,'divisional &amp; regional caseload%'!$B$36,'caseload data'!$D:$D,"PSO")/SUMIF('caseload data'!$C:$C,'divisional &amp; regional caseload%'!$B$36,'caseload data'!K:K),"")</f>
        <v/>
      </c>
      <c r="J39" s="167" t="str">
        <f>IFERROR(SUMIFS('caseload data'!L:L,'caseload data'!$C:$C,'divisional &amp; regional caseload%'!$B$36,'caseload data'!$D:$D,"PSO")/SUMIF('caseload data'!$C:$C,'divisional &amp; regional caseload%'!$B$36,'caseload data'!L:L),"")</f>
        <v/>
      </c>
      <c r="K39" s="167" t="str">
        <f>IFERROR(SUMIFS('caseload data'!M:M,'caseload data'!$C:$C,'divisional &amp; regional caseload%'!$B$36,'caseload data'!$D:$D,"PSO")/SUMIF('caseload data'!$C:$C,'divisional &amp; regional caseload%'!$B$36,'caseload data'!M:M),"")</f>
        <v/>
      </c>
      <c r="L39" s="167" t="str">
        <f>IFERROR(SUMIFS('caseload data'!N:N,'caseload data'!$C:$C,'divisional &amp; regional caseload%'!$B$36,'caseload data'!$D:$D,"PSO")/SUMIF('caseload data'!$C:$C,'divisional &amp; regional caseload%'!$B$36,'caseload data'!N:N),"")</f>
        <v/>
      </c>
      <c r="M39" s="167" t="str">
        <f>IFERROR(SUMIFS('caseload data'!O:O,'caseload data'!$C:$C,'divisional &amp; regional caseload%'!$B$36,'caseload data'!$D:$D,"PSO")/SUMIF('caseload data'!$C:$C,'divisional &amp; regional caseload%'!$B$36,'caseload data'!O:O),"")</f>
        <v/>
      </c>
      <c r="N39" s="167" t="str">
        <f>IFERROR(SUMIFS('caseload data'!P:P,'caseload data'!$C:$C,'divisional &amp; regional caseload%'!$B$36,'caseload data'!$D:$D,"PSO")/SUMIF('caseload data'!$C:$C,'divisional &amp; regional caseload%'!$B$36,'caseload data'!P:P),"")</f>
        <v/>
      </c>
      <c r="O39" s="167" t="str">
        <f>IFERROR(SUMIFS('caseload data'!Q:Q,'caseload data'!$C:$C,'divisional &amp; regional caseload%'!$B$36,'caseload data'!$D:$D,"PSO")/SUMIF('caseload data'!$C:$C,'divisional &amp; regional caseload%'!$B$36,'caseload data'!Q:Q),"")</f>
        <v/>
      </c>
      <c r="P39" s="167" t="str">
        <f>IFERROR(SUMIFS('caseload data'!R:R,'caseload data'!$C:$C,'divisional &amp; regional caseload%'!$B$36,'caseload data'!$D:$D,"PSO")/SUMIF('caseload data'!$C:$C,'divisional &amp; regional caseload%'!$B$36,'caseload data'!R:R),"")</f>
        <v/>
      </c>
      <c r="Q39" s="167" t="str">
        <f>IFERROR(SUMIFS('caseload data'!S:S,'caseload data'!$C:$C,'divisional &amp; regional caseload%'!$B$36,'caseload data'!$D:$D,"PSO")/SUMIF('caseload data'!$C:$C,'divisional &amp; regional caseload%'!$B$36,'caseload data'!S:S),"")</f>
        <v/>
      </c>
      <c r="R39" s="167" t="str">
        <f>IFERROR(SUMIFS('caseload data'!T:T,'caseload data'!$C:$C,'divisional &amp; regional caseload%'!$B$36,'caseload data'!$D:$D,"PSO")/SUMIF('caseload data'!$C:$C,'divisional &amp; regional caseload%'!$B$36,'caseload data'!T:T),"")</f>
        <v/>
      </c>
      <c r="S39" s="64"/>
      <c r="T39" s="97" t="s">
        <v>1007</v>
      </c>
      <c r="U39" s="167" t="str">
        <f>IFERROR(SUMIFS('caseload data'!E:E,'caseload data'!$C:$C,'divisional &amp; regional caseload%'!$T$36,'caseload data'!$D:$D,"PSO")/SUMIF('caseload data'!$C:$C,'divisional &amp; regional caseload%'!$T$36,'caseload data'!E:E),"")</f>
        <v/>
      </c>
      <c r="V39" s="167" t="str">
        <f>IFERROR(SUMIFS('caseload data'!F:F,'caseload data'!$C:$C,'divisional &amp; regional caseload%'!$T$36,'caseload data'!$D:$D,"PSO")/SUMIF('caseload data'!$C:$C,'divisional &amp; regional caseload%'!$T$36,'caseload data'!F:F),"")</f>
        <v/>
      </c>
      <c r="W39" s="167" t="str">
        <f>IFERROR(SUMIFS('caseload data'!G:G,'caseload data'!$C:$C,'divisional &amp; regional caseload%'!$T$36,'caseload data'!$D:$D,"PSO")/SUMIF('caseload data'!$C:$C,'divisional &amp; regional caseload%'!$T$36,'caseload data'!G:G),"")</f>
        <v/>
      </c>
      <c r="X39" s="167" t="str">
        <f>IFERROR(SUMIFS('caseload data'!H:H,'caseload data'!$C:$C,'divisional &amp; regional caseload%'!$T$36,'caseload data'!$D:$D,"PSO")/SUMIF('caseload data'!$C:$C,'divisional &amp; regional caseload%'!$T$36,'caseload data'!H:H),"")</f>
        <v/>
      </c>
      <c r="Y39" s="167" t="str">
        <f>IFERROR(SUMIFS('caseload data'!I:I,'caseload data'!$C:$C,'divisional &amp; regional caseload%'!$T$36,'caseload data'!$D:$D,"PSO")/SUMIF('caseload data'!$C:$C,'divisional &amp; regional caseload%'!$T$36,'caseload data'!I:I),"")</f>
        <v/>
      </c>
      <c r="Z39" s="167" t="str">
        <f>IFERROR(SUMIFS('caseload data'!J:J,'caseload data'!$C:$C,'divisional &amp; regional caseload%'!$T$36,'caseload data'!$D:$D,"PSO")/SUMIF('caseload data'!$C:$C,'divisional &amp; regional caseload%'!$T$36,'caseload data'!J:J),"")</f>
        <v/>
      </c>
      <c r="AA39" s="167" t="str">
        <f>IFERROR(SUMIFS('caseload data'!K:K,'caseload data'!$C:$C,'divisional &amp; regional caseload%'!$T$36,'caseload data'!$D:$D,"PSO")/SUMIF('caseload data'!$C:$C,'divisional &amp; regional caseload%'!$T$36,'caseload data'!K:K),"")</f>
        <v/>
      </c>
      <c r="AB39" s="167" t="str">
        <f>IFERROR(SUMIFS('caseload data'!L:L,'caseload data'!$C:$C,'divisional &amp; regional caseload%'!$T$36,'caseload data'!$D:$D,"PSO")/SUMIF('caseload data'!$C:$C,'divisional &amp; regional caseload%'!$T$36,'caseload data'!L:L),"")</f>
        <v/>
      </c>
      <c r="AC39" s="167" t="str">
        <f>IFERROR(SUMIFS('caseload data'!M:M,'caseload data'!$C:$C,'divisional &amp; regional caseload%'!$T$36,'caseload data'!$D:$D,"PSO")/SUMIF('caseload data'!$C:$C,'divisional &amp; regional caseload%'!$T$36,'caseload data'!M:M),"")</f>
        <v/>
      </c>
      <c r="AD39" s="167" t="str">
        <f>IFERROR(SUMIFS('caseload data'!N:N,'caseload data'!$C:$C,'divisional &amp; regional caseload%'!$T$36,'caseload data'!$D:$D,"PSO")/SUMIF('caseload data'!$C:$C,'divisional &amp; regional caseload%'!$T$36,'caseload data'!N:N),"")</f>
        <v/>
      </c>
      <c r="AE39" s="167" t="str">
        <f>IFERROR(SUMIFS('caseload data'!O:O,'caseload data'!$C:$C,'divisional &amp; regional caseload%'!$T$36,'caseload data'!$D:$D,"PSO")/SUMIF('caseload data'!$C:$C,'divisional &amp; regional caseload%'!$T$36,'caseload data'!O:O),"")</f>
        <v/>
      </c>
      <c r="AF39" s="167" t="str">
        <f>IFERROR(SUMIFS('caseload data'!P:P,'caseload data'!$C:$C,'divisional &amp; regional caseload%'!$T$36,'caseload data'!$D:$D,"PSO")/SUMIF('caseload data'!$C:$C,'divisional &amp; regional caseload%'!$T$36,'caseload data'!P:P),"")</f>
        <v/>
      </c>
      <c r="AG39" s="167" t="str">
        <f>IFERROR(SUMIFS('caseload data'!Q:Q,'caseload data'!$C:$C,'divisional &amp; regional caseload%'!$T$36,'caseload data'!$D:$D,"PSO")/SUMIF('caseload data'!$C:$C,'divisional &amp; regional caseload%'!$T$36,'caseload data'!Q:Q),"")</f>
        <v/>
      </c>
      <c r="AH39" s="167" t="str">
        <f>IFERROR(SUMIFS('caseload data'!R:R,'caseload data'!$C:$C,'divisional &amp; regional caseload%'!$T$36,'caseload data'!$D:$D,"PSO")/SUMIF('caseload data'!$C:$C,'divisional &amp; regional caseload%'!$T$36,'caseload data'!R:R),"")</f>
        <v/>
      </c>
      <c r="AI39" s="167" t="str">
        <f>IFERROR(SUMIFS('caseload data'!S:S,'caseload data'!$C:$C,'divisional &amp; regional caseload%'!$T$36,'caseload data'!$D:$D,"PSO")/SUMIF('caseload data'!$C:$C,'divisional &amp; regional caseload%'!$T$36,'caseload data'!S:S),"")</f>
        <v/>
      </c>
      <c r="AJ39" s="167" t="str">
        <f>IFERROR(SUMIFS('caseload data'!T:T,'caseload data'!$C:$C,'divisional &amp; regional caseload%'!$T$36,'caseload data'!$D:$D,"PSO")/SUMIF('caseload data'!$C:$C,'divisional &amp; regional caseload%'!$T$36,'caseload data'!T:T),"")</f>
        <v/>
      </c>
    </row>
    <row r="40" spans="2:36" x14ac:dyDescent="0.15">
      <c r="B40" s="97" t="s">
        <v>1008</v>
      </c>
      <c r="C40" s="167" t="str">
        <f>IFERROR(SUMIFS('caseload data'!E:E,'caseload data'!$C:$C,'divisional &amp; regional caseload%'!$B$36,'caseload data'!$D:$D,"TPO")/SUMIF('caseload data'!$C:$C,'divisional &amp; regional caseload%'!$B$36,'caseload data'!E:E),"")</f>
        <v/>
      </c>
      <c r="D40" s="167" t="str">
        <f>IFERROR(SUMIFS('caseload data'!F:F,'caseload data'!$C:$C,'divisional &amp; regional caseload%'!$B$36,'caseload data'!$D:$D,"TPO")/SUMIF('caseload data'!$C:$C,'divisional &amp; regional caseload%'!$B$36,'caseload data'!F:F),"")</f>
        <v/>
      </c>
      <c r="E40" s="167" t="str">
        <f>IFERROR(SUMIFS('caseload data'!G:G,'caseload data'!$C:$C,'divisional &amp; regional caseload%'!$B$36,'caseload data'!$D:$D,"TPO")/SUMIF('caseload data'!$C:$C,'divisional &amp; regional caseload%'!$B$36,'caseload data'!G:G),"")</f>
        <v/>
      </c>
      <c r="F40" s="167" t="str">
        <f>IFERROR(SUMIFS('caseload data'!H:H,'caseload data'!$C:$C,'divisional &amp; regional caseload%'!$B$36,'caseload data'!$D:$D,"TPO")/SUMIF('caseload data'!$C:$C,'divisional &amp; regional caseload%'!$B$36,'caseload data'!H:H),"")</f>
        <v/>
      </c>
      <c r="G40" s="167" t="str">
        <f>IFERROR(SUMIFS('caseload data'!I:I,'caseload data'!$C:$C,'divisional &amp; regional caseload%'!$B$36,'caseload data'!$D:$D,"TPO")/SUMIF('caseload data'!$C:$C,'divisional &amp; regional caseload%'!$B$36,'caseload data'!I:I),"")</f>
        <v/>
      </c>
      <c r="H40" s="167" t="str">
        <f>IFERROR(SUMIFS('caseload data'!J:J,'caseload data'!$C:$C,'divisional &amp; regional caseload%'!$B$36,'caseload data'!$D:$D,"TPO")/SUMIF('caseload data'!$C:$C,'divisional &amp; regional caseload%'!$B$36,'caseload data'!J:J),"")</f>
        <v/>
      </c>
      <c r="I40" s="167" t="str">
        <f>IFERROR(SUMIFS('caseload data'!K:K,'caseload data'!$C:$C,'divisional &amp; regional caseload%'!$B$36,'caseload data'!$D:$D,"TPO")/SUMIF('caseload data'!$C:$C,'divisional &amp; regional caseload%'!$B$36,'caseload data'!K:K),"")</f>
        <v/>
      </c>
      <c r="J40" s="167" t="str">
        <f>IFERROR(SUMIFS('caseload data'!L:L,'caseload data'!$C:$C,'divisional &amp; regional caseload%'!$B$36,'caseload data'!$D:$D,"TPO")/SUMIF('caseload data'!$C:$C,'divisional &amp; regional caseload%'!$B$36,'caseload data'!L:L),"")</f>
        <v/>
      </c>
      <c r="K40" s="167" t="str">
        <f>IFERROR(SUMIFS('caseload data'!M:M,'caseload data'!$C:$C,'divisional &amp; regional caseload%'!$B$36,'caseload data'!$D:$D,"TPO")/SUMIF('caseload data'!$C:$C,'divisional &amp; regional caseload%'!$B$36,'caseload data'!M:M),"")</f>
        <v/>
      </c>
      <c r="L40" s="167" t="str">
        <f>IFERROR(SUMIFS('caseload data'!N:N,'caseload data'!$C:$C,'divisional &amp; regional caseload%'!$B$36,'caseload data'!$D:$D,"TPO")/SUMIF('caseload data'!$C:$C,'divisional &amp; regional caseload%'!$B$36,'caseload data'!N:N),"")</f>
        <v/>
      </c>
      <c r="M40" s="167" t="str">
        <f>IFERROR(SUMIFS('caseload data'!O:O,'caseload data'!$C:$C,'divisional &amp; regional caseload%'!$B$36,'caseload data'!$D:$D,"TPO")/SUMIF('caseload data'!$C:$C,'divisional &amp; regional caseload%'!$B$36,'caseload data'!O:O),"")</f>
        <v/>
      </c>
      <c r="N40" s="167" t="str">
        <f>IFERROR(SUMIFS('caseload data'!P:P,'caseload data'!$C:$C,'divisional &amp; regional caseload%'!$B$36,'caseload data'!$D:$D,"TPO")/SUMIF('caseload data'!$C:$C,'divisional &amp; regional caseload%'!$B$36,'caseload data'!P:P),"")</f>
        <v/>
      </c>
      <c r="O40" s="167" t="str">
        <f>IFERROR(SUMIFS('caseload data'!Q:Q,'caseload data'!$C:$C,'divisional &amp; regional caseload%'!$B$36,'caseload data'!$D:$D,"TPO")/SUMIF('caseload data'!$C:$C,'divisional &amp; regional caseload%'!$B$36,'caseload data'!Q:Q),"")</f>
        <v/>
      </c>
      <c r="P40" s="167" t="str">
        <f>IFERROR(SUMIFS('caseload data'!R:R,'caseload data'!$C:$C,'divisional &amp; regional caseload%'!$B$36,'caseload data'!$D:$D,"TPO")/SUMIF('caseload data'!$C:$C,'divisional &amp; regional caseload%'!$B$36,'caseload data'!R:R),"")</f>
        <v/>
      </c>
      <c r="Q40" s="167" t="str">
        <f>IFERROR(SUMIFS('caseload data'!S:S,'caseload data'!$C:$C,'divisional &amp; regional caseload%'!$B$36,'caseload data'!$D:$D,"TPO")/SUMIF('caseload data'!$C:$C,'divisional &amp; regional caseload%'!$B$36,'caseload data'!S:S),"")</f>
        <v/>
      </c>
      <c r="R40" s="167" t="str">
        <f>IFERROR(SUMIFS('caseload data'!T:T,'caseload data'!$C:$C,'divisional &amp; regional caseload%'!$B$36,'caseload data'!$D:$D,"TPO")/SUMIF('caseload data'!$C:$C,'divisional &amp; regional caseload%'!$B$36,'caseload data'!T:T),"")</f>
        <v/>
      </c>
      <c r="S40" s="64"/>
      <c r="T40" s="97" t="s">
        <v>1008</v>
      </c>
      <c r="U40" s="167" t="str">
        <f>IFERROR(SUMIFS('caseload data'!E:E,'caseload data'!$C:$C,'divisional &amp; regional caseload%'!$T$36,'caseload data'!$D:$D,"TPO")/SUMIF('caseload data'!$C:$C,'divisional &amp; regional caseload%'!$T$36,'caseload data'!E:E),"")</f>
        <v/>
      </c>
      <c r="V40" s="167" t="str">
        <f>IFERROR(SUMIFS('caseload data'!F:F,'caseload data'!$C:$C,'divisional &amp; regional caseload%'!$T$36,'caseload data'!$D:$D,"TPO")/SUMIF('caseload data'!$C:$C,'divisional &amp; regional caseload%'!$T$36,'caseload data'!F:F),"")</f>
        <v/>
      </c>
      <c r="W40" s="167" t="str">
        <f>IFERROR(SUMIFS('caseload data'!G:G,'caseload data'!$C:$C,'divisional &amp; regional caseload%'!$T$36,'caseload data'!$D:$D,"TPO")/SUMIF('caseload data'!$C:$C,'divisional &amp; regional caseload%'!$T$36,'caseload data'!G:G),"")</f>
        <v/>
      </c>
      <c r="X40" s="167" t="str">
        <f>IFERROR(SUMIFS('caseload data'!H:H,'caseload data'!$C:$C,'divisional &amp; regional caseload%'!$T$36,'caseload data'!$D:$D,"TPO")/SUMIF('caseload data'!$C:$C,'divisional &amp; regional caseload%'!$T$36,'caseload data'!H:H),"")</f>
        <v/>
      </c>
      <c r="Y40" s="167" t="str">
        <f>IFERROR(SUMIFS('caseload data'!I:I,'caseload data'!$C:$C,'divisional &amp; regional caseload%'!$T$36,'caseload data'!$D:$D,"TPO")/SUMIF('caseload data'!$C:$C,'divisional &amp; regional caseload%'!$T$36,'caseload data'!I:I),"")</f>
        <v/>
      </c>
      <c r="Z40" s="167" t="str">
        <f>IFERROR(SUMIFS('caseload data'!J:J,'caseload data'!$C:$C,'divisional &amp; regional caseload%'!$T$36,'caseload data'!$D:$D,"TPO")/SUMIF('caseload data'!$C:$C,'divisional &amp; regional caseload%'!$T$36,'caseload data'!J:J),"")</f>
        <v/>
      </c>
      <c r="AA40" s="167" t="str">
        <f>IFERROR(SUMIFS('caseload data'!K:K,'caseload data'!$C:$C,'divisional &amp; regional caseload%'!$T$36,'caseload data'!$D:$D,"TPO")/SUMIF('caseload data'!$C:$C,'divisional &amp; regional caseload%'!$T$36,'caseload data'!K:K),"")</f>
        <v/>
      </c>
      <c r="AB40" s="167" t="str">
        <f>IFERROR(SUMIFS('caseload data'!L:L,'caseload data'!$C:$C,'divisional &amp; regional caseload%'!$T$36,'caseload data'!$D:$D,"TPO")/SUMIF('caseload data'!$C:$C,'divisional &amp; regional caseload%'!$T$36,'caseload data'!L:L),"")</f>
        <v/>
      </c>
      <c r="AC40" s="167" t="str">
        <f>IFERROR(SUMIFS('caseload data'!M:M,'caseload data'!$C:$C,'divisional &amp; regional caseload%'!$T$36,'caseload data'!$D:$D,"TPO")/SUMIF('caseload data'!$C:$C,'divisional &amp; regional caseload%'!$T$36,'caseload data'!M:M),"")</f>
        <v/>
      </c>
      <c r="AD40" s="167" t="str">
        <f>IFERROR(SUMIFS('caseload data'!N:N,'caseload data'!$C:$C,'divisional &amp; regional caseload%'!$T$36,'caseload data'!$D:$D,"TPO")/SUMIF('caseload data'!$C:$C,'divisional &amp; regional caseload%'!$T$36,'caseload data'!N:N),"")</f>
        <v/>
      </c>
      <c r="AE40" s="167" t="str">
        <f>IFERROR(SUMIFS('caseload data'!O:O,'caseload data'!$C:$C,'divisional &amp; regional caseload%'!$T$36,'caseload data'!$D:$D,"TPO")/SUMIF('caseload data'!$C:$C,'divisional &amp; regional caseload%'!$T$36,'caseload data'!O:O),"")</f>
        <v/>
      </c>
      <c r="AF40" s="167" t="str">
        <f>IFERROR(SUMIFS('caseload data'!P:P,'caseload data'!$C:$C,'divisional &amp; regional caseload%'!$T$36,'caseload data'!$D:$D,"TPO")/SUMIF('caseload data'!$C:$C,'divisional &amp; regional caseload%'!$T$36,'caseload data'!P:P),"")</f>
        <v/>
      </c>
      <c r="AG40" s="167" t="str">
        <f>IFERROR(SUMIFS('caseload data'!Q:Q,'caseload data'!$C:$C,'divisional &amp; regional caseload%'!$T$36,'caseload data'!$D:$D,"TPO")/SUMIF('caseload data'!$C:$C,'divisional &amp; regional caseload%'!$T$36,'caseload data'!Q:Q),"")</f>
        <v/>
      </c>
      <c r="AH40" s="167" t="str">
        <f>IFERROR(SUMIFS('caseload data'!R:R,'caseload data'!$C:$C,'divisional &amp; regional caseload%'!$T$36,'caseload data'!$D:$D,"TPO")/SUMIF('caseload data'!$C:$C,'divisional &amp; regional caseload%'!$T$36,'caseload data'!R:R),"")</f>
        <v/>
      </c>
      <c r="AI40" s="167" t="str">
        <f>IFERROR(SUMIFS('caseload data'!S:S,'caseload data'!$C:$C,'divisional &amp; regional caseload%'!$T$36,'caseload data'!$D:$D,"TPO")/SUMIF('caseload data'!$C:$C,'divisional &amp; regional caseload%'!$T$36,'caseload data'!S:S),"")</f>
        <v/>
      </c>
      <c r="AJ40" s="167" t="str">
        <f>IFERROR(SUMIFS('caseload data'!T:T,'caseload data'!$C:$C,'divisional &amp; regional caseload%'!$T$36,'caseload data'!$D:$D,"TPO")/SUMIF('caseload data'!$C:$C,'divisional &amp; regional caseload%'!$T$36,'caseload data'!T:T),"")</f>
        <v/>
      </c>
    </row>
    <row r="41" spans="2:36" x14ac:dyDescent="0.15">
      <c r="B41" s="98" t="s">
        <v>1009</v>
      </c>
      <c r="C41" s="167" t="str">
        <f>IFERROR(SUMIFS('caseload data'!E:E,'caseload data'!$C:$C,'divisional &amp; regional caseload%'!$B$36,'caseload data'!$D:$D,"SPO")/SUMIF('caseload data'!$C:$C,'divisional &amp; regional caseload%'!$B$36,'caseload data'!E:E),"")</f>
        <v/>
      </c>
      <c r="D41" s="167" t="str">
        <f>IFERROR(SUMIFS('caseload data'!F:F,'caseload data'!$C:$C,'divisional &amp; regional caseload%'!$B$36,'caseload data'!$D:$D,"SPO")/SUMIF('caseload data'!$C:$C,'divisional &amp; regional caseload%'!$B$36,'caseload data'!F:F),"")</f>
        <v/>
      </c>
      <c r="E41" s="167" t="str">
        <f>IFERROR(SUMIFS('caseload data'!G:G,'caseload data'!$C:$C,'divisional &amp; regional caseload%'!$B$36,'caseload data'!$D:$D,"SPO")/SUMIF('caseload data'!$C:$C,'divisional &amp; regional caseload%'!$B$36,'caseload data'!G:G),"")</f>
        <v/>
      </c>
      <c r="F41" s="167" t="str">
        <f>IFERROR(SUMIFS('caseload data'!H:H,'caseload data'!$C:$C,'divisional &amp; regional caseload%'!$B$36,'caseload data'!$D:$D,"SPO")/SUMIF('caseload data'!$C:$C,'divisional &amp; regional caseload%'!$B$36,'caseload data'!H:H),"")</f>
        <v/>
      </c>
      <c r="G41" s="167" t="str">
        <f>IFERROR(SUMIFS('caseload data'!I:I,'caseload data'!$C:$C,'divisional &amp; regional caseload%'!$B$36,'caseload data'!$D:$D,"SPO")/SUMIF('caseload data'!$C:$C,'divisional &amp; regional caseload%'!$B$36,'caseload data'!I:I),"")</f>
        <v/>
      </c>
      <c r="H41" s="167" t="str">
        <f>IFERROR(SUMIFS('caseload data'!J:J,'caseload data'!$C:$C,'divisional &amp; regional caseload%'!$B$36,'caseload data'!$D:$D,"SPO")/SUMIF('caseload data'!$C:$C,'divisional &amp; regional caseload%'!$B$36,'caseload data'!J:J),"")</f>
        <v/>
      </c>
      <c r="I41" s="167" t="str">
        <f>IFERROR(SUMIFS('caseload data'!K:K,'caseload data'!$C:$C,'divisional &amp; regional caseload%'!$B$36,'caseload data'!$D:$D,"SPO")/SUMIF('caseload data'!$C:$C,'divisional &amp; regional caseload%'!$B$36,'caseload data'!K:K),"")</f>
        <v/>
      </c>
      <c r="J41" s="167" t="str">
        <f>IFERROR(SUMIFS('caseload data'!L:L,'caseload data'!$C:$C,'divisional &amp; regional caseload%'!$B$36,'caseload data'!$D:$D,"SPO")/SUMIF('caseload data'!$C:$C,'divisional &amp; regional caseload%'!$B$36,'caseload data'!L:L),"")</f>
        <v/>
      </c>
      <c r="K41" s="167" t="str">
        <f>IFERROR(SUMIFS('caseload data'!M:M,'caseload data'!$C:$C,'divisional &amp; regional caseload%'!$B$36,'caseload data'!$D:$D,"SPO")/SUMIF('caseload data'!$C:$C,'divisional &amp; regional caseload%'!$B$36,'caseload data'!M:M),"")</f>
        <v/>
      </c>
      <c r="L41" s="167" t="str">
        <f>IFERROR(SUMIFS('caseload data'!N:N,'caseload data'!$C:$C,'divisional &amp; regional caseload%'!$B$36,'caseload data'!$D:$D,"SPO")/SUMIF('caseload data'!$C:$C,'divisional &amp; regional caseload%'!$B$36,'caseload data'!N:N),"")</f>
        <v/>
      </c>
      <c r="M41" s="167" t="str">
        <f>IFERROR(SUMIFS('caseload data'!O:O,'caseload data'!$C:$C,'divisional &amp; regional caseload%'!$B$36,'caseload data'!$D:$D,"SPO")/SUMIF('caseload data'!$C:$C,'divisional &amp; regional caseload%'!$B$36,'caseload data'!O:O),"")</f>
        <v/>
      </c>
      <c r="N41" s="167" t="str">
        <f>IFERROR(SUMIFS('caseload data'!P:P,'caseload data'!$C:$C,'divisional &amp; regional caseload%'!$B$36,'caseload data'!$D:$D,"SPO")/SUMIF('caseload data'!$C:$C,'divisional &amp; regional caseload%'!$B$36,'caseload data'!P:P),"")</f>
        <v/>
      </c>
      <c r="O41" s="167" t="str">
        <f>IFERROR(SUMIFS('caseload data'!Q:Q,'caseload data'!$C:$C,'divisional &amp; regional caseload%'!$B$36,'caseload data'!$D:$D,"SPO")/SUMIF('caseload data'!$C:$C,'divisional &amp; regional caseload%'!$B$36,'caseload data'!Q:Q),"")</f>
        <v/>
      </c>
      <c r="P41" s="167" t="str">
        <f>IFERROR(SUMIFS('caseload data'!R:R,'caseload data'!$C:$C,'divisional &amp; regional caseload%'!$B$36,'caseload data'!$D:$D,"SPO")/SUMIF('caseload data'!$C:$C,'divisional &amp; regional caseload%'!$B$36,'caseload data'!R:R),"")</f>
        <v/>
      </c>
      <c r="Q41" s="167" t="str">
        <f>IFERROR(SUMIFS('caseload data'!S:S,'caseload data'!$C:$C,'divisional &amp; regional caseload%'!$B$36,'caseload data'!$D:$D,"SPO")/SUMIF('caseload data'!$C:$C,'divisional &amp; regional caseload%'!$B$36,'caseload data'!S:S),"")</f>
        <v/>
      </c>
      <c r="R41" s="167" t="str">
        <f>IFERROR(SUMIFS('caseload data'!T:T,'caseload data'!$C:$C,'divisional &amp; regional caseload%'!$B$36,'caseload data'!$D:$D,"SPO")/SUMIF('caseload data'!$C:$C,'divisional &amp; regional caseload%'!$B$36,'caseload data'!T:T),"")</f>
        <v/>
      </c>
      <c r="S41" s="64"/>
      <c r="T41" s="98" t="s">
        <v>1009</v>
      </c>
      <c r="U41" s="167" t="str">
        <f>IFERROR(SUMIFS('caseload data'!E:E,'caseload data'!$C:$C,'divisional &amp; regional caseload%'!$T$36,'caseload data'!$D:$D,"SPO")/SUMIF('caseload data'!$C:$C,'divisional &amp; regional caseload%'!$T$36,'caseload data'!E:E),"")</f>
        <v/>
      </c>
      <c r="V41" s="167" t="str">
        <f>IFERROR(SUMIFS('caseload data'!F:F,'caseload data'!$C:$C,'divisional &amp; regional caseload%'!$T$36,'caseload data'!$D:$D,"SPO")/SUMIF('caseload data'!$C:$C,'divisional &amp; regional caseload%'!$T$36,'caseload data'!F:F),"")</f>
        <v/>
      </c>
      <c r="W41" s="167" t="str">
        <f>IFERROR(SUMIFS('caseload data'!G:G,'caseload data'!$C:$C,'divisional &amp; regional caseload%'!$T$36,'caseload data'!$D:$D,"SPO")/SUMIF('caseload data'!$C:$C,'divisional &amp; regional caseload%'!$T$36,'caseload data'!G:G),"")</f>
        <v/>
      </c>
      <c r="X41" s="167" t="str">
        <f>IFERROR(SUMIFS('caseload data'!H:H,'caseload data'!$C:$C,'divisional &amp; regional caseload%'!$T$36,'caseload data'!$D:$D,"SPO")/SUMIF('caseload data'!$C:$C,'divisional &amp; regional caseload%'!$T$36,'caseload data'!H:H),"")</f>
        <v/>
      </c>
      <c r="Y41" s="167" t="str">
        <f>IFERROR(SUMIFS('caseload data'!I:I,'caseload data'!$C:$C,'divisional &amp; regional caseload%'!$T$36,'caseload data'!$D:$D,"SPO")/SUMIF('caseload data'!$C:$C,'divisional &amp; regional caseload%'!$T$36,'caseload data'!I:I),"")</f>
        <v/>
      </c>
      <c r="Z41" s="167" t="str">
        <f>IFERROR(SUMIFS('caseload data'!J:J,'caseload data'!$C:$C,'divisional &amp; regional caseload%'!$T$36,'caseload data'!$D:$D,"SPO")/SUMIF('caseload data'!$C:$C,'divisional &amp; regional caseload%'!$T$36,'caseload data'!J:J),"")</f>
        <v/>
      </c>
      <c r="AA41" s="167" t="str">
        <f>IFERROR(SUMIFS('caseload data'!K:K,'caseload data'!$C:$C,'divisional &amp; regional caseload%'!$T$36,'caseload data'!$D:$D,"SPO")/SUMIF('caseload data'!$C:$C,'divisional &amp; regional caseload%'!$T$36,'caseload data'!K:K),"")</f>
        <v/>
      </c>
      <c r="AB41" s="167" t="str">
        <f>IFERROR(SUMIFS('caseload data'!L:L,'caseload data'!$C:$C,'divisional &amp; regional caseload%'!$T$36,'caseload data'!$D:$D,"SPO")/SUMIF('caseload data'!$C:$C,'divisional &amp; regional caseload%'!$T$36,'caseload data'!L:L),"")</f>
        <v/>
      </c>
      <c r="AC41" s="167" t="str">
        <f>IFERROR(SUMIFS('caseload data'!M:M,'caseload data'!$C:$C,'divisional &amp; regional caseload%'!$T$36,'caseload data'!$D:$D,"SPO")/SUMIF('caseload data'!$C:$C,'divisional &amp; regional caseload%'!$T$36,'caseload data'!M:M),"")</f>
        <v/>
      </c>
      <c r="AD41" s="167" t="str">
        <f>IFERROR(SUMIFS('caseload data'!N:N,'caseload data'!$C:$C,'divisional &amp; regional caseload%'!$T$36,'caseload data'!$D:$D,"SPO")/SUMIF('caseload data'!$C:$C,'divisional &amp; regional caseload%'!$T$36,'caseload data'!N:N),"")</f>
        <v/>
      </c>
      <c r="AE41" s="167" t="str">
        <f>IFERROR(SUMIFS('caseload data'!O:O,'caseload data'!$C:$C,'divisional &amp; regional caseload%'!$T$36,'caseload data'!$D:$D,"SPO")/SUMIF('caseload data'!$C:$C,'divisional &amp; regional caseload%'!$T$36,'caseload data'!O:O),"")</f>
        <v/>
      </c>
      <c r="AF41" s="167" t="str">
        <f>IFERROR(SUMIFS('caseload data'!P:P,'caseload data'!$C:$C,'divisional &amp; regional caseload%'!$T$36,'caseload data'!$D:$D,"SPO")/SUMIF('caseload data'!$C:$C,'divisional &amp; regional caseload%'!$T$36,'caseload data'!P:P),"")</f>
        <v/>
      </c>
      <c r="AG41" s="167" t="str">
        <f>IFERROR(SUMIFS('caseload data'!Q:Q,'caseload data'!$C:$C,'divisional &amp; regional caseload%'!$T$36,'caseload data'!$D:$D,"SPO")/SUMIF('caseload data'!$C:$C,'divisional &amp; regional caseload%'!$T$36,'caseload data'!Q:Q),"")</f>
        <v/>
      </c>
      <c r="AH41" s="167" t="str">
        <f>IFERROR(SUMIFS('caseload data'!R:R,'caseload data'!$C:$C,'divisional &amp; regional caseload%'!$T$36,'caseload data'!$D:$D,"SPO")/SUMIF('caseload data'!$C:$C,'divisional &amp; regional caseload%'!$T$36,'caseload data'!R:R),"")</f>
        <v/>
      </c>
      <c r="AI41" s="167" t="str">
        <f>IFERROR(SUMIFS('caseload data'!S:S,'caseload data'!$C:$C,'divisional &amp; regional caseload%'!$T$36,'caseload data'!$D:$D,"SPO")/SUMIF('caseload data'!$C:$C,'divisional &amp; regional caseload%'!$T$36,'caseload data'!S:S),"")</f>
        <v/>
      </c>
      <c r="AJ41" s="167" t="str">
        <f>IFERROR(SUMIFS('caseload data'!T:T,'caseload data'!$C:$C,'divisional &amp; regional caseload%'!$T$36,'caseload data'!$D:$D,"SPO")/SUMIF('caseload data'!$C:$C,'divisional &amp; regional caseload%'!$T$36,'caseload data'!T:T),"")</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7.5" customHeight="1" x14ac:dyDescent="0.15">
      <c r="B43" s="289">
        <f>HLOOKUP($B$5,Region_Table,12,0)</f>
        <v>0</v>
      </c>
      <c r="C43" s="523" t="s">
        <v>1101</v>
      </c>
      <c r="D43" s="524"/>
      <c r="E43" s="524"/>
      <c r="F43" s="524"/>
      <c r="G43" s="524"/>
      <c r="H43" s="524"/>
      <c r="I43" s="524"/>
      <c r="J43" s="524"/>
      <c r="K43" s="524"/>
      <c r="L43" s="524"/>
      <c r="M43" s="525"/>
      <c r="N43" s="525"/>
      <c r="O43" s="526"/>
      <c r="P43" s="510">
        <f>SUMIF('caseload data'!$C:$C,'divisional &amp; regional caseload%'!B43,'caseload data'!V:V)</f>
        <v>0</v>
      </c>
      <c r="Q43" s="527"/>
      <c r="R43" s="528"/>
      <c r="S43" s="64"/>
      <c r="T43" s="289">
        <f>HLOOKUP($B$5,Region_Table,13,0)</f>
        <v>0</v>
      </c>
      <c r="U43" s="523" t="s">
        <v>1101</v>
      </c>
      <c r="V43" s="524"/>
      <c r="W43" s="524"/>
      <c r="X43" s="524"/>
      <c r="Y43" s="524"/>
      <c r="Z43" s="524"/>
      <c r="AA43" s="524"/>
      <c r="AB43" s="524"/>
      <c r="AC43" s="524"/>
      <c r="AD43" s="524"/>
      <c r="AE43" s="525"/>
      <c r="AF43" s="525"/>
      <c r="AG43" s="526"/>
      <c r="AH43" s="510">
        <f>SUMIF('caseload data'!$C:$C,'divisional &amp; regional caseload%'!T43,'caseload data'!V:V)</f>
        <v>0</v>
      </c>
      <c r="AI43" s="527"/>
      <c r="AJ43" s="528"/>
    </row>
    <row r="44" spans="2:36" x14ac:dyDescent="0.15">
      <c r="B44" s="95" t="s">
        <v>1006</v>
      </c>
      <c r="C44" s="38" t="s">
        <v>869</v>
      </c>
      <c r="D44" s="38" t="s">
        <v>870</v>
      </c>
      <c r="E44" s="38" t="s">
        <v>871</v>
      </c>
      <c r="F44" s="38" t="s">
        <v>872</v>
      </c>
      <c r="G44" s="38" t="s">
        <v>873</v>
      </c>
      <c r="H44" s="38" t="s">
        <v>874</v>
      </c>
      <c r="I44" s="38" t="s">
        <v>875</v>
      </c>
      <c r="J44" s="38" t="s">
        <v>876</v>
      </c>
      <c r="K44" s="38" t="s">
        <v>877</v>
      </c>
      <c r="L44" s="38" t="s">
        <v>878</v>
      </c>
      <c r="M44" s="38" t="s">
        <v>879</v>
      </c>
      <c r="N44" s="38" t="s">
        <v>880</v>
      </c>
      <c r="O44" s="38" t="s">
        <v>881</v>
      </c>
      <c r="P44" s="38" t="s">
        <v>882</v>
      </c>
      <c r="Q44" s="38" t="s">
        <v>883</v>
      </c>
      <c r="R44" s="38" t="s">
        <v>884</v>
      </c>
      <c r="S44" s="64"/>
      <c r="T44" s="95" t="s">
        <v>1006</v>
      </c>
      <c r="U44" s="38" t="s">
        <v>869</v>
      </c>
      <c r="V44" s="38" t="s">
        <v>870</v>
      </c>
      <c r="W44" s="38" t="s">
        <v>871</v>
      </c>
      <c r="X44" s="38" t="s">
        <v>872</v>
      </c>
      <c r="Y44" s="38" t="s">
        <v>873</v>
      </c>
      <c r="Z44" s="38" t="s">
        <v>874</v>
      </c>
      <c r="AA44" s="38" t="s">
        <v>875</v>
      </c>
      <c r="AB44" s="38" t="s">
        <v>876</v>
      </c>
      <c r="AC44" s="38" t="s">
        <v>877</v>
      </c>
      <c r="AD44" s="38" t="s">
        <v>878</v>
      </c>
      <c r="AE44" s="38" t="s">
        <v>879</v>
      </c>
      <c r="AF44" s="38" t="s">
        <v>880</v>
      </c>
      <c r="AG44" s="38" t="s">
        <v>881</v>
      </c>
      <c r="AH44" s="38" t="s">
        <v>882</v>
      </c>
      <c r="AI44" s="38" t="s">
        <v>883</v>
      </c>
      <c r="AJ44" s="38" t="s">
        <v>884</v>
      </c>
    </row>
    <row r="45" spans="2:36" x14ac:dyDescent="0.15">
      <c r="B45" s="96" t="s">
        <v>1002</v>
      </c>
      <c r="C45" s="167" t="str">
        <f>IFERROR(SUMIFS('caseload data'!E:E,'caseload data'!$C:$C,'divisional &amp; regional caseload%'!$B$43,'caseload data'!$D:$D,"PO")/SUMIF('caseload data'!$C:$C,'divisional &amp; regional caseload%'!$B$43,'caseload data'!E:E),"")</f>
        <v/>
      </c>
      <c r="D45" s="167" t="str">
        <f>IFERROR(SUMIFS('caseload data'!F:F,'caseload data'!$C:$C,'divisional &amp; regional caseload%'!$B$43,'caseload data'!$D:$D,"PO")/SUMIF('caseload data'!$C:$C,'divisional &amp; regional caseload%'!$B$43,'caseload data'!F:F),"")</f>
        <v/>
      </c>
      <c r="E45" s="167" t="str">
        <f>IFERROR(SUMIFS('caseload data'!G:G,'caseload data'!$C:$C,'divisional &amp; regional caseload%'!$B$43,'caseload data'!$D:$D,"PO")/SUMIF('caseload data'!$C:$C,'divisional &amp; regional caseload%'!$B$43,'caseload data'!G:G),"")</f>
        <v/>
      </c>
      <c r="F45" s="167" t="str">
        <f>IFERROR(SUMIFS('caseload data'!H:H,'caseload data'!$C:$C,'divisional &amp; regional caseload%'!$B$43,'caseload data'!$D:$D,"PO")/SUMIF('caseload data'!$C:$C,'divisional &amp; regional caseload%'!$B$43,'caseload data'!H:H),"")</f>
        <v/>
      </c>
      <c r="G45" s="167" t="str">
        <f>IFERROR(SUMIFS('caseload data'!I:I,'caseload data'!$C:$C,'divisional &amp; regional caseload%'!$B$43,'caseload data'!$D:$D,"PO")/SUMIF('caseload data'!$C:$C,'divisional &amp; regional caseload%'!$B$43,'caseload data'!I:I),"")</f>
        <v/>
      </c>
      <c r="H45" s="167" t="str">
        <f>IFERROR(SUMIFS('caseload data'!J:J,'caseload data'!$C:$C,'divisional &amp; regional caseload%'!$B$43,'caseload data'!$D:$D,"PO")/SUMIF('caseload data'!$C:$C,'divisional &amp; regional caseload%'!$B$43,'caseload data'!J:J),"")</f>
        <v/>
      </c>
      <c r="I45" s="167" t="str">
        <f>IFERROR(SUMIFS('caseload data'!K:K,'caseload data'!$C:$C,'divisional &amp; regional caseload%'!$B$43,'caseload data'!$D:$D,"PO")/SUMIF('caseload data'!$C:$C,'divisional &amp; regional caseload%'!$B$43,'caseload data'!K:K),"")</f>
        <v/>
      </c>
      <c r="J45" s="167" t="str">
        <f>IFERROR(SUMIFS('caseload data'!L:L,'caseload data'!$C:$C,'divisional &amp; regional caseload%'!$B$43,'caseload data'!$D:$D,"PO")/SUMIF('caseload data'!$C:$C,'divisional &amp; regional caseload%'!$B$43,'caseload data'!L:L),"")</f>
        <v/>
      </c>
      <c r="K45" s="167" t="str">
        <f>IFERROR(SUMIFS('caseload data'!M:M,'caseload data'!$C:$C,'divisional &amp; regional caseload%'!$B$43,'caseload data'!$D:$D,"PO")/SUMIF('caseload data'!$C:$C,'divisional &amp; regional caseload%'!$B$43,'caseload data'!M:M),"")</f>
        <v/>
      </c>
      <c r="L45" s="167" t="str">
        <f>IFERROR(SUMIFS('caseload data'!N:N,'caseload data'!$C:$C,'divisional &amp; regional caseload%'!$B$43,'caseload data'!$D:$D,"PO")/SUMIF('caseload data'!$C:$C,'divisional &amp; regional caseload%'!$B$43,'caseload data'!N:N),"")</f>
        <v/>
      </c>
      <c r="M45" s="167" t="str">
        <f>IFERROR(SUMIFS('caseload data'!O:O,'caseload data'!$C:$C,'divisional &amp; regional caseload%'!$B$43,'caseload data'!$D:$D,"PO")/SUMIF('caseload data'!$C:$C,'divisional &amp; regional caseload%'!$B$43,'caseload data'!O:O),"")</f>
        <v/>
      </c>
      <c r="N45" s="167" t="str">
        <f>IFERROR(SUMIFS('caseload data'!P:P,'caseload data'!$C:$C,'divisional &amp; regional caseload%'!$B$43,'caseload data'!$D:$D,"PO")/SUMIF('caseload data'!$C:$C,'divisional &amp; regional caseload%'!$B$43,'caseload data'!P:P),"")</f>
        <v/>
      </c>
      <c r="O45" s="167" t="str">
        <f>IFERROR(SUMIFS('caseload data'!Q:Q,'caseload data'!$C:$C,'divisional &amp; regional caseload%'!$B$43,'caseload data'!$D:$D,"PO")/SUMIF('caseload data'!$C:$C,'divisional &amp; regional caseload%'!$B$43,'caseload data'!Q:Q),"")</f>
        <v/>
      </c>
      <c r="P45" s="167" t="str">
        <f>IFERROR(SUMIFS('caseload data'!R:R,'caseload data'!$C:$C,'divisional &amp; regional caseload%'!$B$43,'caseload data'!$D:$D,"PO")/SUMIF('caseload data'!$C:$C,'divisional &amp; regional caseload%'!$B$43,'caseload data'!R:R),"")</f>
        <v/>
      </c>
      <c r="Q45" s="167" t="str">
        <f>IFERROR(SUMIFS('caseload data'!S:S,'caseload data'!$C:$C,'divisional &amp; regional caseload%'!$B$43,'caseload data'!$D:$D,"PO")/SUMIF('caseload data'!$C:$C,'divisional &amp; regional caseload%'!$B$43,'caseload data'!S:S),"")</f>
        <v/>
      </c>
      <c r="R45" s="167" t="str">
        <f>IFERROR(SUMIFS('caseload data'!T:T,'caseload data'!$C:$C,'divisional &amp; regional caseload%'!$B$43,'caseload data'!$D:$D,"PO")/SUMIF('caseload data'!$C:$C,'divisional &amp; regional caseload%'!$B$43,'caseload data'!T:T),"")</f>
        <v/>
      </c>
      <c r="S45" s="64"/>
      <c r="T45" s="96" t="s">
        <v>1002</v>
      </c>
      <c r="U45" s="167" t="str">
        <f>IFERROR(SUMIFS('caseload data'!E:E,'caseload data'!$C:$C,'divisional &amp; regional caseload%'!$T$43,'caseload data'!$D:$D,"PO")/SUMIF('caseload data'!$C:$C,'divisional &amp; regional caseload%'!$T$43,'caseload data'!E:E),"")</f>
        <v/>
      </c>
      <c r="V45" s="167" t="str">
        <f>IFERROR(SUMIFS('caseload data'!F:F,'caseload data'!$C:$C,'divisional &amp; regional caseload%'!$T$43,'caseload data'!$D:$D,"PO")/SUMIF('caseload data'!$C:$C,'divisional &amp; regional caseload%'!$T$43,'caseload data'!F:F),"")</f>
        <v/>
      </c>
      <c r="W45" s="167" t="str">
        <f>IFERROR(SUMIFS('caseload data'!G:G,'caseload data'!$C:$C,'divisional &amp; regional caseload%'!$T$43,'caseload data'!$D:$D,"PO")/SUMIF('caseload data'!$C:$C,'divisional &amp; regional caseload%'!$T$43,'caseload data'!G:G),"")</f>
        <v/>
      </c>
      <c r="X45" s="167" t="str">
        <f>IFERROR(SUMIFS('caseload data'!H:H,'caseload data'!$C:$C,'divisional &amp; regional caseload%'!$T$43,'caseload data'!$D:$D,"PO")/SUMIF('caseload data'!$C:$C,'divisional &amp; regional caseload%'!$T$43,'caseload data'!H:H),"")</f>
        <v/>
      </c>
      <c r="Y45" s="167" t="str">
        <f>IFERROR(SUMIFS('caseload data'!I:I,'caseload data'!$C:$C,'divisional &amp; regional caseload%'!$T$43,'caseload data'!$D:$D,"PO")/SUMIF('caseload data'!$C:$C,'divisional &amp; regional caseload%'!$T$43,'caseload data'!I:I),"")</f>
        <v/>
      </c>
      <c r="Z45" s="167" t="str">
        <f>IFERROR(SUMIFS('caseload data'!J:J,'caseload data'!$C:$C,'divisional &amp; regional caseload%'!$T$43,'caseload data'!$D:$D,"PO")/SUMIF('caseload data'!$C:$C,'divisional &amp; regional caseload%'!$T$43,'caseload data'!J:J),"")</f>
        <v/>
      </c>
      <c r="AA45" s="167" t="str">
        <f>IFERROR(SUMIFS('caseload data'!K:K,'caseload data'!$C:$C,'divisional &amp; regional caseload%'!$T$43,'caseload data'!$D:$D,"PO")/SUMIF('caseload data'!$C:$C,'divisional &amp; regional caseload%'!$T$43,'caseload data'!K:K),"")</f>
        <v/>
      </c>
      <c r="AB45" s="167" t="str">
        <f>IFERROR(SUMIFS('caseload data'!L:L,'caseload data'!$C:$C,'divisional &amp; regional caseload%'!$T$43,'caseload data'!$D:$D,"PO")/SUMIF('caseload data'!$C:$C,'divisional &amp; regional caseload%'!$T$43,'caseload data'!L:L),"")</f>
        <v/>
      </c>
      <c r="AC45" s="167" t="str">
        <f>IFERROR(SUMIFS('caseload data'!M:M,'caseload data'!$C:$C,'divisional &amp; regional caseload%'!$T$43,'caseload data'!$D:$D,"PO")/SUMIF('caseload data'!$C:$C,'divisional &amp; regional caseload%'!$T$43,'caseload data'!M:M),"")</f>
        <v/>
      </c>
      <c r="AD45" s="167" t="str">
        <f>IFERROR(SUMIFS('caseload data'!N:N,'caseload data'!$C:$C,'divisional &amp; regional caseload%'!$T$43,'caseload data'!$D:$D,"PO")/SUMIF('caseload data'!$C:$C,'divisional &amp; regional caseload%'!$T$43,'caseload data'!N:N),"")</f>
        <v/>
      </c>
      <c r="AE45" s="167" t="str">
        <f>IFERROR(SUMIFS('caseload data'!O:O,'caseload data'!$C:$C,'divisional &amp; regional caseload%'!$T$43,'caseload data'!$D:$D,"PO")/SUMIF('caseload data'!$C:$C,'divisional &amp; regional caseload%'!$T$43,'caseload data'!O:O),"")</f>
        <v/>
      </c>
      <c r="AF45" s="167" t="str">
        <f>IFERROR(SUMIFS('caseload data'!P:P,'caseload data'!$C:$C,'divisional &amp; regional caseload%'!$T$43,'caseload data'!$D:$D,"PO")/SUMIF('caseload data'!$C:$C,'divisional &amp; regional caseload%'!$T$43,'caseload data'!P:P),"")</f>
        <v/>
      </c>
      <c r="AG45" s="167" t="str">
        <f>IFERROR(SUMIFS('caseload data'!Q:Q,'caseload data'!$C:$C,'divisional &amp; regional caseload%'!$T$43,'caseload data'!$D:$D,"PO")/SUMIF('caseload data'!$C:$C,'divisional &amp; regional caseload%'!$T$43,'caseload data'!Q:Q),"")</f>
        <v/>
      </c>
      <c r="AH45" s="167" t="str">
        <f>IFERROR(SUMIFS('caseload data'!R:R,'caseload data'!$C:$C,'divisional &amp; regional caseload%'!$T$43,'caseload data'!$D:$D,"PO")/SUMIF('caseload data'!$C:$C,'divisional &amp; regional caseload%'!$T$43,'caseload data'!R:R),"")</f>
        <v/>
      </c>
      <c r="AI45" s="167" t="str">
        <f>IFERROR(SUMIFS('caseload data'!S:S,'caseload data'!$C:$C,'divisional &amp; regional caseload%'!$T$43,'caseload data'!$D:$D,"PO")/SUMIF('caseload data'!$C:$C,'divisional &amp; regional caseload%'!$T$43,'caseload data'!S:S),"")</f>
        <v/>
      </c>
      <c r="AJ45" s="167" t="str">
        <f>IFERROR(SUMIFS('caseload data'!T:T,'caseload data'!$C:$C,'divisional &amp; regional caseload%'!$T$43,'caseload data'!$D:$D,"PO")/SUMIF('caseload data'!$C:$C,'divisional &amp; regional caseload%'!$T$43,'caseload data'!T:T),"")</f>
        <v/>
      </c>
    </row>
    <row r="46" spans="2:36" x14ac:dyDescent="0.15">
      <c r="B46" s="97" t="s">
        <v>1007</v>
      </c>
      <c r="C46" s="167" t="str">
        <f>IFERROR(SUMIFS('caseload data'!E:E,'caseload data'!$C:$C,'divisional &amp; regional caseload%'!$B$43,'caseload data'!$D:$D,"PSO")/SUMIF('caseload data'!$C:$C,'divisional &amp; regional caseload%'!$B$43,'caseload data'!E:E),"")</f>
        <v/>
      </c>
      <c r="D46" s="167" t="str">
        <f>IFERROR(SUMIFS('caseload data'!F:F,'caseload data'!$C:$C,'divisional &amp; regional caseload%'!$B$43,'caseload data'!$D:$D,"PSO")/SUMIF('caseload data'!$C:$C,'divisional &amp; regional caseload%'!$B$43,'caseload data'!F:F),"")</f>
        <v/>
      </c>
      <c r="E46" s="167" t="str">
        <f>IFERROR(SUMIFS('caseload data'!G:G,'caseload data'!$C:$C,'divisional &amp; regional caseload%'!$B$43,'caseload data'!$D:$D,"PSO")/SUMIF('caseload data'!$C:$C,'divisional &amp; regional caseload%'!$B$43,'caseload data'!G:G),"")</f>
        <v/>
      </c>
      <c r="F46" s="167" t="str">
        <f>IFERROR(SUMIFS('caseload data'!H:H,'caseload data'!$C:$C,'divisional &amp; regional caseload%'!$B$43,'caseload data'!$D:$D,"PSO")/SUMIF('caseload data'!$C:$C,'divisional &amp; regional caseload%'!$B$43,'caseload data'!H:H),"")</f>
        <v/>
      </c>
      <c r="G46" s="167" t="str">
        <f>IFERROR(SUMIFS('caseload data'!I:I,'caseload data'!$C:$C,'divisional &amp; regional caseload%'!$B$43,'caseload data'!$D:$D,"PSO")/SUMIF('caseload data'!$C:$C,'divisional &amp; regional caseload%'!$B$43,'caseload data'!I:I),"")</f>
        <v/>
      </c>
      <c r="H46" s="167" t="str">
        <f>IFERROR(SUMIFS('caseload data'!J:J,'caseload data'!$C:$C,'divisional &amp; regional caseload%'!$B$43,'caseload data'!$D:$D,"PSO")/SUMIF('caseload data'!$C:$C,'divisional &amp; regional caseload%'!$B$43,'caseload data'!J:J),"")</f>
        <v/>
      </c>
      <c r="I46" s="167" t="str">
        <f>IFERROR(SUMIFS('caseload data'!K:K,'caseload data'!$C:$C,'divisional &amp; regional caseload%'!$B$43,'caseload data'!$D:$D,"PSO")/SUMIF('caseload data'!$C:$C,'divisional &amp; regional caseload%'!$B$43,'caseload data'!K:K),"")</f>
        <v/>
      </c>
      <c r="J46" s="167" t="str">
        <f>IFERROR(SUMIFS('caseload data'!L:L,'caseload data'!$C:$C,'divisional &amp; regional caseload%'!$B$43,'caseload data'!$D:$D,"PSO")/SUMIF('caseload data'!$C:$C,'divisional &amp; regional caseload%'!$B$43,'caseload data'!L:L),"")</f>
        <v/>
      </c>
      <c r="K46" s="167" t="str">
        <f>IFERROR(SUMIFS('caseload data'!M:M,'caseload data'!$C:$C,'divisional &amp; regional caseload%'!$B$43,'caseload data'!$D:$D,"PSO")/SUMIF('caseload data'!$C:$C,'divisional &amp; regional caseload%'!$B$43,'caseload data'!M:M),"")</f>
        <v/>
      </c>
      <c r="L46" s="167" t="str">
        <f>IFERROR(SUMIFS('caseload data'!N:N,'caseload data'!$C:$C,'divisional &amp; regional caseload%'!$B$43,'caseload data'!$D:$D,"PSO")/SUMIF('caseload data'!$C:$C,'divisional &amp; regional caseload%'!$B$43,'caseload data'!N:N),"")</f>
        <v/>
      </c>
      <c r="M46" s="167" t="str">
        <f>IFERROR(SUMIFS('caseload data'!O:O,'caseload data'!$C:$C,'divisional &amp; regional caseload%'!$B$43,'caseload data'!$D:$D,"PSO")/SUMIF('caseload data'!$C:$C,'divisional &amp; regional caseload%'!$B$43,'caseload data'!O:O),"")</f>
        <v/>
      </c>
      <c r="N46" s="167" t="str">
        <f>IFERROR(SUMIFS('caseload data'!P:P,'caseload data'!$C:$C,'divisional &amp; regional caseload%'!$B$43,'caseload data'!$D:$D,"PSO")/SUMIF('caseload data'!$C:$C,'divisional &amp; regional caseload%'!$B$43,'caseload data'!P:P),"")</f>
        <v/>
      </c>
      <c r="O46" s="167" t="str">
        <f>IFERROR(SUMIFS('caseload data'!Q:Q,'caseload data'!$C:$C,'divisional &amp; regional caseload%'!$B$43,'caseload data'!$D:$D,"PSO")/SUMIF('caseload data'!$C:$C,'divisional &amp; regional caseload%'!$B$43,'caseload data'!Q:Q),"")</f>
        <v/>
      </c>
      <c r="P46" s="167" t="str">
        <f>IFERROR(SUMIFS('caseload data'!R:R,'caseload data'!$C:$C,'divisional &amp; regional caseload%'!$B$43,'caseload data'!$D:$D,"PSO")/SUMIF('caseload data'!$C:$C,'divisional &amp; regional caseload%'!$B$43,'caseload data'!R:R),"")</f>
        <v/>
      </c>
      <c r="Q46" s="167" t="str">
        <f>IFERROR(SUMIFS('caseload data'!S:S,'caseload data'!$C:$C,'divisional &amp; regional caseload%'!$B$43,'caseload data'!$D:$D,"PSO")/SUMIF('caseload data'!$C:$C,'divisional &amp; regional caseload%'!$B$43,'caseload data'!S:S),"")</f>
        <v/>
      </c>
      <c r="R46" s="167" t="str">
        <f>IFERROR(SUMIFS('caseload data'!T:T,'caseload data'!$C:$C,'divisional &amp; regional caseload%'!$B$43,'caseload data'!$D:$D,"PSO")/SUMIF('caseload data'!$C:$C,'divisional &amp; regional caseload%'!$B$43,'caseload data'!T:T),"")</f>
        <v/>
      </c>
      <c r="S46" s="64"/>
      <c r="T46" s="97" t="s">
        <v>1007</v>
      </c>
      <c r="U46" s="167" t="str">
        <f>IFERROR(SUMIFS('caseload data'!E:E,'caseload data'!$C:$C,'divisional &amp; regional caseload%'!$T$43,'caseload data'!$D:$D,"PSO")/SUMIF('caseload data'!$C:$C,'divisional &amp; regional caseload%'!$T$36,'caseload data'!E:E),"")</f>
        <v/>
      </c>
      <c r="V46" s="167" t="str">
        <f>IFERROR(SUMIFS('caseload data'!F:F,'caseload data'!$C:$C,'divisional &amp; regional caseload%'!$T$43,'caseload data'!$D:$D,"PSO")/SUMIF('caseload data'!$C:$C,'divisional &amp; regional caseload%'!$T$36,'caseload data'!F:F),"")</f>
        <v/>
      </c>
      <c r="W46" s="167" t="str">
        <f>IFERROR(SUMIFS('caseload data'!G:G,'caseload data'!$C:$C,'divisional &amp; regional caseload%'!$T$43,'caseload data'!$D:$D,"PSO")/SUMIF('caseload data'!$C:$C,'divisional &amp; regional caseload%'!$T$36,'caseload data'!G:G),"")</f>
        <v/>
      </c>
      <c r="X46" s="167" t="str">
        <f>IFERROR(SUMIFS('caseload data'!H:H,'caseload data'!$C:$C,'divisional &amp; regional caseload%'!$T$43,'caseload data'!$D:$D,"PSO")/SUMIF('caseload data'!$C:$C,'divisional &amp; regional caseload%'!$T$36,'caseload data'!H:H),"")</f>
        <v/>
      </c>
      <c r="Y46" s="167" t="str">
        <f>IFERROR(SUMIFS('caseload data'!I:I,'caseload data'!$C:$C,'divisional &amp; regional caseload%'!$T$43,'caseload data'!$D:$D,"PSO")/SUMIF('caseload data'!$C:$C,'divisional &amp; regional caseload%'!$T$36,'caseload data'!I:I),"")</f>
        <v/>
      </c>
      <c r="Z46" s="167" t="str">
        <f>IFERROR(SUMIFS('caseload data'!J:J,'caseload data'!$C:$C,'divisional &amp; regional caseload%'!$T$43,'caseload data'!$D:$D,"PSO")/SUMIF('caseload data'!$C:$C,'divisional &amp; regional caseload%'!$T$36,'caseload data'!J:J),"")</f>
        <v/>
      </c>
      <c r="AA46" s="167" t="str">
        <f>IFERROR(SUMIFS('caseload data'!K:K,'caseload data'!$C:$C,'divisional &amp; regional caseload%'!$T$43,'caseload data'!$D:$D,"PSO")/SUMIF('caseload data'!$C:$C,'divisional &amp; regional caseload%'!$T$36,'caseload data'!K:K),"")</f>
        <v/>
      </c>
      <c r="AB46" s="167" t="str">
        <f>IFERROR(SUMIFS('caseload data'!L:L,'caseload data'!$C:$C,'divisional &amp; regional caseload%'!$T$43,'caseload data'!$D:$D,"PSO")/SUMIF('caseload data'!$C:$C,'divisional &amp; regional caseload%'!$T$36,'caseload data'!L:L),"")</f>
        <v/>
      </c>
      <c r="AC46" s="167" t="str">
        <f>IFERROR(SUMIFS('caseload data'!M:M,'caseload data'!$C:$C,'divisional &amp; regional caseload%'!$T$43,'caseload data'!$D:$D,"PSO")/SUMIF('caseload data'!$C:$C,'divisional &amp; regional caseload%'!$T$36,'caseload data'!M:M),"")</f>
        <v/>
      </c>
      <c r="AD46" s="167" t="str">
        <f>IFERROR(SUMIFS('caseload data'!N:N,'caseload data'!$C:$C,'divisional &amp; regional caseload%'!$T$43,'caseload data'!$D:$D,"PSO")/SUMIF('caseload data'!$C:$C,'divisional &amp; regional caseload%'!$T$36,'caseload data'!N:N),"")</f>
        <v/>
      </c>
      <c r="AE46" s="167" t="str">
        <f>IFERROR(SUMIFS('caseload data'!O:O,'caseload data'!$C:$C,'divisional &amp; regional caseload%'!$T$43,'caseload data'!$D:$D,"PSO")/SUMIF('caseload data'!$C:$C,'divisional &amp; regional caseload%'!$T$36,'caseload data'!O:O),"")</f>
        <v/>
      </c>
      <c r="AF46" s="167" t="str">
        <f>IFERROR(SUMIFS('caseload data'!P:P,'caseload data'!$C:$C,'divisional &amp; regional caseload%'!$T$43,'caseload data'!$D:$D,"PSO")/SUMIF('caseload data'!$C:$C,'divisional &amp; regional caseload%'!$T$36,'caseload data'!P:P),"")</f>
        <v/>
      </c>
      <c r="AG46" s="167" t="str">
        <f>IFERROR(SUMIFS('caseload data'!Q:Q,'caseload data'!$C:$C,'divisional &amp; regional caseload%'!$T$43,'caseload data'!$D:$D,"PSO")/SUMIF('caseload data'!$C:$C,'divisional &amp; regional caseload%'!$T$36,'caseload data'!Q:Q),"")</f>
        <v/>
      </c>
      <c r="AH46" s="167" t="str">
        <f>IFERROR(SUMIFS('caseload data'!R:R,'caseload data'!$C:$C,'divisional &amp; regional caseload%'!$T$43,'caseload data'!$D:$D,"PSO")/SUMIF('caseload data'!$C:$C,'divisional &amp; regional caseload%'!$T$36,'caseload data'!R:R),"")</f>
        <v/>
      </c>
      <c r="AI46" s="167" t="str">
        <f>IFERROR(SUMIFS('caseload data'!S:S,'caseload data'!$C:$C,'divisional &amp; regional caseload%'!$T$43,'caseload data'!$D:$D,"PSO")/SUMIF('caseload data'!$C:$C,'divisional &amp; regional caseload%'!$T$36,'caseload data'!S:S),"")</f>
        <v/>
      </c>
      <c r="AJ46" s="167" t="str">
        <f>IFERROR(SUMIFS('caseload data'!T:T,'caseload data'!$C:$C,'divisional &amp; regional caseload%'!$T$43,'caseload data'!$D:$D,"PSO")/SUMIF('caseload data'!$C:$C,'divisional &amp; regional caseload%'!$T$36,'caseload data'!T:T),"")</f>
        <v/>
      </c>
    </row>
    <row r="47" spans="2:36" x14ac:dyDescent="0.15">
      <c r="B47" s="97" t="s">
        <v>1008</v>
      </c>
      <c r="C47" s="167" t="str">
        <f>IFERROR(SUMIFS('caseload data'!E:E,'caseload data'!$C:$C,'divisional &amp; regional caseload%'!$B$43,'caseload data'!$D:$D,"TPO")/SUMIF('caseload data'!$C:$C,'divisional &amp; regional caseload%'!$B$43,'caseload data'!E:E),"")</f>
        <v/>
      </c>
      <c r="D47" s="167" t="str">
        <f>IFERROR(SUMIFS('caseload data'!F:F,'caseload data'!$C:$C,'divisional &amp; regional caseload%'!$B$43,'caseload data'!$D:$D,"TPO")/SUMIF('caseload data'!$C:$C,'divisional &amp; regional caseload%'!$B$43,'caseload data'!F:F),"")</f>
        <v/>
      </c>
      <c r="E47" s="167" t="str">
        <f>IFERROR(SUMIFS('caseload data'!G:G,'caseload data'!$C:$C,'divisional &amp; regional caseload%'!$B$43,'caseload data'!$D:$D,"TPO")/SUMIF('caseload data'!$C:$C,'divisional &amp; regional caseload%'!$B$43,'caseload data'!G:G),"")</f>
        <v/>
      </c>
      <c r="F47" s="167" t="str">
        <f>IFERROR(SUMIFS('caseload data'!H:H,'caseload data'!$C:$C,'divisional &amp; regional caseload%'!$B$43,'caseload data'!$D:$D,"TPO")/SUMIF('caseload data'!$C:$C,'divisional &amp; regional caseload%'!$B$43,'caseload data'!H:H),"")</f>
        <v/>
      </c>
      <c r="G47" s="167" t="str">
        <f>IFERROR(SUMIFS('caseload data'!I:I,'caseload data'!$C:$C,'divisional &amp; regional caseload%'!$B$43,'caseload data'!$D:$D,"TPO")/SUMIF('caseload data'!$C:$C,'divisional &amp; regional caseload%'!$B$43,'caseload data'!I:I),"")</f>
        <v/>
      </c>
      <c r="H47" s="167" t="str">
        <f>IFERROR(SUMIFS('caseload data'!J:J,'caseload data'!$C:$C,'divisional &amp; regional caseload%'!$B$43,'caseload data'!$D:$D,"TPO")/SUMIF('caseload data'!$C:$C,'divisional &amp; regional caseload%'!$B$43,'caseload data'!J:J),"")</f>
        <v/>
      </c>
      <c r="I47" s="167" t="str">
        <f>IFERROR(SUMIFS('caseload data'!K:K,'caseload data'!$C:$C,'divisional &amp; regional caseload%'!$B$43,'caseload data'!$D:$D,"TPO")/SUMIF('caseload data'!$C:$C,'divisional &amp; regional caseload%'!$B$43,'caseload data'!K:K),"")</f>
        <v/>
      </c>
      <c r="J47" s="167" t="str">
        <f>IFERROR(SUMIFS('caseload data'!L:L,'caseload data'!$C:$C,'divisional &amp; regional caseload%'!$B$43,'caseload data'!$D:$D,"TPO")/SUMIF('caseload data'!$C:$C,'divisional &amp; regional caseload%'!$B$43,'caseload data'!L:L),"")</f>
        <v/>
      </c>
      <c r="K47" s="167" t="str">
        <f>IFERROR(SUMIFS('caseload data'!M:M,'caseload data'!$C:$C,'divisional &amp; regional caseload%'!$B$43,'caseload data'!$D:$D,"TPO")/SUMIF('caseload data'!$C:$C,'divisional &amp; regional caseload%'!$B$43,'caseload data'!M:M),"")</f>
        <v/>
      </c>
      <c r="L47" s="167" t="str">
        <f>IFERROR(SUMIFS('caseload data'!N:N,'caseload data'!$C:$C,'divisional &amp; regional caseload%'!$B$43,'caseload data'!$D:$D,"TPO")/SUMIF('caseload data'!$C:$C,'divisional &amp; regional caseload%'!$B$43,'caseload data'!N:N),"")</f>
        <v/>
      </c>
      <c r="M47" s="167" t="str">
        <f>IFERROR(SUMIFS('caseload data'!O:O,'caseload data'!$C:$C,'divisional &amp; regional caseload%'!$B$43,'caseload data'!$D:$D,"TPO")/SUMIF('caseload data'!$C:$C,'divisional &amp; regional caseload%'!$B$43,'caseload data'!O:O),"")</f>
        <v/>
      </c>
      <c r="N47" s="167" t="str">
        <f>IFERROR(SUMIFS('caseload data'!P:P,'caseload data'!$C:$C,'divisional &amp; regional caseload%'!$B$43,'caseload data'!$D:$D,"TPO")/SUMIF('caseload data'!$C:$C,'divisional &amp; regional caseload%'!$B$43,'caseload data'!P:P),"")</f>
        <v/>
      </c>
      <c r="O47" s="167" t="str">
        <f>IFERROR(SUMIFS('caseload data'!Q:Q,'caseload data'!$C:$C,'divisional &amp; regional caseload%'!$B$43,'caseload data'!$D:$D,"TPO")/SUMIF('caseload data'!$C:$C,'divisional &amp; regional caseload%'!$B$43,'caseload data'!Q:Q),"")</f>
        <v/>
      </c>
      <c r="P47" s="167" t="str">
        <f>IFERROR(SUMIFS('caseload data'!R:R,'caseload data'!$C:$C,'divisional &amp; regional caseload%'!$B$43,'caseload data'!$D:$D,"TPO")/SUMIF('caseload data'!$C:$C,'divisional &amp; regional caseload%'!$B$43,'caseload data'!R:R),"")</f>
        <v/>
      </c>
      <c r="Q47" s="167" t="str">
        <f>IFERROR(SUMIFS('caseload data'!S:S,'caseload data'!$C:$C,'divisional &amp; regional caseload%'!$B$43,'caseload data'!$D:$D,"TPO")/SUMIF('caseload data'!$C:$C,'divisional &amp; regional caseload%'!$B$43,'caseload data'!S:S),"")</f>
        <v/>
      </c>
      <c r="R47" s="167" t="str">
        <f>IFERROR(SUMIFS('caseload data'!T:T,'caseload data'!$C:$C,'divisional &amp; regional caseload%'!$B$43,'caseload data'!$D:$D,"TPO")/SUMIF('caseload data'!$C:$C,'divisional &amp; regional caseload%'!$B$43,'caseload data'!T:T),"")</f>
        <v/>
      </c>
      <c r="S47" s="64"/>
      <c r="T47" s="97" t="s">
        <v>1008</v>
      </c>
      <c r="U47" s="167" t="str">
        <f>IFERROR(SUMIFS('caseload data'!E:E,'caseload data'!$C:$C,'divisional &amp; regional caseload%'!$T$43,'caseload data'!$D:$D,"TPO")/SUMIF('caseload data'!$C:$C,'divisional &amp; regional caseload%'!$T$36,'caseload data'!E:E),"")</f>
        <v/>
      </c>
      <c r="V47" s="167" t="str">
        <f>IFERROR(SUMIFS('caseload data'!F:F,'caseload data'!$C:$C,'divisional &amp; regional caseload%'!$T$43,'caseload data'!$D:$D,"TPO")/SUMIF('caseload data'!$C:$C,'divisional &amp; regional caseload%'!$T$36,'caseload data'!F:F),"")</f>
        <v/>
      </c>
      <c r="W47" s="167" t="str">
        <f>IFERROR(SUMIFS('caseload data'!G:G,'caseload data'!$C:$C,'divisional &amp; regional caseload%'!$T$43,'caseload data'!$D:$D,"TPO")/SUMIF('caseload data'!$C:$C,'divisional &amp; regional caseload%'!$T$36,'caseload data'!G:G),"")</f>
        <v/>
      </c>
      <c r="X47" s="167" t="str">
        <f>IFERROR(SUMIFS('caseload data'!H:H,'caseload data'!$C:$C,'divisional &amp; regional caseload%'!$T$43,'caseload data'!$D:$D,"TPO")/SUMIF('caseload data'!$C:$C,'divisional &amp; regional caseload%'!$T$36,'caseload data'!H:H),"")</f>
        <v/>
      </c>
      <c r="Y47" s="167" t="str">
        <f>IFERROR(SUMIFS('caseload data'!I:I,'caseload data'!$C:$C,'divisional &amp; regional caseload%'!$T$43,'caseload data'!$D:$D,"TPO")/SUMIF('caseload data'!$C:$C,'divisional &amp; regional caseload%'!$T$36,'caseload data'!I:I),"")</f>
        <v/>
      </c>
      <c r="Z47" s="167" t="str">
        <f>IFERROR(SUMIFS('caseload data'!J:J,'caseload data'!$C:$C,'divisional &amp; regional caseload%'!$T$43,'caseload data'!$D:$D,"TPO")/SUMIF('caseload data'!$C:$C,'divisional &amp; regional caseload%'!$T$36,'caseload data'!J:J),"")</f>
        <v/>
      </c>
      <c r="AA47" s="167" t="str">
        <f>IFERROR(SUMIFS('caseload data'!K:K,'caseload data'!$C:$C,'divisional &amp; regional caseload%'!$T$43,'caseload data'!$D:$D,"TPO")/SUMIF('caseload data'!$C:$C,'divisional &amp; regional caseload%'!$T$36,'caseload data'!K:K),"")</f>
        <v/>
      </c>
      <c r="AB47" s="167" t="str">
        <f>IFERROR(SUMIFS('caseload data'!L:L,'caseload data'!$C:$C,'divisional &amp; regional caseload%'!$T$43,'caseload data'!$D:$D,"TPO")/SUMIF('caseload data'!$C:$C,'divisional &amp; regional caseload%'!$T$36,'caseload data'!L:L),"")</f>
        <v/>
      </c>
      <c r="AC47" s="167" t="str">
        <f>IFERROR(SUMIFS('caseload data'!M:M,'caseload data'!$C:$C,'divisional &amp; regional caseload%'!$T$43,'caseload data'!$D:$D,"TPO")/SUMIF('caseload data'!$C:$C,'divisional &amp; regional caseload%'!$T$36,'caseload data'!M:M),"")</f>
        <v/>
      </c>
      <c r="AD47" s="167" t="str">
        <f>IFERROR(SUMIFS('caseload data'!N:N,'caseload data'!$C:$C,'divisional &amp; regional caseload%'!$T$43,'caseload data'!$D:$D,"TPO")/SUMIF('caseload data'!$C:$C,'divisional &amp; regional caseload%'!$T$36,'caseload data'!N:N),"")</f>
        <v/>
      </c>
      <c r="AE47" s="167" t="str">
        <f>IFERROR(SUMIFS('caseload data'!O:O,'caseload data'!$C:$C,'divisional &amp; regional caseload%'!$T$43,'caseload data'!$D:$D,"TPO")/SUMIF('caseload data'!$C:$C,'divisional &amp; regional caseload%'!$T$36,'caseload data'!O:O),"")</f>
        <v/>
      </c>
      <c r="AF47" s="167" t="str">
        <f>IFERROR(SUMIFS('caseload data'!P:P,'caseload data'!$C:$C,'divisional &amp; regional caseload%'!$T$43,'caseload data'!$D:$D,"TPO")/SUMIF('caseload data'!$C:$C,'divisional &amp; regional caseload%'!$T$36,'caseload data'!P:P),"")</f>
        <v/>
      </c>
      <c r="AG47" s="167" t="str">
        <f>IFERROR(SUMIFS('caseload data'!Q:Q,'caseload data'!$C:$C,'divisional &amp; regional caseload%'!$T$43,'caseload data'!$D:$D,"TPO")/SUMIF('caseload data'!$C:$C,'divisional &amp; regional caseload%'!$T$36,'caseload data'!Q:Q),"")</f>
        <v/>
      </c>
      <c r="AH47" s="167" t="str">
        <f>IFERROR(SUMIFS('caseload data'!R:R,'caseload data'!$C:$C,'divisional &amp; regional caseload%'!$T$43,'caseload data'!$D:$D,"TPO")/SUMIF('caseload data'!$C:$C,'divisional &amp; regional caseload%'!$T$36,'caseload data'!R:R),"")</f>
        <v/>
      </c>
      <c r="AI47" s="167" t="str">
        <f>IFERROR(SUMIFS('caseload data'!S:S,'caseload data'!$C:$C,'divisional &amp; regional caseload%'!$T$43,'caseload data'!$D:$D,"TPO")/SUMIF('caseload data'!$C:$C,'divisional &amp; regional caseload%'!$T$36,'caseload data'!S:S),"")</f>
        <v/>
      </c>
      <c r="AJ47" s="167" t="str">
        <f>IFERROR(SUMIFS('caseload data'!T:T,'caseload data'!$C:$C,'divisional &amp; regional caseload%'!$T$43,'caseload data'!$D:$D,"TPO")/SUMIF('caseload data'!$C:$C,'divisional &amp; regional caseload%'!$T$36,'caseload data'!T:T),"")</f>
        <v/>
      </c>
    </row>
    <row r="48" spans="2:36" x14ac:dyDescent="0.15">
      <c r="B48" s="98" t="s">
        <v>1009</v>
      </c>
      <c r="C48" s="167" t="str">
        <f>IFERROR(SUMIFS('caseload data'!E:E,'caseload data'!$C:$C,'divisional &amp; regional caseload%'!$B$43,'caseload data'!$D:$D,"SPO")/SUMIF('caseload data'!$C:$C,'divisional &amp; regional caseload%'!$B$43,'caseload data'!E:E),"")</f>
        <v/>
      </c>
      <c r="D48" s="167" t="str">
        <f>IFERROR(SUMIFS('caseload data'!F:F,'caseload data'!$C:$C,'divisional &amp; regional caseload%'!$B$43,'caseload data'!$D:$D,"SPO")/SUMIF('caseload data'!$C:$C,'divisional &amp; regional caseload%'!$B$43,'caseload data'!F:F),"")</f>
        <v/>
      </c>
      <c r="E48" s="167" t="str">
        <f>IFERROR(SUMIFS('caseload data'!G:G,'caseload data'!$C:$C,'divisional &amp; regional caseload%'!$B$43,'caseload data'!$D:$D,"SPO")/SUMIF('caseload data'!$C:$C,'divisional &amp; regional caseload%'!$B$43,'caseload data'!G:G),"")</f>
        <v/>
      </c>
      <c r="F48" s="167" t="str">
        <f>IFERROR(SUMIFS('caseload data'!H:H,'caseload data'!$C:$C,'divisional &amp; regional caseload%'!$B$43,'caseload data'!$D:$D,"SPO")/SUMIF('caseload data'!$C:$C,'divisional &amp; regional caseload%'!$B$43,'caseload data'!H:H),"")</f>
        <v/>
      </c>
      <c r="G48" s="167" t="str">
        <f>IFERROR(SUMIFS('caseload data'!I:I,'caseload data'!$C:$C,'divisional &amp; regional caseload%'!$B$43,'caseload data'!$D:$D,"SPO")/SUMIF('caseload data'!$C:$C,'divisional &amp; regional caseload%'!$B$43,'caseload data'!I:I),"")</f>
        <v/>
      </c>
      <c r="H48" s="167" t="str">
        <f>IFERROR(SUMIFS('caseload data'!J:J,'caseload data'!$C:$C,'divisional &amp; regional caseload%'!$B$43,'caseload data'!$D:$D,"SPO")/SUMIF('caseload data'!$C:$C,'divisional &amp; regional caseload%'!$B$43,'caseload data'!J:J),"")</f>
        <v/>
      </c>
      <c r="I48" s="167" t="str">
        <f>IFERROR(SUMIFS('caseload data'!K:K,'caseload data'!$C:$C,'divisional &amp; regional caseload%'!$B$43,'caseload data'!$D:$D,"SPO")/SUMIF('caseload data'!$C:$C,'divisional &amp; regional caseload%'!$B$43,'caseload data'!K:K),"")</f>
        <v/>
      </c>
      <c r="J48" s="167" t="str">
        <f>IFERROR(SUMIFS('caseload data'!L:L,'caseload data'!$C:$C,'divisional &amp; regional caseload%'!$B$43,'caseload data'!$D:$D,"SPO")/SUMIF('caseload data'!$C:$C,'divisional &amp; regional caseload%'!$B$43,'caseload data'!L:L),"")</f>
        <v/>
      </c>
      <c r="K48" s="167" t="str">
        <f>IFERROR(SUMIFS('caseload data'!M:M,'caseload data'!$C:$C,'divisional &amp; regional caseload%'!$B$43,'caseload data'!$D:$D,"SPO")/SUMIF('caseload data'!$C:$C,'divisional &amp; regional caseload%'!$B$43,'caseload data'!M:M),"")</f>
        <v/>
      </c>
      <c r="L48" s="167" t="str">
        <f>IFERROR(SUMIFS('caseload data'!N:N,'caseload data'!$C:$C,'divisional &amp; regional caseload%'!$B$43,'caseload data'!$D:$D,"SPO")/SUMIF('caseload data'!$C:$C,'divisional &amp; regional caseload%'!$B$43,'caseload data'!N:N),"")</f>
        <v/>
      </c>
      <c r="M48" s="167" t="str">
        <f>IFERROR(SUMIFS('caseload data'!O:O,'caseload data'!$C:$C,'divisional &amp; regional caseload%'!$B$43,'caseload data'!$D:$D,"SPO")/SUMIF('caseload data'!$C:$C,'divisional &amp; regional caseload%'!$B$43,'caseload data'!O:O),"")</f>
        <v/>
      </c>
      <c r="N48" s="167" t="str">
        <f>IFERROR(SUMIFS('caseload data'!P:P,'caseload data'!$C:$C,'divisional &amp; regional caseload%'!$B$43,'caseload data'!$D:$D,"SPO")/SUMIF('caseload data'!$C:$C,'divisional &amp; regional caseload%'!$B$43,'caseload data'!P:P),"")</f>
        <v/>
      </c>
      <c r="O48" s="167" t="str">
        <f>IFERROR(SUMIFS('caseload data'!Q:Q,'caseload data'!$C:$C,'divisional &amp; regional caseload%'!$B$43,'caseload data'!$D:$D,"SPO")/SUMIF('caseload data'!$C:$C,'divisional &amp; regional caseload%'!$B$43,'caseload data'!Q:Q),"")</f>
        <v/>
      </c>
      <c r="P48" s="167" t="str">
        <f>IFERROR(SUMIFS('caseload data'!R:R,'caseload data'!$C:$C,'divisional &amp; regional caseload%'!$B$43,'caseload data'!$D:$D,"SPO")/SUMIF('caseload data'!$C:$C,'divisional &amp; regional caseload%'!$B$43,'caseload data'!R:R),"")</f>
        <v/>
      </c>
      <c r="Q48" s="167" t="str">
        <f>IFERROR(SUMIFS('caseload data'!S:S,'caseload data'!$C:$C,'divisional &amp; regional caseload%'!$B$43,'caseload data'!$D:$D,"SPO")/SUMIF('caseload data'!$C:$C,'divisional &amp; regional caseload%'!$B$43,'caseload data'!S:S),"")</f>
        <v/>
      </c>
      <c r="R48" s="167" t="str">
        <f>IFERROR(SUMIFS('caseload data'!T:T,'caseload data'!$C:$C,'divisional &amp; regional caseload%'!$B$43,'caseload data'!$D:$D,"SPO")/SUMIF('caseload data'!$C:$C,'divisional &amp; regional caseload%'!$B$43,'caseload data'!T:T),"")</f>
        <v/>
      </c>
      <c r="S48" s="64"/>
      <c r="T48" s="98" t="s">
        <v>1009</v>
      </c>
      <c r="U48" s="167" t="str">
        <f>IFERROR(SUMIFS('caseload data'!E:E,'caseload data'!$C:$C,'divisional &amp; regional caseload%'!$T$43,'caseload data'!$D:$D,"SPO")/SUMIF('caseload data'!$C:$C,'divisional &amp; regional caseload%'!$T$36,'caseload data'!E:E),"")</f>
        <v/>
      </c>
      <c r="V48" s="167" t="str">
        <f>IFERROR(SUMIFS('caseload data'!F:F,'caseload data'!$C:$C,'divisional &amp; regional caseload%'!$T$43,'caseload data'!$D:$D,"SPO")/SUMIF('caseload data'!$C:$C,'divisional &amp; regional caseload%'!$T$36,'caseload data'!F:F),"")</f>
        <v/>
      </c>
      <c r="W48" s="167" t="str">
        <f>IFERROR(SUMIFS('caseload data'!G:G,'caseload data'!$C:$C,'divisional &amp; regional caseload%'!$T$43,'caseload data'!$D:$D,"SPO")/SUMIF('caseload data'!$C:$C,'divisional &amp; regional caseload%'!$T$36,'caseload data'!G:G),"")</f>
        <v/>
      </c>
      <c r="X48" s="167" t="str">
        <f>IFERROR(SUMIFS('caseload data'!H:H,'caseload data'!$C:$C,'divisional &amp; regional caseload%'!$T$43,'caseload data'!$D:$D,"SPO")/SUMIF('caseload data'!$C:$C,'divisional &amp; regional caseload%'!$T$36,'caseload data'!H:H),"")</f>
        <v/>
      </c>
      <c r="Y48" s="167" t="str">
        <f>IFERROR(SUMIFS('caseload data'!I:I,'caseload data'!$C:$C,'divisional &amp; regional caseload%'!$T$43,'caseload data'!$D:$D,"SPO")/SUMIF('caseload data'!$C:$C,'divisional &amp; regional caseload%'!$T$36,'caseload data'!I:I),"")</f>
        <v/>
      </c>
      <c r="Z48" s="167" t="str">
        <f>IFERROR(SUMIFS('caseload data'!J:J,'caseload data'!$C:$C,'divisional &amp; regional caseload%'!$T$43,'caseload data'!$D:$D,"SPO")/SUMIF('caseload data'!$C:$C,'divisional &amp; regional caseload%'!$T$36,'caseload data'!J:J),"")</f>
        <v/>
      </c>
      <c r="AA48" s="167" t="str">
        <f>IFERROR(SUMIFS('caseload data'!K:K,'caseload data'!$C:$C,'divisional &amp; regional caseload%'!$T$43,'caseload data'!$D:$D,"SPO")/SUMIF('caseload data'!$C:$C,'divisional &amp; regional caseload%'!$T$36,'caseload data'!K:K),"")</f>
        <v/>
      </c>
      <c r="AB48" s="167" t="str">
        <f>IFERROR(SUMIFS('caseload data'!L:L,'caseload data'!$C:$C,'divisional &amp; regional caseload%'!$T$43,'caseload data'!$D:$D,"SPO")/SUMIF('caseload data'!$C:$C,'divisional &amp; regional caseload%'!$T$36,'caseload data'!L:L),"")</f>
        <v/>
      </c>
      <c r="AC48" s="167" t="str">
        <f>IFERROR(SUMIFS('caseload data'!M:M,'caseload data'!$C:$C,'divisional &amp; regional caseload%'!$T$43,'caseload data'!$D:$D,"SPO")/SUMIF('caseload data'!$C:$C,'divisional &amp; regional caseload%'!$T$36,'caseload data'!M:M),"")</f>
        <v/>
      </c>
      <c r="AD48" s="167" t="str">
        <f>IFERROR(SUMIFS('caseload data'!N:N,'caseload data'!$C:$C,'divisional &amp; regional caseload%'!$T$43,'caseload data'!$D:$D,"SPO")/SUMIF('caseload data'!$C:$C,'divisional &amp; regional caseload%'!$T$36,'caseload data'!N:N),"")</f>
        <v/>
      </c>
      <c r="AE48" s="167" t="str">
        <f>IFERROR(SUMIFS('caseload data'!O:O,'caseload data'!$C:$C,'divisional &amp; regional caseload%'!$T$43,'caseload data'!$D:$D,"SPO")/SUMIF('caseload data'!$C:$C,'divisional &amp; regional caseload%'!$T$36,'caseload data'!O:O),"")</f>
        <v/>
      </c>
      <c r="AF48" s="167" t="str">
        <f>IFERROR(SUMIFS('caseload data'!P:P,'caseload data'!$C:$C,'divisional &amp; regional caseload%'!$T$43,'caseload data'!$D:$D,"SPO")/SUMIF('caseload data'!$C:$C,'divisional &amp; regional caseload%'!$T$36,'caseload data'!P:P),"")</f>
        <v/>
      </c>
      <c r="AG48" s="167" t="str">
        <f>IFERROR(SUMIFS('caseload data'!Q:Q,'caseload data'!$C:$C,'divisional &amp; regional caseload%'!$T$43,'caseload data'!$D:$D,"SPO")/SUMIF('caseload data'!$C:$C,'divisional &amp; regional caseload%'!$T$36,'caseload data'!Q:Q),"")</f>
        <v/>
      </c>
      <c r="AH48" s="167" t="str">
        <f>IFERROR(SUMIFS('caseload data'!R:R,'caseload data'!$C:$C,'divisional &amp; regional caseload%'!$T$43,'caseload data'!$D:$D,"SPO")/SUMIF('caseload data'!$C:$C,'divisional &amp; regional caseload%'!$T$36,'caseload data'!R:R),"")</f>
        <v/>
      </c>
      <c r="AI48" s="167" t="str">
        <f>IFERROR(SUMIFS('caseload data'!S:S,'caseload data'!$C:$C,'divisional &amp; regional caseload%'!$T$43,'caseload data'!$D:$D,"SPO")/SUMIF('caseload data'!$C:$C,'divisional &amp; regional caseload%'!$T$36,'caseload data'!S:S),"")</f>
        <v/>
      </c>
      <c r="AJ48" s="167" t="str">
        <f>IFERROR(SUMIFS('caseload data'!T:T,'caseload data'!$C:$C,'divisional &amp; regional caseload%'!$T$43,'caseload data'!$D:$D,"SPO")/SUMIF('caseload data'!$C:$C,'divisional &amp; regional caseload%'!$T$36,'caseload data'!T:T),"")</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289">
        <f>HLOOKUP($B$5,Region_Table,14,0)</f>
        <v>0</v>
      </c>
      <c r="C50" s="523" t="s">
        <v>1101</v>
      </c>
      <c r="D50" s="524"/>
      <c r="E50" s="524"/>
      <c r="F50" s="524"/>
      <c r="G50" s="524"/>
      <c r="H50" s="524"/>
      <c r="I50" s="524"/>
      <c r="J50" s="524"/>
      <c r="K50" s="524"/>
      <c r="L50" s="524"/>
      <c r="M50" s="525"/>
      <c r="N50" s="525"/>
      <c r="O50" s="526"/>
      <c r="P50" s="510">
        <f>SUMIF('caseload data'!$C:$C,'divisional &amp; regional caseload%'!B50,'caseload data'!V:V)</f>
        <v>0</v>
      </c>
      <c r="Q50" s="527"/>
      <c r="R50" s="528"/>
      <c r="S50" s="64"/>
      <c r="T50" s="289">
        <f>HLOOKUP($B$5,Region_Table,15,0)</f>
        <v>0</v>
      </c>
      <c r="U50" s="523" t="s">
        <v>1101</v>
      </c>
      <c r="V50" s="524"/>
      <c r="W50" s="524"/>
      <c r="X50" s="524"/>
      <c r="Y50" s="524"/>
      <c r="Z50" s="524"/>
      <c r="AA50" s="524"/>
      <c r="AB50" s="524"/>
      <c r="AC50" s="524"/>
      <c r="AD50" s="524"/>
      <c r="AE50" s="525"/>
      <c r="AF50" s="525"/>
      <c r="AG50" s="526"/>
      <c r="AH50" s="510">
        <f>SUMIF('caseload data'!$C:$C,'divisional &amp; regional caseload%'!T50,'caseload data'!V:V)</f>
        <v>0</v>
      </c>
      <c r="AI50" s="527"/>
      <c r="AJ50" s="528"/>
    </row>
    <row r="51" spans="2:36" x14ac:dyDescent="0.15">
      <c r="B51" s="95" t="s">
        <v>1006</v>
      </c>
      <c r="C51" s="38" t="s">
        <v>869</v>
      </c>
      <c r="D51" s="38" t="s">
        <v>870</v>
      </c>
      <c r="E51" s="38" t="s">
        <v>871</v>
      </c>
      <c r="F51" s="38" t="s">
        <v>872</v>
      </c>
      <c r="G51" s="38" t="s">
        <v>873</v>
      </c>
      <c r="H51" s="38" t="s">
        <v>874</v>
      </c>
      <c r="I51" s="38" t="s">
        <v>875</v>
      </c>
      <c r="J51" s="38" t="s">
        <v>876</v>
      </c>
      <c r="K51" s="38" t="s">
        <v>877</v>
      </c>
      <c r="L51" s="38" t="s">
        <v>878</v>
      </c>
      <c r="M51" s="38" t="s">
        <v>879</v>
      </c>
      <c r="N51" s="38" t="s">
        <v>880</v>
      </c>
      <c r="O51" s="38" t="s">
        <v>881</v>
      </c>
      <c r="P51" s="38" t="s">
        <v>882</v>
      </c>
      <c r="Q51" s="38" t="s">
        <v>883</v>
      </c>
      <c r="R51" s="38" t="s">
        <v>884</v>
      </c>
      <c r="S51" s="64"/>
      <c r="T51" s="95" t="s">
        <v>1006</v>
      </c>
      <c r="U51" s="38" t="s">
        <v>869</v>
      </c>
      <c r="V51" s="38" t="s">
        <v>870</v>
      </c>
      <c r="W51" s="38" t="s">
        <v>871</v>
      </c>
      <c r="X51" s="38" t="s">
        <v>872</v>
      </c>
      <c r="Y51" s="38" t="s">
        <v>873</v>
      </c>
      <c r="Z51" s="38" t="s">
        <v>874</v>
      </c>
      <c r="AA51" s="38" t="s">
        <v>875</v>
      </c>
      <c r="AB51" s="38" t="s">
        <v>876</v>
      </c>
      <c r="AC51" s="38" t="s">
        <v>877</v>
      </c>
      <c r="AD51" s="38" t="s">
        <v>878</v>
      </c>
      <c r="AE51" s="38" t="s">
        <v>879</v>
      </c>
      <c r="AF51" s="38" t="s">
        <v>880</v>
      </c>
      <c r="AG51" s="38" t="s">
        <v>881</v>
      </c>
      <c r="AH51" s="38" t="s">
        <v>882</v>
      </c>
      <c r="AI51" s="38" t="s">
        <v>883</v>
      </c>
      <c r="AJ51" s="38" t="s">
        <v>884</v>
      </c>
    </row>
    <row r="52" spans="2:36" x14ac:dyDescent="0.15">
      <c r="B52" s="96" t="s">
        <v>1002</v>
      </c>
      <c r="C52" s="167" t="str">
        <f>IFERROR(SUMIFS('caseload data'!E:E,'caseload data'!$C:$C,'divisional &amp; regional caseload%'!$B$50,'caseload data'!$D:$D,"PO")/SUMIF('caseload data'!$C:$C,'divisional &amp; regional caseload%'!$B$50,'caseload data'!E:E),"")</f>
        <v/>
      </c>
      <c r="D52" s="167" t="str">
        <f>IFERROR(SUMIFS('caseload data'!F:F,'caseload data'!$C:$C,'divisional &amp; regional caseload%'!$B$50,'caseload data'!$D:$D,"PO")/SUMIF('caseload data'!$C:$C,'divisional &amp; regional caseload%'!$B$50,'caseload data'!F:F),"")</f>
        <v/>
      </c>
      <c r="E52" s="167" t="str">
        <f>IFERROR(SUMIFS('caseload data'!G:G,'caseload data'!$C:$C,'divisional &amp; regional caseload%'!$B$50,'caseload data'!$D:$D,"PO")/SUMIF('caseload data'!$C:$C,'divisional &amp; regional caseload%'!$B$50,'caseload data'!G:G),"")</f>
        <v/>
      </c>
      <c r="F52" s="167" t="str">
        <f>IFERROR(SUMIFS('caseload data'!H:H,'caseload data'!$C:$C,'divisional &amp; regional caseload%'!$B$50,'caseload data'!$D:$D,"PO")/SUMIF('caseload data'!$C:$C,'divisional &amp; regional caseload%'!$B$50,'caseload data'!H:H),"")</f>
        <v/>
      </c>
      <c r="G52" s="167" t="str">
        <f>IFERROR(SUMIFS('caseload data'!I:I,'caseload data'!$C:$C,'divisional &amp; regional caseload%'!$B$50,'caseload data'!$D:$D,"PO")/SUMIF('caseload data'!$C:$C,'divisional &amp; regional caseload%'!$B$50,'caseload data'!I:I),"")</f>
        <v/>
      </c>
      <c r="H52" s="167" t="str">
        <f>IFERROR(SUMIFS('caseload data'!J:J,'caseload data'!$C:$C,'divisional &amp; regional caseload%'!$B$50,'caseload data'!$D:$D,"PO")/SUMIF('caseload data'!$C:$C,'divisional &amp; regional caseload%'!$B$50,'caseload data'!J:J),"")</f>
        <v/>
      </c>
      <c r="I52" s="167" t="str">
        <f>IFERROR(SUMIFS('caseload data'!K:K,'caseload data'!$C:$C,'divisional &amp; regional caseload%'!$B$50,'caseload data'!$D:$D,"PO")/SUMIF('caseload data'!$C:$C,'divisional &amp; regional caseload%'!$B$50,'caseload data'!K:K),"")</f>
        <v/>
      </c>
      <c r="J52" s="167" t="str">
        <f>IFERROR(SUMIFS('caseload data'!L:L,'caseload data'!$C:$C,'divisional &amp; regional caseload%'!$B$50,'caseload data'!$D:$D,"PO")/SUMIF('caseload data'!$C:$C,'divisional &amp; regional caseload%'!$B$50,'caseload data'!L:L),"")</f>
        <v/>
      </c>
      <c r="K52" s="167" t="str">
        <f>IFERROR(SUMIFS('caseload data'!M:M,'caseload data'!$C:$C,'divisional &amp; regional caseload%'!$B$50,'caseload data'!$D:$D,"PO")/SUMIF('caseload data'!$C:$C,'divisional &amp; regional caseload%'!$B$50,'caseload data'!M:M),"")</f>
        <v/>
      </c>
      <c r="L52" s="167" t="str">
        <f>IFERROR(SUMIFS('caseload data'!N:N,'caseload data'!$C:$C,'divisional &amp; regional caseload%'!$B$50,'caseload data'!$D:$D,"PO")/SUMIF('caseload data'!$C:$C,'divisional &amp; regional caseload%'!$B$50,'caseload data'!N:N),"")</f>
        <v/>
      </c>
      <c r="M52" s="167" t="str">
        <f>IFERROR(SUMIFS('caseload data'!O:O,'caseload data'!$C:$C,'divisional &amp; regional caseload%'!$B$50,'caseload data'!$D:$D,"PO")/SUMIF('caseload data'!$C:$C,'divisional &amp; regional caseload%'!$B$50,'caseload data'!O:O),"")</f>
        <v/>
      </c>
      <c r="N52" s="167" t="str">
        <f>IFERROR(SUMIFS('caseload data'!P:P,'caseload data'!$C:$C,'divisional &amp; regional caseload%'!$B$50,'caseload data'!$D:$D,"PO")/SUMIF('caseload data'!$C:$C,'divisional &amp; regional caseload%'!$B$50,'caseload data'!P:P),"")</f>
        <v/>
      </c>
      <c r="O52" s="167" t="str">
        <f>IFERROR(SUMIFS('caseload data'!Q:Q,'caseload data'!$C:$C,'divisional &amp; regional caseload%'!$B$50,'caseload data'!$D:$D,"PO")/SUMIF('caseload data'!$C:$C,'divisional &amp; regional caseload%'!$B$50,'caseload data'!Q:Q),"")</f>
        <v/>
      </c>
      <c r="P52" s="167" t="str">
        <f>IFERROR(SUMIFS('caseload data'!R:R,'caseload data'!$C:$C,'divisional &amp; regional caseload%'!$B$50,'caseload data'!$D:$D,"PO")/SUMIF('caseload data'!$C:$C,'divisional &amp; regional caseload%'!$B$50,'caseload data'!R:R),"")</f>
        <v/>
      </c>
      <c r="Q52" s="167" t="str">
        <f>IFERROR(SUMIFS('caseload data'!S:S,'caseload data'!$C:$C,'divisional &amp; regional caseload%'!$B$50,'caseload data'!$D:$D,"PO")/SUMIF('caseload data'!$C:$C,'divisional &amp; regional caseload%'!$B$50,'caseload data'!S:S),"")</f>
        <v/>
      </c>
      <c r="R52" s="167" t="str">
        <f>IFERROR(SUMIFS('caseload data'!T:T,'caseload data'!$C:$C,'divisional &amp; regional caseload%'!$B$50,'caseload data'!$D:$D,"PO")/SUMIF('caseload data'!$C:$C,'divisional &amp; regional caseload%'!$B$50,'caseload data'!T:T),"")</f>
        <v/>
      </c>
      <c r="S52" s="64"/>
      <c r="T52" s="96" t="s">
        <v>1002</v>
      </c>
      <c r="U52" s="167" t="str">
        <f>IFERROR(SUMIFS('caseload data'!E:E,'caseload data'!$C:$C,'divisional &amp; regional caseload%'!$T$50,'caseload data'!$D:$D,"PO")/SUMIF('caseload data'!$C:$C,'divisional &amp; regional caseload%'!$T$50,'caseload data'!E:E),"")</f>
        <v/>
      </c>
      <c r="V52" s="167" t="str">
        <f>IFERROR(SUMIFS('caseload data'!F:F,'caseload data'!$C:$C,'divisional &amp; regional caseload%'!$T$50,'caseload data'!$D:$D,"PO")/SUMIF('caseload data'!$C:$C,'divisional &amp; regional caseload%'!$T$50,'caseload data'!F:F),"")</f>
        <v/>
      </c>
      <c r="W52" s="167" t="str">
        <f>IFERROR(SUMIFS('caseload data'!G:G,'caseload data'!$C:$C,'divisional &amp; regional caseload%'!$T$50,'caseload data'!$D:$D,"PO")/SUMIF('caseload data'!$C:$C,'divisional &amp; regional caseload%'!$T$50,'caseload data'!G:G),"")</f>
        <v/>
      </c>
      <c r="X52" s="167" t="str">
        <f>IFERROR(SUMIFS('caseload data'!H:H,'caseload data'!$C:$C,'divisional &amp; regional caseload%'!$T$50,'caseload data'!$D:$D,"PO")/SUMIF('caseload data'!$C:$C,'divisional &amp; regional caseload%'!$T$50,'caseload data'!H:H),"")</f>
        <v/>
      </c>
      <c r="Y52" s="167" t="str">
        <f>IFERROR(SUMIFS('caseload data'!I:I,'caseload data'!$C:$C,'divisional &amp; regional caseload%'!$T$50,'caseload data'!$D:$D,"PO")/SUMIF('caseload data'!$C:$C,'divisional &amp; regional caseload%'!$T$50,'caseload data'!I:I),"")</f>
        <v/>
      </c>
      <c r="Z52" s="167" t="str">
        <f>IFERROR(SUMIFS('caseload data'!J:J,'caseload data'!$C:$C,'divisional &amp; regional caseload%'!$T$50,'caseload data'!$D:$D,"PO")/SUMIF('caseload data'!$C:$C,'divisional &amp; regional caseload%'!$T$50,'caseload data'!J:J),"")</f>
        <v/>
      </c>
      <c r="AA52" s="167" t="str">
        <f>IFERROR(SUMIFS('caseload data'!K:K,'caseload data'!$C:$C,'divisional &amp; regional caseload%'!$T$50,'caseload data'!$D:$D,"PO")/SUMIF('caseload data'!$C:$C,'divisional &amp; regional caseload%'!$T$50,'caseload data'!K:K),"")</f>
        <v/>
      </c>
      <c r="AB52" s="167" t="str">
        <f>IFERROR(SUMIFS('caseload data'!L:L,'caseload data'!$C:$C,'divisional &amp; regional caseload%'!$T$50,'caseload data'!$D:$D,"PO")/SUMIF('caseload data'!$C:$C,'divisional &amp; regional caseload%'!$T$50,'caseload data'!L:L),"")</f>
        <v/>
      </c>
      <c r="AC52" s="167" t="str">
        <f>IFERROR(SUMIFS('caseload data'!M:M,'caseload data'!$C:$C,'divisional &amp; regional caseload%'!$T$50,'caseload data'!$D:$D,"PO")/SUMIF('caseload data'!$C:$C,'divisional &amp; regional caseload%'!$T$50,'caseload data'!M:M),"")</f>
        <v/>
      </c>
      <c r="AD52" s="167" t="str">
        <f>IFERROR(SUMIFS('caseload data'!N:N,'caseload data'!$C:$C,'divisional &amp; regional caseload%'!$T$50,'caseload data'!$D:$D,"PO")/SUMIF('caseload data'!$C:$C,'divisional &amp; regional caseload%'!$T$50,'caseload data'!N:N),"")</f>
        <v/>
      </c>
      <c r="AE52" s="167" t="str">
        <f>IFERROR(SUMIFS('caseload data'!O:O,'caseload data'!$C:$C,'divisional &amp; regional caseload%'!$T$50,'caseload data'!$D:$D,"PO")/SUMIF('caseload data'!$C:$C,'divisional &amp; regional caseload%'!$T$50,'caseload data'!O:O),"")</f>
        <v/>
      </c>
      <c r="AF52" s="167" t="str">
        <f>IFERROR(SUMIFS('caseload data'!P:P,'caseload data'!$C:$C,'divisional &amp; regional caseload%'!$T$50,'caseload data'!$D:$D,"PO")/SUMIF('caseload data'!$C:$C,'divisional &amp; regional caseload%'!$T$50,'caseload data'!P:P),"")</f>
        <v/>
      </c>
      <c r="AG52" s="167" t="str">
        <f>IFERROR(SUMIFS('caseload data'!Q:Q,'caseload data'!$C:$C,'divisional &amp; regional caseload%'!$T$50,'caseload data'!$D:$D,"PO")/SUMIF('caseload data'!$C:$C,'divisional &amp; regional caseload%'!$T$50,'caseload data'!Q:Q),"")</f>
        <v/>
      </c>
      <c r="AH52" s="167" t="str">
        <f>IFERROR(SUMIFS('caseload data'!R:R,'caseload data'!$C:$C,'divisional &amp; regional caseload%'!$T$50,'caseload data'!$D:$D,"PO")/SUMIF('caseload data'!$C:$C,'divisional &amp; regional caseload%'!$T$50,'caseload data'!R:R),"")</f>
        <v/>
      </c>
      <c r="AI52" s="167" t="str">
        <f>IFERROR(SUMIFS('caseload data'!S:S,'caseload data'!$C:$C,'divisional &amp; regional caseload%'!$T$50,'caseload data'!$D:$D,"PO")/SUMIF('caseload data'!$C:$C,'divisional &amp; regional caseload%'!$T$50,'caseload data'!S:S),"")</f>
        <v/>
      </c>
      <c r="AJ52" s="167" t="str">
        <f>IFERROR(SUMIFS('caseload data'!T:T,'caseload data'!$C:$C,'divisional &amp; regional caseload%'!$T$50,'caseload data'!$D:$D,"PO")/SUMIF('caseload data'!$C:$C,'divisional &amp; regional caseload%'!$T$50,'caseload data'!T:T),"")</f>
        <v/>
      </c>
    </row>
    <row r="53" spans="2:36" x14ac:dyDescent="0.15">
      <c r="B53" s="97" t="s">
        <v>1007</v>
      </c>
      <c r="C53" s="167" t="str">
        <f>IFERROR(SUMIFS('caseload data'!E:E,'caseload data'!$C:$C,'divisional &amp; regional caseload%'!$B$50,'caseload data'!$D:$D,"PSO")/SUMIF('caseload data'!$C:$C,'divisional &amp; regional caseload%'!$B$50,'caseload data'!E:E),"")</f>
        <v/>
      </c>
      <c r="D53" s="167" t="str">
        <f>IFERROR(SUMIFS('caseload data'!F:F,'caseload data'!$C:$C,'divisional &amp; regional caseload%'!$B$50,'caseload data'!$D:$D,"PSO")/SUMIF('caseload data'!$C:$C,'divisional &amp; regional caseload%'!$B$50,'caseload data'!F:F),"")</f>
        <v/>
      </c>
      <c r="E53" s="167" t="str">
        <f>IFERROR(SUMIFS('caseload data'!G:G,'caseload data'!$C:$C,'divisional &amp; regional caseload%'!$B$50,'caseload data'!$D:$D,"PSO")/SUMIF('caseload data'!$C:$C,'divisional &amp; regional caseload%'!$B$50,'caseload data'!G:G),"")</f>
        <v/>
      </c>
      <c r="F53" s="167" t="str">
        <f>IFERROR(SUMIFS('caseload data'!H:H,'caseload data'!$C:$C,'divisional &amp; regional caseload%'!$B$50,'caseload data'!$D:$D,"PSO")/SUMIF('caseload data'!$C:$C,'divisional &amp; regional caseload%'!$B$50,'caseload data'!H:H),"")</f>
        <v/>
      </c>
      <c r="G53" s="167" t="str">
        <f>IFERROR(SUMIFS('caseload data'!I:I,'caseload data'!$C:$C,'divisional &amp; regional caseload%'!$B$50,'caseload data'!$D:$D,"PSO")/SUMIF('caseload data'!$C:$C,'divisional &amp; regional caseload%'!$B$50,'caseload data'!I:I),"")</f>
        <v/>
      </c>
      <c r="H53" s="167" t="str">
        <f>IFERROR(SUMIFS('caseload data'!J:J,'caseload data'!$C:$C,'divisional &amp; regional caseload%'!$B$50,'caseload data'!$D:$D,"PSO")/SUMIF('caseload data'!$C:$C,'divisional &amp; regional caseload%'!$B$50,'caseload data'!J:J),"")</f>
        <v/>
      </c>
      <c r="I53" s="167" t="str">
        <f>IFERROR(SUMIFS('caseload data'!K:K,'caseload data'!$C:$C,'divisional &amp; regional caseload%'!$B$50,'caseload data'!$D:$D,"PSO")/SUMIF('caseload data'!$C:$C,'divisional &amp; regional caseload%'!$B$50,'caseload data'!K:K),"")</f>
        <v/>
      </c>
      <c r="J53" s="167" t="str">
        <f>IFERROR(SUMIFS('caseload data'!L:L,'caseload data'!$C:$C,'divisional &amp; regional caseload%'!$B$50,'caseload data'!$D:$D,"PSO")/SUMIF('caseload data'!$C:$C,'divisional &amp; regional caseload%'!$B$50,'caseload data'!L:L),"")</f>
        <v/>
      </c>
      <c r="K53" s="167" t="str">
        <f>IFERROR(SUMIFS('caseload data'!M:M,'caseload data'!$C:$C,'divisional &amp; regional caseload%'!$B$50,'caseload data'!$D:$D,"PSO")/SUMIF('caseload data'!$C:$C,'divisional &amp; regional caseload%'!$B$50,'caseload data'!M:M),"")</f>
        <v/>
      </c>
      <c r="L53" s="167" t="str">
        <f>IFERROR(SUMIFS('caseload data'!N:N,'caseload data'!$C:$C,'divisional &amp; regional caseload%'!$B$50,'caseload data'!$D:$D,"PSO")/SUMIF('caseload data'!$C:$C,'divisional &amp; regional caseload%'!$B$50,'caseload data'!N:N),"")</f>
        <v/>
      </c>
      <c r="M53" s="167" t="str">
        <f>IFERROR(SUMIFS('caseload data'!O:O,'caseload data'!$C:$C,'divisional &amp; regional caseload%'!$B$50,'caseload data'!$D:$D,"PSO")/SUMIF('caseload data'!$C:$C,'divisional &amp; regional caseload%'!$B$50,'caseload data'!O:O),"")</f>
        <v/>
      </c>
      <c r="N53" s="167" t="str">
        <f>IFERROR(SUMIFS('caseload data'!P:P,'caseload data'!$C:$C,'divisional &amp; regional caseload%'!$B$50,'caseload data'!$D:$D,"PSO")/SUMIF('caseload data'!$C:$C,'divisional &amp; regional caseload%'!$B$50,'caseload data'!P:P),"")</f>
        <v/>
      </c>
      <c r="O53" s="167" t="str">
        <f>IFERROR(SUMIFS('caseload data'!Q:Q,'caseload data'!$C:$C,'divisional &amp; regional caseload%'!$B$50,'caseload data'!$D:$D,"PSO")/SUMIF('caseload data'!$C:$C,'divisional &amp; regional caseload%'!$B$50,'caseload data'!Q:Q),"")</f>
        <v/>
      </c>
      <c r="P53" s="167" t="str">
        <f>IFERROR(SUMIFS('caseload data'!R:R,'caseload data'!$C:$C,'divisional &amp; regional caseload%'!$B$50,'caseload data'!$D:$D,"PSO")/SUMIF('caseload data'!$C:$C,'divisional &amp; regional caseload%'!$B$50,'caseload data'!R:R),"")</f>
        <v/>
      </c>
      <c r="Q53" s="167" t="str">
        <f>IFERROR(SUMIFS('caseload data'!S:S,'caseload data'!$C:$C,'divisional &amp; regional caseload%'!$B$50,'caseload data'!$D:$D,"PSO")/SUMIF('caseload data'!$C:$C,'divisional &amp; regional caseload%'!$B$50,'caseload data'!S:S),"")</f>
        <v/>
      </c>
      <c r="R53" s="167" t="str">
        <f>IFERROR(SUMIFS('caseload data'!T:T,'caseload data'!$C:$C,'divisional &amp; regional caseload%'!$B$50,'caseload data'!$D:$D,"PSO")/SUMIF('caseload data'!$C:$C,'divisional &amp; regional caseload%'!$B$50,'caseload data'!T:T),"")</f>
        <v/>
      </c>
      <c r="S53" s="64"/>
      <c r="T53" s="97" t="s">
        <v>1007</v>
      </c>
      <c r="U53" s="167" t="str">
        <f>IFERROR(SUMIFS('caseload data'!E:E,'caseload data'!$C:$C,'divisional &amp; regional caseload%'!$T$50,'caseload data'!$D:$D,"PSO")/SUMIF('caseload data'!$C:$C,'divisional &amp; regional caseload%'!$T$50,'caseload data'!E:E),"")</f>
        <v/>
      </c>
      <c r="V53" s="167" t="str">
        <f>IFERROR(SUMIFS('caseload data'!F:F,'caseload data'!$C:$C,'divisional &amp; regional caseload%'!$T$50,'caseload data'!$D:$D,"PSO")/SUMIF('caseload data'!$C:$C,'divisional &amp; regional caseload%'!$T$50,'caseload data'!F:F),"")</f>
        <v/>
      </c>
      <c r="W53" s="167" t="str">
        <f>IFERROR(SUMIFS('caseload data'!G:G,'caseload data'!$C:$C,'divisional &amp; regional caseload%'!$T$50,'caseload data'!$D:$D,"PSO")/SUMIF('caseload data'!$C:$C,'divisional &amp; regional caseload%'!$T$50,'caseload data'!G:G),"")</f>
        <v/>
      </c>
      <c r="X53" s="167" t="str">
        <f>IFERROR(SUMIFS('caseload data'!H:H,'caseload data'!$C:$C,'divisional &amp; regional caseload%'!$T$50,'caseload data'!$D:$D,"PSO")/SUMIF('caseload data'!$C:$C,'divisional &amp; regional caseload%'!$T$50,'caseload data'!H:H),"")</f>
        <v/>
      </c>
      <c r="Y53" s="167" t="str">
        <f>IFERROR(SUMIFS('caseload data'!I:I,'caseload data'!$C:$C,'divisional &amp; regional caseload%'!$T$50,'caseload data'!$D:$D,"PSO")/SUMIF('caseload data'!$C:$C,'divisional &amp; regional caseload%'!$T$50,'caseload data'!I:I),"")</f>
        <v/>
      </c>
      <c r="Z53" s="167" t="str">
        <f>IFERROR(SUMIFS('caseload data'!J:J,'caseload data'!$C:$C,'divisional &amp; regional caseload%'!$T$50,'caseload data'!$D:$D,"PSO")/SUMIF('caseload data'!$C:$C,'divisional &amp; regional caseload%'!$T$50,'caseload data'!J:J),"")</f>
        <v/>
      </c>
      <c r="AA53" s="167" t="str">
        <f>IFERROR(SUMIFS('caseload data'!K:K,'caseload data'!$C:$C,'divisional &amp; regional caseload%'!$T$50,'caseload data'!$D:$D,"PSO")/SUMIF('caseload data'!$C:$C,'divisional &amp; regional caseload%'!$T$50,'caseload data'!K:K),"")</f>
        <v/>
      </c>
      <c r="AB53" s="167" t="str">
        <f>IFERROR(SUMIFS('caseload data'!L:L,'caseload data'!$C:$C,'divisional &amp; regional caseload%'!$T$50,'caseload data'!$D:$D,"PSO")/SUMIF('caseload data'!$C:$C,'divisional &amp; regional caseload%'!$T$50,'caseload data'!L:L),"")</f>
        <v/>
      </c>
      <c r="AC53" s="167" t="str">
        <f>IFERROR(SUMIFS('caseload data'!M:M,'caseload data'!$C:$C,'divisional &amp; regional caseload%'!$T$50,'caseload data'!$D:$D,"PSO")/SUMIF('caseload data'!$C:$C,'divisional &amp; regional caseload%'!$T$50,'caseload data'!M:M),"")</f>
        <v/>
      </c>
      <c r="AD53" s="167" t="str">
        <f>IFERROR(SUMIFS('caseload data'!N:N,'caseload data'!$C:$C,'divisional &amp; regional caseload%'!$T$50,'caseload data'!$D:$D,"PSO")/SUMIF('caseload data'!$C:$C,'divisional &amp; regional caseload%'!$T$50,'caseload data'!N:N),"")</f>
        <v/>
      </c>
      <c r="AE53" s="167" t="str">
        <f>IFERROR(SUMIFS('caseload data'!O:O,'caseload data'!$C:$C,'divisional &amp; regional caseload%'!$T$50,'caseload data'!$D:$D,"PSO")/SUMIF('caseload data'!$C:$C,'divisional &amp; regional caseload%'!$T$50,'caseload data'!O:O),"")</f>
        <v/>
      </c>
      <c r="AF53" s="167" t="str">
        <f>IFERROR(SUMIFS('caseload data'!P:P,'caseload data'!$C:$C,'divisional &amp; regional caseload%'!$T$50,'caseload data'!$D:$D,"PSO")/SUMIF('caseload data'!$C:$C,'divisional &amp; regional caseload%'!$T$50,'caseload data'!P:P),"")</f>
        <v/>
      </c>
      <c r="AG53" s="167" t="str">
        <f>IFERROR(SUMIFS('caseload data'!Q:Q,'caseload data'!$C:$C,'divisional &amp; regional caseload%'!$T$50,'caseload data'!$D:$D,"PSO")/SUMIF('caseload data'!$C:$C,'divisional &amp; regional caseload%'!$T$50,'caseload data'!Q:Q),"")</f>
        <v/>
      </c>
      <c r="AH53" s="167" t="str">
        <f>IFERROR(SUMIFS('caseload data'!R:R,'caseload data'!$C:$C,'divisional &amp; regional caseload%'!$T$50,'caseload data'!$D:$D,"PSO")/SUMIF('caseload data'!$C:$C,'divisional &amp; regional caseload%'!$T$50,'caseload data'!R:R),"")</f>
        <v/>
      </c>
      <c r="AI53" s="167" t="str">
        <f>IFERROR(SUMIFS('caseload data'!S:S,'caseload data'!$C:$C,'divisional &amp; regional caseload%'!$T$50,'caseload data'!$D:$D,"PSO")/SUMIF('caseload data'!$C:$C,'divisional &amp; regional caseload%'!$T$50,'caseload data'!S:S),"")</f>
        <v/>
      </c>
      <c r="AJ53" s="167" t="str">
        <f>IFERROR(SUMIFS('caseload data'!T:T,'caseload data'!$C:$C,'divisional &amp; regional caseload%'!$T$50,'caseload data'!$D:$D,"PSO")/SUMIF('caseload data'!$C:$C,'divisional &amp; regional caseload%'!$T$50,'caseload data'!T:T),"")</f>
        <v/>
      </c>
    </row>
    <row r="54" spans="2:36" x14ac:dyDescent="0.15">
      <c r="B54" s="97" t="s">
        <v>1008</v>
      </c>
      <c r="C54" s="167" t="str">
        <f>IFERROR(SUMIFS('caseload data'!E:E,'caseload data'!$C:$C,'divisional &amp; regional caseload%'!$B$50,'caseload data'!$D:$D,"TPO")/SUMIF('caseload data'!$C:$C,'divisional &amp; regional caseload%'!$B$50,'caseload data'!E:E),"")</f>
        <v/>
      </c>
      <c r="D54" s="167" t="str">
        <f>IFERROR(SUMIFS('caseload data'!F:F,'caseload data'!$C:$C,'divisional &amp; regional caseload%'!$B$50,'caseload data'!$D:$D,"TPO")/SUMIF('caseload data'!$C:$C,'divisional &amp; regional caseload%'!$B$50,'caseload data'!F:F),"")</f>
        <v/>
      </c>
      <c r="E54" s="167" t="str">
        <f>IFERROR(SUMIFS('caseload data'!G:G,'caseload data'!$C:$C,'divisional &amp; regional caseload%'!$B$50,'caseload data'!$D:$D,"TPO")/SUMIF('caseload data'!$C:$C,'divisional &amp; regional caseload%'!$B$50,'caseload data'!G:G),"")</f>
        <v/>
      </c>
      <c r="F54" s="167" t="str">
        <f>IFERROR(SUMIFS('caseload data'!H:H,'caseload data'!$C:$C,'divisional &amp; regional caseload%'!$B$50,'caseload data'!$D:$D,"TPO")/SUMIF('caseload data'!$C:$C,'divisional &amp; regional caseload%'!$B$50,'caseload data'!H:H),"")</f>
        <v/>
      </c>
      <c r="G54" s="167" t="str">
        <f>IFERROR(SUMIFS('caseload data'!I:I,'caseload data'!$C:$C,'divisional &amp; regional caseload%'!$B$50,'caseload data'!$D:$D,"TPO")/SUMIF('caseload data'!$C:$C,'divisional &amp; regional caseload%'!$B$50,'caseload data'!I:I),"")</f>
        <v/>
      </c>
      <c r="H54" s="167" t="str">
        <f>IFERROR(SUMIFS('caseload data'!J:J,'caseload data'!$C:$C,'divisional &amp; regional caseload%'!$B$50,'caseload data'!$D:$D,"TPO")/SUMIF('caseload data'!$C:$C,'divisional &amp; regional caseload%'!$B$50,'caseload data'!J:J),"")</f>
        <v/>
      </c>
      <c r="I54" s="167" t="str">
        <f>IFERROR(SUMIFS('caseload data'!K:K,'caseload data'!$C:$C,'divisional &amp; regional caseload%'!$B$50,'caseload data'!$D:$D,"TPO")/SUMIF('caseload data'!$C:$C,'divisional &amp; regional caseload%'!$B$50,'caseload data'!K:K),"")</f>
        <v/>
      </c>
      <c r="J54" s="167" t="str">
        <f>IFERROR(SUMIFS('caseload data'!L:L,'caseload data'!$C:$C,'divisional &amp; regional caseload%'!$B$50,'caseload data'!$D:$D,"TPO")/SUMIF('caseload data'!$C:$C,'divisional &amp; regional caseload%'!$B$50,'caseload data'!L:L),"")</f>
        <v/>
      </c>
      <c r="K54" s="167" t="str">
        <f>IFERROR(SUMIFS('caseload data'!M:M,'caseload data'!$C:$C,'divisional &amp; regional caseload%'!$B$50,'caseload data'!$D:$D,"TPO")/SUMIF('caseload data'!$C:$C,'divisional &amp; regional caseload%'!$B$50,'caseload data'!M:M),"")</f>
        <v/>
      </c>
      <c r="L54" s="167" t="str">
        <f>IFERROR(SUMIFS('caseload data'!N:N,'caseload data'!$C:$C,'divisional &amp; regional caseload%'!$B$50,'caseload data'!$D:$D,"TPO")/SUMIF('caseload data'!$C:$C,'divisional &amp; regional caseload%'!$B$50,'caseload data'!N:N),"")</f>
        <v/>
      </c>
      <c r="M54" s="167" t="str">
        <f>IFERROR(SUMIFS('caseload data'!O:O,'caseload data'!$C:$C,'divisional &amp; regional caseload%'!$B$50,'caseload data'!$D:$D,"TPO")/SUMIF('caseload data'!$C:$C,'divisional &amp; regional caseload%'!$B$50,'caseload data'!O:O),"")</f>
        <v/>
      </c>
      <c r="N54" s="167" t="str">
        <f>IFERROR(SUMIFS('caseload data'!P:P,'caseload data'!$C:$C,'divisional &amp; regional caseload%'!$B$50,'caseload data'!$D:$D,"TPO")/SUMIF('caseload data'!$C:$C,'divisional &amp; regional caseload%'!$B$50,'caseload data'!P:P),"")</f>
        <v/>
      </c>
      <c r="O54" s="167" t="str">
        <f>IFERROR(SUMIFS('caseload data'!Q:Q,'caseload data'!$C:$C,'divisional &amp; regional caseload%'!$B$50,'caseload data'!$D:$D,"TPO")/SUMIF('caseload data'!$C:$C,'divisional &amp; regional caseload%'!$B$50,'caseload data'!Q:Q),"")</f>
        <v/>
      </c>
      <c r="P54" s="167" t="str">
        <f>IFERROR(SUMIFS('caseload data'!R:R,'caseload data'!$C:$C,'divisional &amp; regional caseload%'!$B$50,'caseload data'!$D:$D,"TPO")/SUMIF('caseload data'!$C:$C,'divisional &amp; regional caseload%'!$B$50,'caseload data'!R:R),"")</f>
        <v/>
      </c>
      <c r="Q54" s="167" t="str">
        <f>IFERROR(SUMIFS('caseload data'!S:S,'caseload data'!$C:$C,'divisional &amp; regional caseload%'!$B$50,'caseload data'!$D:$D,"TPO")/SUMIF('caseload data'!$C:$C,'divisional &amp; regional caseload%'!$B$50,'caseload data'!S:S),"")</f>
        <v/>
      </c>
      <c r="R54" s="167" t="str">
        <f>IFERROR(SUMIFS('caseload data'!T:T,'caseload data'!$C:$C,'divisional &amp; regional caseload%'!$B$50,'caseload data'!$D:$D,"TPO")/SUMIF('caseload data'!$C:$C,'divisional &amp; regional caseload%'!$B$50,'caseload data'!T:T),"")</f>
        <v/>
      </c>
      <c r="S54" s="64"/>
      <c r="T54" s="97" t="s">
        <v>1008</v>
      </c>
      <c r="U54" s="167" t="str">
        <f>IFERROR(SUMIFS('caseload data'!E:E,'caseload data'!$C:$C,'divisional &amp; regional caseload%'!$T$50,'caseload data'!$D:$D,"TPO")/SUMIF('caseload data'!$C:$C,'divisional &amp; regional caseload%'!$T$50,'caseload data'!E:E),"")</f>
        <v/>
      </c>
      <c r="V54" s="167" t="str">
        <f>IFERROR(SUMIFS('caseload data'!F:F,'caseload data'!$C:$C,'divisional &amp; regional caseload%'!$T$50,'caseload data'!$D:$D,"TPO")/SUMIF('caseload data'!$C:$C,'divisional &amp; regional caseload%'!$T$50,'caseload data'!F:F),"")</f>
        <v/>
      </c>
      <c r="W54" s="167" t="str">
        <f>IFERROR(SUMIFS('caseload data'!G:G,'caseload data'!$C:$C,'divisional &amp; regional caseload%'!$T$50,'caseload data'!$D:$D,"TPO")/SUMIF('caseload data'!$C:$C,'divisional &amp; regional caseload%'!$T$50,'caseload data'!G:G),"")</f>
        <v/>
      </c>
      <c r="X54" s="167" t="str">
        <f>IFERROR(SUMIFS('caseload data'!H:H,'caseload data'!$C:$C,'divisional &amp; regional caseload%'!$T$50,'caseload data'!$D:$D,"TPO")/SUMIF('caseload data'!$C:$C,'divisional &amp; regional caseload%'!$T$50,'caseload data'!H:H),"")</f>
        <v/>
      </c>
      <c r="Y54" s="167" t="str">
        <f>IFERROR(SUMIFS('caseload data'!I:I,'caseload data'!$C:$C,'divisional &amp; regional caseload%'!$T$50,'caseload data'!$D:$D,"TPO")/SUMIF('caseload data'!$C:$C,'divisional &amp; regional caseload%'!$T$50,'caseload data'!I:I),"")</f>
        <v/>
      </c>
      <c r="Z54" s="167" t="str">
        <f>IFERROR(SUMIFS('caseload data'!J:J,'caseload data'!$C:$C,'divisional &amp; regional caseload%'!$T$50,'caseload data'!$D:$D,"TPO")/SUMIF('caseload data'!$C:$C,'divisional &amp; regional caseload%'!$T$50,'caseload data'!J:J),"")</f>
        <v/>
      </c>
      <c r="AA54" s="167" t="str">
        <f>IFERROR(SUMIFS('caseload data'!K:K,'caseload data'!$C:$C,'divisional &amp; regional caseload%'!$T$50,'caseload data'!$D:$D,"TPO")/SUMIF('caseload data'!$C:$C,'divisional &amp; regional caseload%'!$T$50,'caseload data'!K:K),"")</f>
        <v/>
      </c>
      <c r="AB54" s="167" t="str">
        <f>IFERROR(SUMIFS('caseload data'!L:L,'caseload data'!$C:$C,'divisional &amp; regional caseload%'!$T$50,'caseload data'!$D:$D,"TPO")/SUMIF('caseload data'!$C:$C,'divisional &amp; regional caseload%'!$T$50,'caseload data'!L:L),"")</f>
        <v/>
      </c>
      <c r="AC54" s="167" t="str">
        <f>IFERROR(SUMIFS('caseload data'!M:M,'caseload data'!$C:$C,'divisional &amp; regional caseload%'!$T$50,'caseload data'!$D:$D,"TPO")/SUMIF('caseload data'!$C:$C,'divisional &amp; regional caseload%'!$T$50,'caseload data'!M:M),"")</f>
        <v/>
      </c>
      <c r="AD54" s="167" t="str">
        <f>IFERROR(SUMIFS('caseload data'!N:N,'caseload data'!$C:$C,'divisional &amp; regional caseload%'!$T$50,'caseload data'!$D:$D,"TPO")/SUMIF('caseload data'!$C:$C,'divisional &amp; regional caseload%'!$T$50,'caseload data'!N:N),"")</f>
        <v/>
      </c>
      <c r="AE54" s="167" t="str">
        <f>IFERROR(SUMIFS('caseload data'!O:O,'caseload data'!$C:$C,'divisional &amp; regional caseload%'!$T$50,'caseload data'!$D:$D,"TPO")/SUMIF('caseload data'!$C:$C,'divisional &amp; regional caseload%'!$T$50,'caseload data'!O:O),"")</f>
        <v/>
      </c>
      <c r="AF54" s="167" t="str">
        <f>IFERROR(SUMIFS('caseload data'!P:P,'caseload data'!$C:$C,'divisional &amp; regional caseload%'!$T$50,'caseload data'!$D:$D,"TPO")/SUMIF('caseload data'!$C:$C,'divisional &amp; regional caseload%'!$T$50,'caseload data'!P:P),"")</f>
        <v/>
      </c>
      <c r="AG54" s="167" t="str">
        <f>IFERROR(SUMIFS('caseload data'!Q:Q,'caseload data'!$C:$C,'divisional &amp; regional caseload%'!$T$50,'caseload data'!$D:$D,"TPO")/SUMIF('caseload data'!$C:$C,'divisional &amp; regional caseload%'!$T$50,'caseload data'!Q:Q),"")</f>
        <v/>
      </c>
      <c r="AH54" s="167" t="str">
        <f>IFERROR(SUMIFS('caseload data'!R:R,'caseload data'!$C:$C,'divisional &amp; regional caseload%'!$T$50,'caseload data'!$D:$D,"TPO")/SUMIF('caseload data'!$C:$C,'divisional &amp; regional caseload%'!$T$50,'caseload data'!R:R),"")</f>
        <v/>
      </c>
      <c r="AI54" s="167" t="str">
        <f>IFERROR(SUMIFS('caseload data'!S:S,'caseload data'!$C:$C,'divisional &amp; regional caseload%'!$T$50,'caseload data'!$D:$D,"TPO")/SUMIF('caseload data'!$C:$C,'divisional &amp; regional caseload%'!$T$50,'caseload data'!S:S),"")</f>
        <v/>
      </c>
      <c r="AJ54" s="167" t="str">
        <f>IFERROR(SUMIFS('caseload data'!T:T,'caseload data'!$C:$C,'divisional &amp; regional caseload%'!$T$50,'caseload data'!$D:$D,"TPO")/SUMIF('caseload data'!$C:$C,'divisional &amp; regional caseload%'!$T$50,'caseload data'!T:T),"")</f>
        <v/>
      </c>
    </row>
    <row r="55" spans="2:36" x14ac:dyDescent="0.15">
      <c r="B55" s="98" t="s">
        <v>1009</v>
      </c>
      <c r="C55" s="167" t="str">
        <f>IFERROR(SUMIFS('caseload data'!E:E,'caseload data'!$C:$C,'divisional &amp; regional caseload%'!$B$50,'caseload data'!$D:$D,"SPO")/SUMIF('caseload data'!$C:$C,'divisional &amp; regional caseload%'!$B$50,'caseload data'!E:E),"")</f>
        <v/>
      </c>
      <c r="D55" s="167" t="str">
        <f>IFERROR(SUMIFS('caseload data'!F:F,'caseload data'!$C:$C,'divisional &amp; regional caseload%'!$B$50,'caseload data'!$D:$D,"SPO")/SUMIF('caseload data'!$C:$C,'divisional &amp; regional caseload%'!$B$50,'caseload data'!F:F),"")</f>
        <v/>
      </c>
      <c r="E55" s="167" t="str">
        <f>IFERROR(SUMIFS('caseload data'!G:G,'caseload data'!$C:$C,'divisional &amp; regional caseload%'!$B$50,'caseload data'!$D:$D,"SPO")/SUMIF('caseload data'!$C:$C,'divisional &amp; regional caseload%'!$B$50,'caseload data'!G:G),"")</f>
        <v/>
      </c>
      <c r="F55" s="167" t="str">
        <f>IFERROR(SUMIFS('caseload data'!H:H,'caseload data'!$C:$C,'divisional &amp; regional caseload%'!$B$50,'caseload data'!$D:$D,"SPO")/SUMIF('caseload data'!$C:$C,'divisional &amp; regional caseload%'!$B$50,'caseload data'!H:H),"")</f>
        <v/>
      </c>
      <c r="G55" s="167" t="str">
        <f>IFERROR(SUMIFS('caseload data'!I:I,'caseload data'!$C:$C,'divisional &amp; regional caseload%'!$B$50,'caseload data'!$D:$D,"SPO")/SUMIF('caseload data'!$C:$C,'divisional &amp; regional caseload%'!$B$50,'caseload data'!I:I),"")</f>
        <v/>
      </c>
      <c r="H55" s="167" t="str">
        <f>IFERROR(SUMIFS('caseload data'!J:J,'caseload data'!$C:$C,'divisional &amp; regional caseload%'!$B$50,'caseload data'!$D:$D,"SPO")/SUMIF('caseload data'!$C:$C,'divisional &amp; regional caseload%'!$B$50,'caseload data'!J:J),"")</f>
        <v/>
      </c>
      <c r="I55" s="167" t="str">
        <f>IFERROR(SUMIFS('caseload data'!K:K,'caseload data'!$C:$C,'divisional &amp; regional caseload%'!$B$50,'caseload data'!$D:$D,"SPO")/SUMIF('caseload data'!$C:$C,'divisional &amp; regional caseload%'!$B$50,'caseload data'!K:K),"")</f>
        <v/>
      </c>
      <c r="J55" s="167" t="str">
        <f>IFERROR(SUMIFS('caseload data'!L:L,'caseload data'!$C:$C,'divisional &amp; regional caseload%'!$B$50,'caseload data'!$D:$D,"SPO")/SUMIF('caseload data'!$C:$C,'divisional &amp; regional caseload%'!$B$50,'caseload data'!L:L),"")</f>
        <v/>
      </c>
      <c r="K55" s="167" t="str">
        <f>IFERROR(SUMIFS('caseload data'!M:M,'caseload data'!$C:$C,'divisional &amp; regional caseload%'!$B$50,'caseload data'!$D:$D,"SPO")/SUMIF('caseload data'!$C:$C,'divisional &amp; regional caseload%'!$B$50,'caseload data'!M:M),"")</f>
        <v/>
      </c>
      <c r="L55" s="167" t="str">
        <f>IFERROR(SUMIFS('caseload data'!N:N,'caseload data'!$C:$C,'divisional &amp; regional caseload%'!$B$50,'caseload data'!$D:$D,"SPO")/SUMIF('caseload data'!$C:$C,'divisional &amp; regional caseload%'!$B$50,'caseload data'!N:N),"")</f>
        <v/>
      </c>
      <c r="M55" s="167" t="str">
        <f>IFERROR(SUMIFS('caseload data'!O:O,'caseload data'!$C:$C,'divisional &amp; regional caseload%'!$B$50,'caseload data'!$D:$D,"SPO")/SUMIF('caseload data'!$C:$C,'divisional &amp; regional caseload%'!$B$50,'caseload data'!O:O),"")</f>
        <v/>
      </c>
      <c r="N55" s="167" t="str">
        <f>IFERROR(SUMIFS('caseload data'!P:P,'caseload data'!$C:$C,'divisional &amp; regional caseload%'!$B$50,'caseload data'!$D:$D,"SPO")/SUMIF('caseload data'!$C:$C,'divisional &amp; regional caseload%'!$B$50,'caseload data'!P:P),"")</f>
        <v/>
      </c>
      <c r="O55" s="167" t="str">
        <f>IFERROR(SUMIFS('caseload data'!Q:Q,'caseload data'!$C:$C,'divisional &amp; regional caseload%'!$B$50,'caseload data'!$D:$D,"SPO")/SUMIF('caseload data'!$C:$C,'divisional &amp; regional caseload%'!$B$50,'caseload data'!Q:Q),"")</f>
        <v/>
      </c>
      <c r="P55" s="167" t="str">
        <f>IFERROR(SUMIFS('caseload data'!R:R,'caseload data'!$C:$C,'divisional &amp; regional caseload%'!$B$50,'caseload data'!$D:$D,"SPO")/SUMIF('caseload data'!$C:$C,'divisional &amp; regional caseload%'!$B$50,'caseload data'!R:R),"")</f>
        <v/>
      </c>
      <c r="Q55" s="167" t="str">
        <f>IFERROR(SUMIFS('caseload data'!S:S,'caseload data'!$C:$C,'divisional &amp; regional caseload%'!$B$50,'caseload data'!$D:$D,"SPO")/SUMIF('caseload data'!$C:$C,'divisional &amp; regional caseload%'!$B$50,'caseload data'!S:S),"")</f>
        <v/>
      </c>
      <c r="R55" s="167" t="str">
        <f>IFERROR(SUMIFS('caseload data'!T:T,'caseload data'!$C:$C,'divisional &amp; regional caseload%'!$B$50,'caseload data'!$D:$D,"SPO")/SUMIF('caseload data'!$C:$C,'divisional &amp; regional caseload%'!$B$50,'caseload data'!T:T),"")</f>
        <v/>
      </c>
      <c r="S55" s="64"/>
      <c r="T55" s="98" t="s">
        <v>1009</v>
      </c>
      <c r="U55" s="167" t="str">
        <f>IFERROR(SUMIFS('caseload data'!E:E,'caseload data'!$C:$C,'divisional &amp; regional caseload%'!$T$50,'caseload data'!$D:$D,"SPO")/SUMIF('caseload data'!$C:$C,'divisional &amp; regional caseload%'!$T$50,'caseload data'!E:E),"")</f>
        <v/>
      </c>
      <c r="V55" s="167" t="str">
        <f>IFERROR(SUMIFS('caseload data'!F:F,'caseload data'!$C:$C,'divisional &amp; regional caseload%'!$T$50,'caseload data'!$D:$D,"SPO")/SUMIF('caseload data'!$C:$C,'divisional &amp; regional caseload%'!$T$50,'caseload data'!F:F),"")</f>
        <v/>
      </c>
      <c r="W55" s="167" t="str">
        <f>IFERROR(SUMIFS('caseload data'!G:G,'caseload data'!$C:$C,'divisional &amp; regional caseload%'!$T$50,'caseload data'!$D:$D,"SPO")/SUMIF('caseload data'!$C:$C,'divisional &amp; regional caseload%'!$T$50,'caseload data'!G:G),"")</f>
        <v/>
      </c>
      <c r="X55" s="167" t="str">
        <f>IFERROR(SUMIFS('caseload data'!H:H,'caseload data'!$C:$C,'divisional &amp; regional caseload%'!$T$50,'caseload data'!$D:$D,"SPO")/SUMIF('caseload data'!$C:$C,'divisional &amp; regional caseload%'!$T$50,'caseload data'!H:H),"")</f>
        <v/>
      </c>
      <c r="Y55" s="167" t="str">
        <f>IFERROR(SUMIFS('caseload data'!I:I,'caseload data'!$C:$C,'divisional &amp; regional caseload%'!$T$50,'caseload data'!$D:$D,"SPO")/SUMIF('caseload data'!$C:$C,'divisional &amp; regional caseload%'!$T$50,'caseload data'!I:I),"")</f>
        <v/>
      </c>
      <c r="Z55" s="167" t="str">
        <f>IFERROR(SUMIFS('caseload data'!J:J,'caseload data'!$C:$C,'divisional &amp; regional caseload%'!$T$50,'caseload data'!$D:$D,"SPO")/SUMIF('caseload data'!$C:$C,'divisional &amp; regional caseload%'!$T$50,'caseload data'!J:J),"")</f>
        <v/>
      </c>
      <c r="AA55" s="167" t="str">
        <f>IFERROR(SUMIFS('caseload data'!K:K,'caseload data'!$C:$C,'divisional &amp; regional caseload%'!$T$50,'caseload data'!$D:$D,"SPO")/SUMIF('caseload data'!$C:$C,'divisional &amp; regional caseload%'!$T$50,'caseload data'!K:K),"")</f>
        <v/>
      </c>
      <c r="AB55" s="167" t="str">
        <f>IFERROR(SUMIFS('caseload data'!L:L,'caseload data'!$C:$C,'divisional &amp; regional caseload%'!$T$50,'caseload data'!$D:$D,"SPO")/SUMIF('caseload data'!$C:$C,'divisional &amp; regional caseload%'!$T$50,'caseload data'!L:L),"")</f>
        <v/>
      </c>
      <c r="AC55" s="167" t="str">
        <f>IFERROR(SUMIFS('caseload data'!M:M,'caseload data'!$C:$C,'divisional &amp; regional caseload%'!$T$50,'caseload data'!$D:$D,"SPO")/SUMIF('caseload data'!$C:$C,'divisional &amp; regional caseload%'!$T$50,'caseload data'!M:M),"")</f>
        <v/>
      </c>
      <c r="AD55" s="167" t="str">
        <f>IFERROR(SUMIFS('caseload data'!N:N,'caseload data'!$C:$C,'divisional &amp; regional caseload%'!$T$50,'caseload data'!$D:$D,"SPO")/SUMIF('caseload data'!$C:$C,'divisional &amp; regional caseload%'!$T$50,'caseload data'!N:N),"")</f>
        <v/>
      </c>
      <c r="AE55" s="167" t="str">
        <f>IFERROR(SUMIFS('caseload data'!O:O,'caseload data'!$C:$C,'divisional &amp; regional caseload%'!$T$50,'caseload data'!$D:$D,"SPO")/SUMIF('caseload data'!$C:$C,'divisional &amp; regional caseload%'!$T$50,'caseload data'!O:O),"")</f>
        <v/>
      </c>
      <c r="AF55" s="167" t="str">
        <f>IFERROR(SUMIFS('caseload data'!P:P,'caseload data'!$C:$C,'divisional &amp; regional caseload%'!$T$50,'caseload data'!$D:$D,"SPO")/SUMIF('caseload data'!$C:$C,'divisional &amp; regional caseload%'!$T$50,'caseload data'!P:P),"")</f>
        <v/>
      </c>
      <c r="AG55" s="167" t="str">
        <f>IFERROR(SUMIFS('caseload data'!Q:Q,'caseload data'!$C:$C,'divisional &amp; regional caseload%'!$T$50,'caseload data'!$D:$D,"SPO")/SUMIF('caseload data'!$C:$C,'divisional &amp; regional caseload%'!$T$50,'caseload data'!Q:Q),"")</f>
        <v/>
      </c>
      <c r="AH55" s="167" t="str">
        <f>IFERROR(SUMIFS('caseload data'!R:R,'caseload data'!$C:$C,'divisional &amp; regional caseload%'!$T$50,'caseload data'!$D:$D,"SPO")/SUMIF('caseload data'!$C:$C,'divisional &amp; regional caseload%'!$T$50,'caseload data'!R:R),"")</f>
        <v/>
      </c>
      <c r="AI55" s="167" t="str">
        <f>IFERROR(SUMIFS('caseload data'!S:S,'caseload data'!$C:$C,'divisional &amp; regional caseload%'!$T$50,'caseload data'!$D:$D,"SPO")/SUMIF('caseload data'!$C:$C,'divisional &amp; regional caseload%'!$T$50,'caseload data'!S:S),"")</f>
        <v/>
      </c>
      <c r="AJ55" s="167" t="str">
        <f>IFERROR(SUMIFS('caseload data'!T:T,'caseload data'!$C:$C,'divisional &amp; regional caseload%'!$T$50,'caseload data'!$D:$D,"SPO")/SUMIF('caseload data'!$C:$C,'divisional &amp; regional caseload%'!$T$50,'caseload data'!T:T),"")</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289">
        <f>HLOOKUP($B$5,Region_Table,16,0)</f>
        <v>0</v>
      </c>
      <c r="C57" s="523" t="s">
        <v>1101</v>
      </c>
      <c r="D57" s="524"/>
      <c r="E57" s="524"/>
      <c r="F57" s="524"/>
      <c r="G57" s="524"/>
      <c r="H57" s="524"/>
      <c r="I57" s="524"/>
      <c r="J57" s="524"/>
      <c r="K57" s="524"/>
      <c r="L57" s="524"/>
      <c r="M57" s="525"/>
      <c r="N57" s="525"/>
      <c r="O57" s="526"/>
      <c r="P57" s="510">
        <f>SUMIF('caseload data'!$C:$C,'divisional &amp; regional caseload%'!B57,'caseload data'!V:V)</f>
        <v>0</v>
      </c>
      <c r="Q57" s="527"/>
      <c r="R57" s="528"/>
      <c r="S57" s="64"/>
      <c r="T57" s="289">
        <f>HLOOKUP($B$5,Region_Table,17,0)</f>
        <v>0</v>
      </c>
      <c r="U57" s="523" t="s">
        <v>1097</v>
      </c>
      <c r="V57" s="524"/>
      <c r="W57" s="524"/>
      <c r="X57" s="524"/>
      <c r="Y57" s="524"/>
      <c r="Z57" s="524"/>
      <c r="AA57" s="524"/>
      <c r="AB57" s="524"/>
      <c r="AC57" s="524"/>
      <c r="AD57" s="524"/>
      <c r="AE57" s="525"/>
      <c r="AF57" s="525"/>
      <c r="AG57" s="526"/>
      <c r="AH57" s="510">
        <f>SUMIF('caseload data'!$C:$C,'divisional &amp; regional caseload%'!T57,'caseload data'!V:V)</f>
        <v>0</v>
      </c>
      <c r="AI57" s="527"/>
      <c r="AJ57" s="528"/>
    </row>
    <row r="58" spans="2:36" x14ac:dyDescent="0.15">
      <c r="B58" s="95" t="s">
        <v>1006</v>
      </c>
      <c r="C58" s="38" t="s">
        <v>869</v>
      </c>
      <c r="D58" s="38" t="s">
        <v>870</v>
      </c>
      <c r="E58" s="38" t="s">
        <v>871</v>
      </c>
      <c r="F58" s="38" t="s">
        <v>872</v>
      </c>
      <c r="G58" s="38" t="s">
        <v>873</v>
      </c>
      <c r="H58" s="38" t="s">
        <v>874</v>
      </c>
      <c r="I58" s="38" t="s">
        <v>875</v>
      </c>
      <c r="J58" s="38" t="s">
        <v>876</v>
      </c>
      <c r="K58" s="38" t="s">
        <v>877</v>
      </c>
      <c r="L58" s="38" t="s">
        <v>878</v>
      </c>
      <c r="M58" s="38" t="s">
        <v>879</v>
      </c>
      <c r="N58" s="38" t="s">
        <v>880</v>
      </c>
      <c r="O58" s="38" t="s">
        <v>881</v>
      </c>
      <c r="P58" s="38" t="s">
        <v>882</v>
      </c>
      <c r="Q58" s="38" t="s">
        <v>883</v>
      </c>
      <c r="R58" s="38" t="s">
        <v>884</v>
      </c>
      <c r="S58" s="64"/>
      <c r="T58" s="95" t="s">
        <v>1006</v>
      </c>
      <c r="U58" s="38" t="s">
        <v>869</v>
      </c>
      <c r="V58" s="38" t="s">
        <v>870</v>
      </c>
      <c r="W58" s="38" t="s">
        <v>871</v>
      </c>
      <c r="X58" s="38" t="s">
        <v>872</v>
      </c>
      <c r="Y58" s="38" t="s">
        <v>873</v>
      </c>
      <c r="Z58" s="38" t="s">
        <v>874</v>
      </c>
      <c r="AA58" s="38" t="s">
        <v>875</v>
      </c>
      <c r="AB58" s="38" t="s">
        <v>876</v>
      </c>
      <c r="AC58" s="38" t="s">
        <v>877</v>
      </c>
      <c r="AD58" s="38" t="s">
        <v>878</v>
      </c>
      <c r="AE58" s="38" t="s">
        <v>879</v>
      </c>
      <c r="AF58" s="38" t="s">
        <v>880</v>
      </c>
      <c r="AG58" s="38" t="s">
        <v>881</v>
      </c>
      <c r="AH58" s="38" t="s">
        <v>882</v>
      </c>
      <c r="AI58" s="38" t="s">
        <v>883</v>
      </c>
      <c r="AJ58" s="38" t="s">
        <v>884</v>
      </c>
    </row>
    <row r="59" spans="2:36" x14ac:dyDescent="0.15">
      <c r="B59" s="96" t="s">
        <v>1002</v>
      </c>
      <c r="C59" s="167" t="str">
        <f>IFERROR(SUMIFS('caseload data'!E:E,'caseload data'!$C:$C,'divisional &amp; regional caseload%'!$B$57,'caseload data'!$D:$D,"PO")/SUMIF('caseload data'!$C:$C,'divisional &amp; regional caseload%'!$B$57,'caseload data'!E:E),"")</f>
        <v/>
      </c>
      <c r="D59" s="167" t="str">
        <f>IFERROR(SUMIFS('caseload data'!F:F,'caseload data'!$C:$C,'divisional &amp; regional caseload%'!$B$57,'caseload data'!$D:$D,"PO")/SUMIF('caseload data'!$C:$C,'divisional &amp; regional caseload%'!$B$57,'caseload data'!F:F),"")</f>
        <v/>
      </c>
      <c r="E59" s="167" t="str">
        <f>IFERROR(SUMIFS('caseload data'!G:G,'caseload data'!$C:$C,'divisional &amp; regional caseload%'!$B$57,'caseload data'!$D:$D,"PO")/SUMIF('caseload data'!$C:$C,'divisional &amp; regional caseload%'!$B$57,'caseload data'!G:G),"")</f>
        <v/>
      </c>
      <c r="F59" s="167" t="str">
        <f>IFERROR(SUMIFS('caseload data'!H:H,'caseload data'!$C:$C,'divisional &amp; regional caseload%'!$B$57,'caseload data'!$D:$D,"PO")/SUMIF('caseload data'!$C:$C,'divisional &amp; regional caseload%'!$B$57,'caseload data'!H:H),"")</f>
        <v/>
      </c>
      <c r="G59" s="167" t="str">
        <f>IFERROR(SUMIFS('caseload data'!I:I,'caseload data'!$C:$C,'divisional &amp; regional caseload%'!$B$57,'caseload data'!$D:$D,"PO")/SUMIF('caseload data'!$C:$C,'divisional &amp; regional caseload%'!$B$57,'caseload data'!I:I),"")</f>
        <v/>
      </c>
      <c r="H59" s="167" t="str">
        <f>IFERROR(SUMIFS('caseload data'!J:J,'caseload data'!$C:$C,'divisional &amp; regional caseload%'!$B$57,'caseload data'!$D:$D,"PO")/SUMIF('caseload data'!$C:$C,'divisional &amp; regional caseload%'!$B$57,'caseload data'!J:J),"")</f>
        <v/>
      </c>
      <c r="I59" s="167" t="str">
        <f>IFERROR(SUMIFS('caseload data'!K:K,'caseload data'!$C:$C,'divisional &amp; regional caseload%'!$B$57,'caseload data'!$D:$D,"PO")/SUMIF('caseload data'!$C:$C,'divisional &amp; regional caseload%'!$B$57,'caseload data'!K:K),"")</f>
        <v/>
      </c>
      <c r="J59" s="167" t="str">
        <f>IFERROR(SUMIFS('caseload data'!L:L,'caseload data'!$C:$C,'divisional &amp; regional caseload%'!$B$57,'caseload data'!$D:$D,"PO")/SUMIF('caseload data'!$C:$C,'divisional &amp; regional caseload%'!$B$57,'caseload data'!L:L),"")</f>
        <v/>
      </c>
      <c r="K59" s="167" t="str">
        <f>IFERROR(SUMIFS('caseload data'!M:M,'caseload data'!$C:$C,'divisional &amp; regional caseload%'!$B$57,'caseload data'!$D:$D,"PO")/SUMIF('caseload data'!$C:$C,'divisional &amp; regional caseload%'!$B$57,'caseload data'!M:M),"")</f>
        <v/>
      </c>
      <c r="L59" s="167" t="str">
        <f>IFERROR(SUMIFS('caseload data'!N:N,'caseload data'!$C:$C,'divisional &amp; regional caseload%'!$B$57,'caseload data'!$D:$D,"PO")/SUMIF('caseload data'!$C:$C,'divisional &amp; regional caseload%'!$B$57,'caseload data'!N:N),"")</f>
        <v/>
      </c>
      <c r="M59" s="167" t="str">
        <f>IFERROR(SUMIFS('caseload data'!O:O,'caseload data'!$C:$C,'divisional &amp; regional caseload%'!$B$57,'caseload data'!$D:$D,"PO")/SUMIF('caseload data'!$C:$C,'divisional &amp; regional caseload%'!$B$57,'caseload data'!O:O),"")</f>
        <v/>
      </c>
      <c r="N59" s="167" t="str">
        <f>IFERROR(SUMIFS('caseload data'!P:P,'caseload data'!$C:$C,'divisional &amp; regional caseload%'!$B$57,'caseload data'!$D:$D,"PO")/SUMIF('caseload data'!$C:$C,'divisional &amp; regional caseload%'!$B$57,'caseload data'!P:P),"")</f>
        <v/>
      </c>
      <c r="O59" s="167" t="str">
        <f>IFERROR(SUMIFS('caseload data'!Q:Q,'caseload data'!$C:$C,'divisional &amp; regional caseload%'!$B$57,'caseload data'!$D:$D,"PO")/SUMIF('caseload data'!$C:$C,'divisional &amp; regional caseload%'!$B$57,'caseload data'!Q:Q),"")</f>
        <v/>
      </c>
      <c r="P59" s="167" t="str">
        <f>IFERROR(SUMIFS('caseload data'!R:R,'caseload data'!$C:$C,'divisional &amp; regional caseload%'!$B$57,'caseload data'!$D:$D,"PO")/SUMIF('caseload data'!$C:$C,'divisional &amp; regional caseload%'!$B$57,'caseload data'!R:R),"")</f>
        <v/>
      </c>
      <c r="Q59" s="167" t="str">
        <f>IFERROR(SUMIFS('caseload data'!S:S,'caseload data'!$C:$C,'divisional &amp; regional caseload%'!$B$57,'caseload data'!$D:$D,"PO")/SUMIF('caseload data'!$C:$C,'divisional &amp; regional caseload%'!$B$57,'caseload data'!S:S),"")</f>
        <v/>
      </c>
      <c r="R59" s="167" t="str">
        <f>IFERROR(SUMIFS('caseload data'!T:T,'caseload data'!$C:$C,'divisional &amp; regional caseload%'!$B$57,'caseload data'!$D:$D,"PO")/SUMIF('caseload data'!$C:$C,'divisional &amp; regional caseload%'!$B$57,'caseload data'!T:T),"")</f>
        <v/>
      </c>
      <c r="S59" s="64"/>
      <c r="T59" s="96" t="s">
        <v>1002</v>
      </c>
      <c r="U59" s="167" t="str">
        <f>IFERROR(SUMIFS('caseload data'!E:E,'caseload data'!$C:$C,'divisional &amp; regional caseload%'!$T$57,'caseload data'!$D:$D,"PO")/SUMIF('caseload data'!$C:$C,'divisional &amp; regional caseload%'!$T$57,'caseload data'!E:E),"")</f>
        <v/>
      </c>
      <c r="V59" s="167" t="str">
        <f>IFERROR(SUMIFS('caseload data'!F:F,'caseload data'!$C:$C,'divisional &amp; regional caseload%'!$T$57,'caseload data'!$D:$D,"PO")/SUMIF('caseload data'!$C:$C,'divisional &amp; regional caseload%'!$T$57,'caseload data'!F:F),"")</f>
        <v/>
      </c>
      <c r="W59" s="167" t="str">
        <f>IFERROR(SUMIFS('caseload data'!G:G,'caseload data'!$C:$C,'divisional &amp; regional caseload%'!$T$57,'caseload data'!$D:$D,"PO")/SUMIF('caseload data'!$C:$C,'divisional &amp; regional caseload%'!$T$57,'caseload data'!G:G),"")</f>
        <v/>
      </c>
      <c r="X59" s="167" t="str">
        <f>IFERROR(SUMIFS('caseload data'!H:H,'caseload data'!$C:$C,'divisional &amp; regional caseload%'!$T$57,'caseload data'!$D:$D,"PO")/SUMIF('caseload data'!$C:$C,'divisional &amp; regional caseload%'!$T$57,'caseload data'!H:H),"")</f>
        <v/>
      </c>
      <c r="Y59" s="167" t="str">
        <f>IFERROR(SUMIFS('caseload data'!I:I,'caseload data'!$C:$C,'divisional &amp; regional caseload%'!$T$57,'caseload data'!$D:$D,"PO")/SUMIF('caseload data'!$C:$C,'divisional &amp; regional caseload%'!$T$57,'caseload data'!I:I),"")</f>
        <v/>
      </c>
      <c r="Z59" s="167" t="str">
        <f>IFERROR(SUMIFS('caseload data'!J:J,'caseload data'!$C:$C,'divisional &amp; regional caseload%'!$T$57,'caseload data'!$D:$D,"PO")/SUMIF('caseload data'!$C:$C,'divisional &amp; regional caseload%'!$T$57,'caseload data'!J:J),"")</f>
        <v/>
      </c>
      <c r="AA59" s="167" t="str">
        <f>IFERROR(SUMIFS('caseload data'!K:K,'caseload data'!$C:$C,'divisional &amp; regional caseload%'!$T$57,'caseload data'!$D:$D,"PO")/SUMIF('caseload data'!$C:$C,'divisional &amp; regional caseload%'!$T$57,'caseload data'!K:K),"")</f>
        <v/>
      </c>
      <c r="AB59" s="167" t="str">
        <f>IFERROR(SUMIFS('caseload data'!L:L,'caseload data'!$C:$C,'divisional &amp; regional caseload%'!$T$57,'caseload data'!$D:$D,"PO")/SUMIF('caseload data'!$C:$C,'divisional &amp; regional caseload%'!$T$57,'caseload data'!L:L),"")</f>
        <v/>
      </c>
      <c r="AC59" s="167" t="str">
        <f>IFERROR(SUMIFS('caseload data'!M:M,'caseload data'!$C:$C,'divisional &amp; regional caseload%'!$T$57,'caseload data'!$D:$D,"PO")/SUMIF('caseload data'!$C:$C,'divisional &amp; regional caseload%'!$T$57,'caseload data'!M:M),"")</f>
        <v/>
      </c>
      <c r="AD59" s="167" t="str">
        <f>IFERROR(SUMIFS('caseload data'!N:N,'caseload data'!$C:$C,'divisional &amp; regional caseload%'!$T$57,'caseload data'!$D:$D,"PO")/SUMIF('caseload data'!$C:$C,'divisional &amp; regional caseload%'!$T$57,'caseload data'!N:N),"")</f>
        <v/>
      </c>
      <c r="AE59" s="167" t="str">
        <f>IFERROR(SUMIFS('caseload data'!O:O,'caseload data'!$C:$C,'divisional &amp; regional caseload%'!$T$57,'caseload data'!$D:$D,"PO")/SUMIF('caseload data'!$C:$C,'divisional &amp; regional caseload%'!$T$57,'caseload data'!O:O),"")</f>
        <v/>
      </c>
      <c r="AF59" s="167" t="str">
        <f>IFERROR(SUMIFS('caseload data'!P:P,'caseload data'!$C:$C,'divisional &amp; regional caseload%'!$T$57,'caseload data'!$D:$D,"PO")/SUMIF('caseload data'!$C:$C,'divisional &amp; regional caseload%'!$T$57,'caseload data'!P:P),"")</f>
        <v/>
      </c>
      <c r="AG59" s="167" t="str">
        <f>IFERROR(SUMIFS('caseload data'!Q:Q,'caseload data'!$C:$C,'divisional &amp; regional caseload%'!$T$57,'caseload data'!$D:$D,"PO")/SUMIF('caseload data'!$C:$C,'divisional &amp; regional caseload%'!$T$57,'caseload data'!Q:Q),"")</f>
        <v/>
      </c>
      <c r="AH59" s="167" t="str">
        <f>IFERROR(SUMIFS('caseload data'!R:R,'caseload data'!$C:$C,'divisional &amp; regional caseload%'!$T$57,'caseload data'!$D:$D,"PO")/SUMIF('caseload data'!$C:$C,'divisional &amp; regional caseload%'!$T$57,'caseload data'!R:R),"")</f>
        <v/>
      </c>
      <c r="AI59" s="167" t="str">
        <f>IFERROR(SUMIFS('caseload data'!S:S,'caseload data'!$C:$C,'divisional &amp; regional caseload%'!$T$57,'caseload data'!$D:$D,"PO")/SUMIF('caseload data'!$C:$C,'divisional &amp; regional caseload%'!$T$57,'caseload data'!S:S),"")</f>
        <v/>
      </c>
      <c r="AJ59" s="167" t="str">
        <f>IFERROR(SUMIFS('caseload data'!T:T,'caseload data'!$C:$C,'divisional &amp; regional caseload%'!$T$57,'caseload data'!$D:$D,"PO")/SUMIF('caseload data'!$C:$C,'divisional &amp; regional caseload%'!$T$57,'caseload data'!T:T),"")</f>
        <v/>
      </c>
    </row>
    <row r="60" spans="2:36" x14ac:dyDescent="0.15">
      <c r="B60" s="97" t="s">
        <v>1007</v>
      </c>
      <c r="C60" s="167" t="str">
        <f>IFERROR(SUMIFS('caseload data'!E:E,'caseload data'!$C:$C,'divisional &amp; regional caseload%'!$B$57,'caseload data'!$D:$D,"PSO")/SUMIF('caseload data'!$C:$C,'divisional &amp; regional caseload%'!$B$57,'caseload data'!E:E),"")</f>
        <v/>
      </c>
      <c r="D60" s="167" t="str">
        <f>IFERROR(SUMIFS('caseload data'!F:F,'caseload data'!$C:$C,'divisional &amp; regional caseload%'!$B$57,'caseload data'!$D:$D,"PSO")/SUMIF('caseload data'!$C:$C,'divisional &amp; regional caseload%'!$B$57,'caseload data'!F:F),"")</f>
        <v/>
      </c>
      <c r="E60" s="167" t="str">
        <f>IFERROR(SUMIFS('caseload data'!G:G,'caseload data'!$C:$C,'divisional &amp; regional caseload%'!$B$57,'caseload data'!$D:$D,"PSO")/SUMIF('caseload data'!$C:$C,'divisional &amp; regional caseload%'!$B$57,'caseload data'!G:G),"")</f>
        <v/>
      </c>
      <c r="F60" s="167" t="str">
        <f>IFERROR(SUMIFS('caseload data'!H:H,'caseload data'!$C:$C,'divisional &amp; regional caseload%'!$B$57,'caseload data'!$D:$D,"PSO")/SUMIF('caseload data'!$C:$C,'divisional &amp; regional caseload%'!$B$57,'caseload data'!H:H),"")</f>
        <v/>
      </c>
      <c r="G60" s="167" t="str">
        <f>IFERROR(SUMIFS('caseload data'!I:I,'caseload data'!$C:$C,'divisional &amp; regional caseload%'!$B$57,'caseload data'!$D:$D,"PSO")/SUMIF('caseload data'!$C:$C,'divisional &amp; regional caseload%'!$B$57,'caseload data'!I:I),"")</f>
        <v/>
      </c>
      <c r="H60" s="167" t="str">
        <f>IFERROR(SUMIFS('caseload data'!J:J,'caseload data'!$C:$C,'divisional &amp; regional caseload%'!$B$57,'caseload data'!$D:$D,"PSO")/SUMIF('caseload data'!$C:$C,'divisional &amp; regional caseload%'!$B$57,'caseload data'!J:J),"")</f>
        <v/>
      </c>
      <c r="I60" s="167" t="str">
        <f>IFERROR(SUMIFS('caseload data'!K:K,'caseload data'!$C:$C,'divisional &amp; regional caseload%'!$B$57,'caseload data'!$D:$D,"PSO")/SUMIF('caseload data'!$C:$C,'divisional &amp; regional caseload%'!$B$57,'caseload data'!K:K),"")</f>
        <v/>
      </c>
      <c r="J60" s="167" t="str">
        <f>IFERROR(SUMIFS('caseload data'!L:L,'caseload data'!$C:$C,'divisional &amp; regional caseload%'!$B$57,'caseload data'!$D:$D,"PSO")/SUMIF('caseload data'!$C:$C,'divisional &amp; regional caseload%'!$B$57,'caseload data'!L:L),"")</f>
        <v/>
      </c>
      <c r="K60" s="167" t="str">
        <f>IFERROR(SUMIFS('caseload data'!M:M,'caseload data'!$C:$C,'divisional &amp; regional caseload%'!$B$57,'caseload data'!$D:$D,"PSO")/SUMIF('caseload data'!$C:$C,'divisional &amp; regional caseload%'!$B$57,'caseload data'!M:M),"")</f>
        <v/>
      </c>
      <c r="L60" s="167" t="str">
        <f>IFERROR(SUMIFS('caseload data'!N:N,'caseload data'!$C:$C,'divisional &amp; regional caseload%'!$B$57,'caseload data'!$D:$D,"PSO")/SUMIF('caseload data'!$C:$C,'divisional &amp; regional caseload%'!$B$57,'caseload data'!N:N),"")</f>
        <v/>
      </c>
      <c r="M60" s="167" t="str">
        <f>IFERROR(SUMIFS('caseload data'!O:O,'caseload data'!$C:$C,'divisional &amp; regional caseload%'!$B$57,'caseload data'!$D:$D,"PSO")/SUMIF('caseload data'!$C:$C,'divisional &amp; regional caseload%'!$B$57,'caseload data'!O:O),"")</f>
        <v/>
      </c>
      <c r="N60" s="167" t="str">
        <f>IFERROR(SUMIFS('caseload data'!P:P,'caseload data'!$C:$C,'divisional &amp; regional caseload%'!$B$57,'caseload data'!$D:$D,"PSO")/SUMIF('caseload data'!$C:$C,'divisional &amp; regional caseload%'!$B$57,'caseload data'!P:P),"")</f>
        <v/>
      </c>
      <c r="O60" s="167" t="str">
        <f>IFERROR(SUMIFS('caseload data'!Q:Q,'caseload data'!$C:$C,'divisional &amp; regional caseload%'!$B$57,'caseload data'!$D:$D,"PSO")/SUMIF('caseload data'!$C:$C,'divisional &amp; regional caseload%'!$B$57,'caseload data'!Q:Q),"")</f>
        <v/>
      </c>
      <c r="P60" s="167" t="str">
        <f>IFERROR(SUMIFS('caseload data'!R:R,'caseload data'!$C:$C,'divisional &amp; regional caseload%'!$B$57,'caseload data'!$D:$D,"PSO")/SUMIF('caseload data'!$C:$C,'divisional &amp; regional caseload%'!$B$57,'caseload data'!R:R),"")</f>
        <v/>
      </c>
      <c r="Q60" s="167" t="str">
        <f>IFERROR(SUMIFS('caseload data'!S:S,'caseload data'!$C:$C,'divisional &amp; regional caseload%'!$B$57,'caseload data'!$D:$D,"PSO")/SUMIF('caseload data'!$C:$C,'divisional &amp; regional caseload%'!$B$57,'caseload data'!S:S),"")</f>
        <v/>
      </c>
      <c r="R60" s="167" t="str">
        <f>IFERROR(SUMIFS('caseload data'!T:T,'caseload data'!$C:$C,'divisional &amp; regional caseload%'!$B$57,'caseload data'!$D:$D,"PSO")/SUMIF('caseload data'!$C:$C,'divisional &amp; regional caseload%'!$B$57,'caseload data'!T:T),"")</f>
        <v/>
      </c>
      <c r="S60" s="64"/>
      <c r="T60" s="97" t="s">
        <v>1007</v>
      </c>
      <c r="U60" s="167" t="str">
        <f>IFERROR(SUMIFS('caseload data'!E:E,'caseload data'!$C:$C,'divisional &amp; regional caseload%'!$T$57,'caseload data'!$D:$D,"PSO")/SUMIF('caseload data'!$C:$C,'divisional &amp; regional caseload%'!$T$57,'caseload data'!E:E),"")</f>
        <v/>
      </c>
      <c r="V60" s="167" t="str">
        <f>IFERROR(SUMIFS('caseload data'!F:F,'caseload data'!$C:$C,'divisional &amp; regional caseload%'!$T$57,'caseload data'!$D:$D,"PSO")/SUMIF('caseload data'!$C:$C,'divisional &amp; regional caseload%'!$T$57,'caseload data'!F:F),"")</f>
        <v/>
      </c>
      <c r="W60" s="167" t="str">
        <f>IFERROR(SUMIFS('caseload data'!G:G,'caseload data'!$C:$C,'divisional &amp; regional caseload%'!$T$57,'caseload data'!$D:$D,"PSO")/SUMIF('caseload data'!$C:$C,'divisional &amp; regional caseload%'!$T$57,'caseload data'!G:G),"")</f>
        <v/>
      </c>
      <c r="X60" s="167" t="str">
        <f>IFERROR(SUMIFS('caseload data'!H:H,'caseload data'!$C:$C,'divisional &amp; regional caseload%'!$T$57,'caseload data'!$D:$D,"PSO")/SUMIF('caseload data'!$C:$C,'divisional &amp; regional caseload%'!$T$57,'caseload data'!H:H),"")</f>
        <v/>
      </c>
      <c r="Y60" s="167" t="str">
        <f>IFERROR(SUMIFS('caseload data'!I:I,'caseload data'!$C:$C,'divisional &amp; regional caseload%'!$T$57,'caseload data'!$D:$D,"PSO")/SUMIF('caseload data'!$C:$C,'divisional &amp; regional caseload%'!$T$57,'caseload data'!I:I),"")</f>
        <v/>
      </c>
      <c r="Z60" s="167" t="str">
        <f>IFERROR(SUMIFS('caseload data'!J:J,'caseload data'!$C:$C,'divisional &amp; regional caseload%'!$T$57,'caseload data'!$D:$D,"PSO")/SUMIF('caseload data'!$C:$C,'divisional &amp; regional caseload%'!$T$57,'caseload data'!J:J),"")</f>
        <v/>
      </c>
      <c r="AA60" s="167" t="str">
        <f>IFERROR(SUMIFS('caseload data'!K:K,'caseload data'!$C:$C,'divisional &amp; regional caseload%'!$T$57,'caseload data'!$D:$D,"PSO")/SUMIF('caseload data'!$C:$C,'divisional &amp; regional caseload%'!$T$57,'caseload data'!K:K),"")</f>
        <v/>
      </c>
      <c r="AB60" s="167" t="str">
        <f>IFERROR(SUMIFS('caseload data'!L:L,'caseload data'!$C:$C,'divisional &amp; regional caseload%'!$T$57,'caseload data'!$D:$D,"PSO")/SUMIF('caseload data'!$C:$C,'divisional &amp; regional caseload%'!$T$57,'caseload data'!L:L),"")</f>
        <v/>
      </c>
      <c r="AC60" s="167" t="str">
        <f>IFERROR(SUMIFS('caseload data'!M:M,'caseload data'!$C:$C,'divisional &amp; regional caseload%'!$T$57,'caseload data'!$D:$D,"PSO")/SUMIF('caseload data'!$C:$C,'divisional &amp; regional caseload%'!$T$57,'caseload data'!M:M),"")</f>
        <v/>
      </c>
      <c r="AD60" s="167" t="str">
        <f>IFERROR(SUMIFS('caseload data'!N:N,'caseload data'!$C:$C,'divisional &amp; regional caseload%'!$T$57,'caseload data'!$D:$D,"PSO")/SUMIF('caseload data'!$C:$C,'divisional &amp; regional caseload%'!$T$57,'caseload data'!N:N),"")</f>
        <v/>
      </c>
      <c r="AE60" s="167" t="str">
        <f>IFERROR(SUMIFS('caseload data'!O:O,'caseload data'!$C:$C,'divisional &amp; regional caseload%'!$T$57,'caseload data'!$D:$D,"PSO")/SUMIF('caseload data'!$C:$C,'divisional &amp; regional caseload%'!$T$57,'caseload data'!O:O),"")</f>
        <v/>
      </c>
      <c r="AF60" s="167" t="str">
        <f>IFERROR(SUMIFS('caseload data'!P:P,'caseload data'!$C:$C,'divisional &amp; regional caseload%'!$T$57,'caseload data'!$D:$D,"PSO")/SUMIF('caseload data'!$C:$C,'divisional &amp; regional caseload%'!$T$57,'caseload data'!P:P),"")</f>
        <v/>
      </c>
      <c r="AG60" s="167" t="str">
        <f>IFERROR(SUMIFS('caseload data'!Q:Q,'caseload data'!$C:$C,'divisional &amp; regional caseload%'!$T$57,'caseload data'!$D:$D,"PSO")/SUMIF('caseload data'!$C:$C,'divisional &amp; regional caseload%'!$T$57,'caseload data'!Q:Q),"")</f>
        <v/>
      </c>
      <c r="AH60" s="167" t="str">
        <f>IFERROR(SUMIFS('caseload data'!R:R,'caseload data'!$C:$C,'divisional &amp; regional caseload%'!$T$57,'caseload data'!$D:$D,"PSO")/SUMIF('caseload data'!$C:$C,'divisional &amp; regional caseload%'!$T$57,'caseload data'!R:R),"")</f>
        <v/>
      </c>
      <c r="AI60" s="167" t="str">
        <f>IFERROR(SUMIFS('caseload data'!S:S,'caseload data'!$C:$C,'divisional &amp; regional caseload%'!$T$57,'caseload data'!$D:$D,"PSO")/SUMIF('caseload data'!$C:$C,'divisional &amp; regional caseload%'!$T$57,'caseload data'!S:S),"")</f>
        <v/>
      </c>
      <c r="AJ60" s="167" t="str">
        <f>IFERROR(SUMIFS('caseload data'!T:T,'caseload data'!$C:$C,'divisional &amp; regional caseload%'!$T$57,'caseload data'!$D:$D,"PSO")/SUMIF('caseload data'!$C:$C,'divisional &amp; regional caseload%'!$T$57,'caseload data'!T:T),"")</f>
        <v/>
      </c>
    </row>
    <row r="61" spans="2:36" x14ac:dyDescent="0.15">
      <c r="B61" s="97" t="s">
        <v>1008</v>
      </c>
      <c r="C61" s="167" t="str">
        <f>IFERROR(SUMIFS('caseload data'!E:E,'caseload data'!$C:$C,'divisional &amp; regional caseload%'!$B$57,'caseload data'!$D:$D,"TPO")/SUMIF('caseload data'!$C:$C,'divisional &amp; regional caseload%'!$B$57,'caseload data'!E:E),"")</f>
        <v/>
      </c>
      <c r="D61" s="167" t="str">
        <f>IFERROR(SUMIFS('caseload data'!F:F,'caseload data'!$C:$C,'divisional &amp; regional caseload%'!$B$57,'caseload data'!$D:$D,"TPO")/SUMIF('caseload data'!$C:$C,'divisional &amp; regional caseload%'!$B$57,'caseload data'!F:F),"")</f>
        <v/>
      </c>
      <c r="E61" s="167" t="str">
        <f>IFERROR(SUMIFS('caseload data'!G:G,'caseload data'!$C:$C,'divisional &amp; regional caseload%'!$B$57,'caseload data'!$D:$D,"TPO")/SUMIF('caseload data'!$C:$C,'divisional &amp; regional caseload%'!$B$57,'caseload data'!G:G),"")</f>
        <v/>
      </c>
      <c r="F61" s="167" t="str">
        <f>IFERROR(SUMIFS('caseload data'!H:H,'caseload data'!$C:$C,'divisional &amp; regional caseload%'!$B$57,'caseload data'!$D:$D,"TPO")/SUMIF('caseload data'!$C:$C,'divisional &amp; regional caseload%'!$B$57,'caseload data'!H:H),"")</f>
        <v/>
      </c>
      <c r="G61" s="167" t="str">
        <f>IFERROR(SUMIFS('caseload data'!I:I,'caseload data'!$C:$C,'divisional &amp; regional caseload%'!$B$57,'caseload data'!$D:$D,"TPO")/SUMIF('caseload data'!$C:$C,'divisional &amp; regional caseload%'!$B$57,'caseload data'!I:I),"")</f>
        <v/>
      </c>
      <c r="H61" s="167" t="str">
        <f>IFERROR(SUMIFS('caseload data'!J:J,'caseload data'!$C:$C,'divisional &amp; regional caseload%'!$B$57,'caseload data'!$D:$D,"TPO")/SUMIF('caseload data'!$C:$C,'divisional &amp; regional caseload%'!$B$57,'caseload data'!J:J),"")</f>
        <v/>
      </c>
      <c r="I61" s="167" t="str">
        <f>IFERROR(SUMIFS('caseload data'!K:K,'caseload data'!$C:$C,'divisional &amp; regional caseload%'!$B$57,'caseload data'!$D:$D,"TPO")/SUMIF('caseload data'!$C:$C,'divisional &amp; regional caseload%'!$B$57,'caseload data'!K:K),"")</f>
        <v/>
      </c>
      <c r="J61" s="167" t="str">
        <f>IFERROR(SUMIFS('caseload data'!L:L,'caseload data'!$C:$C,'divisional &amp; regional caseload%'!$B$57,'caseload data'!$D:$D,"TPO")/SUMIF('caseload data'!$C:$C,'divisional &amp; regional caseload%'!$B$57,'caseload data'!L:L),"")</f>
        <v/>
      </c>
      <c r="K61" s="167" t="str">
        <f>IFERROR(SUMIFS('caseload data'!M:M,'caseload data'!$C:$C,'divisional &amp; regional caseload%'!$B$57,'caseload data'!$D:$D,"TPO")/SUMIF('caseload data'!$C:$C,'divisional &amp; regional caseload%'!$B$57,'caseload data'!M:M),"")</f>
        <v/>
      </c>
      <c r="L61" s="167" t="str">
        <f>IFERROR(SUMIFS('caseload data'!N:N,'caseload data'!$C:$C,'divisional &amp; regional caseload%'!$B$57,'caseload data'!$D:$D,"TPO")/SUMIF('caseload data'!$C:$C,'divisional &amp; regional caseload%'!$B$57,'caseload data'!N:N),"")</f>
        <v/>
      </c>
      <c r="M61" s="167" t="str">
        <f>IFERROR(SUMIFS('caseload data'!O:O,'caseload data'!$C:$C,'divisional &amp; regional caseload%'!$B$57,'caseload data'!$D:$D,"TPO")/SUMIF('caseload data'!$C:$C,'divisional &amp; regional caseload%'!$B$57,'caseload data'!O:O),"")</f>
        <v/>
      </c>
      <c r="N61" s="167" t="str">
        <f>IFERROR(SUMIFS('caseload data'!P:P,'caseload data'!$C:$C,'divisional &amp; regional caseload%'!$B$57,'caseload data'!$D:$D,"TPO")/SUMIF('caseload data'!$C:$C,'divisional &amp; regional caseload%'!$B$57,'caseload data'!P:P),"")</f>
        <v/>
      </c>
      <c r="O61" s="167" t="str">
        <f>IFERROR(SUMIFS('caseload data'!Q:Q,'caseload data'!$C:$C,'divisional &amp; regional caseload%'!$B$57,'caseload data'!$D:$D,"TPO")/SUMIF('caseload data'!$C:$C,'divisional &amp; regional caseload%'!$B$57,'caseload data'!Q:Q),"")</f>
        <v/>
      </c>
      <c r="P61" s="167" t="str">
        <f>IFERROR(SUMIFS('caseload data'!R:R,'caseload data'!$C:$C,'divisional &amp; regional caseload%'!$B$57,'caseload data'!$D:$D,"TPO")/SUMIF('caseload data'!$C:$C,'divisional &amp; regional caseload%'!$B$57,'caseload data'!R:R),"")</f>
        <v/>
      </c>
      <c r="Q61" s="167" t="str">
        <f>IFERROR(SUMIFS('caseload data'!S:S,'caseload data'!$C:$C,'divisional &amp; regional caseload%'!$B$57,'caseload data'!$D:$D,"TPO")/SUMIF('caseload data'!$C:$C,'divisional &amp; regional caseload%'!$B$57,'caseload data'!S:S),"")</f>
        <v/>
      </c>
      <c r="R61" s="167" t="str">
        <f>IFERROR(SUMIFS('caseload data'!T:T,'caseload data'!$C:$C,'divisional &amp; regional caseload%'!$B$57,'caseload data'!$D:$D,"TPO")/SUMIF('caseload data'!$C:$C,'divisional &amp; regional caseload%'!$B$57,'caseload data'!T:T),"")</f>
        <v/>
      </c>
      <c r="S61" s="64"/>
      <c r="T61" s="97" t="s">
        <v>1008</v>
      </c>
      <c r="U61" s="167" t="str">
        <f>IFERROR(SUMIFS('caseload data'!E:E,'caseload data'!$C:$C,'divisional &amp; regional caseload%'!$T$57,'caseload data'!$D:$D,"TPO")/SUMIF('caseload data'!$C:$C,'divisional &amp; regional caseload%'!$T$57,'caseload data'!E:E),"")</f>
        <v/>
      </c>
      <c r="V61" s="167" t="str">
        <f>IFERROR(SUMIFS('caseload data'!F:F,'caseload data'!$C:$C,'divisional &amp; regional caseload%'!$T$57,'caseload data'!$D:$D,"TPO")/SUMIF('caseload data'!$C:$C,'divisional &amp; regional caseload%'!$T$57,'caseload data'!F:F),"")</f>
        <v/>
      </c>
      <c r="W61" s="167" t="str">
        <f>IFERROR(SUMIFS('caseload data'!G:G,'caseload data'!$C:$C,'divisional &amp; regional caseload%'!$T$57,'caseload data'!$D:$D,"TPO")/SUMIF('caseload data'!$C:$C,'divisional &amp; regional caseload%'!$T$57,'caseload data'!G:G),"")</f>
        <v/>
      </c>
      <c r="X61" s="167" t="str">
        <f>IFERROR(SUMIFS('caseload data'!H:H,'caseload data'!$C:$C,'divisional &amp; regional caseload%'!$T$57,'caseload data'!$D:$D,"TPO")/SUMIF('caseload data'!$C:$C,'divisional &amp; regional caseload%'!$T$57,'caseload data'!H:H),"")</f>
        <v/>
      </c>
      <c r="Y61" s="167" t="str">
        <f>IFERROR(SUMIFS('caseload data'!I:I,'caseload data'!$C:$C,'divisional &amp; regional caseload%'!$T$57,'caseload data'!$D:$D,"TPO")/SUMIF('caseload data'!$C:$C,'divisional &amp; regional caseload%'!$T$57,'caseload data'!I:I),"")</f>
        <v/>
      </c>
      <c r="Z61" s="167" t="str">
        <f>IFERROR(SUMIFS('caseload data'!J:J,'caseload data'!$C:$C,'divisional &amp; regional caseload%'!$T$57,'caseload data'!$D:$D,"TPO")/SUMIF('caseload data'!$C:$C,'divisional &amp; regional caseload%'!$T$57,'caseload data'!J:J),"")</f>
        <v/>
      </c>
      <c r="AA61" s="167" t="str">
        <f>IFERROR(SUMIFS('caseload data'!K:K,'caseload data'!$C:$C,'divisional &amp; regional caseload%'!$T$57,'caseload data'!$D:$D,"TPO")/SUMIF('caseload data'!$C:$C,'divisional &amp; regional caseload%'!$T$57,'caseload data'!K:K),"")</f>
        <v/>
      </c>
      <c r="AB61" s="167" t="str">
        <f>IFERROR(SUMIFS('caseload data'!L:L,'caseload data'!$C:$C,'divisional &amp; regional caseload%'!$T$57,'caseload data'!$D:$D,"TPO")/SUMIF('caseload data'!$C:$C,'divisional &amp; regional caseload%'!$T$57,'caseload data'!L:L),"")</f>
        <v/>
      </c>
      <c r="AC61" s="167" t="str">
        <f>IFERROR(SUMIFS('caseload data'!M:M,'caseload data'!$C:$C,'divisional &amp; regional caseload%'!$T$57,'caseload data'!$D:$D,"TPO")/SUMIF('caseload data'!$C:$C,'divisional &amp; regional caseload%'!$T$57,'caseload data'!M:M),"")</f>
        <v/>
      </c>
      <c r="AD61" s="167" t="str">
        <f>IFERROR(SUMIFS('caseload data'!N:N,'caseload data'!$C:$C,'divisional &amp; regional caseload%'!$T$57,'caseload data'!$D:$D,"TPO")/SUMIF('caseload data'!$C:$C,'divisional &amp; regional caseload%'!$T$57,'caseload data'!N:N),"")</f>
        <v/>
      </c>
      <c r="AE61" s="167" t="str">
        <f>IFERROR(SUMIFS('caseload data'!O:O,'caseload data'!$C:$C,'divisional &amp; regional caseload%'!$T$57,'caseload data'!$D:$D,"TPO")/SUMIF('caseload data'!$C:$C,'divisional &amp; regional caseload%'!$T$57,'caseload data'!O:O),"")</f>
        <v/>
      </c>
      <c r="AF61" s="167" t="str">
        <f>IFERROR(SUMIFS('caseload data'!P:P,'caseload data'!$C:$C,'divisional &amp; regional caseload%'!$T$57,'caseload data'!$D:$D,"TPO")/SUMIF('caseload data'!$C:$C,'divisional &amp; regional caseload%'!$T$57,'caseload data'!P:P),"")</f>
        <v/>
      </c>
      <c r="AG61" s="167" t="str">
        <f>IFERROR(SUMIFS('caseload data'!Q:Q,'caseload data'!$C:$C,'divisional &amp; regional caseload%'!$T$57,'caseload data'!$D:$D,"TPO")/SUMIF('caseload data'!$C:$C,'divisional &amp; regional caseload%'!$T$57,'caseload data'!Q:Q),"")</f>
        <v/>
      </c>
      <c r="AH61" s="167" t="str">
        <f>IFERROR(SUMIFS('caseload data'!R:R,'caseload data'!$C:$C,'divisional &amp; regional caseload%'!$T$57,'caseload data'!$D:$D,"TPO")/SUMIF('caseload data'!$C:$C,'divisional &amp; regional caseload%'!$T$57,'caseload data'!R:R),"")</f>
        <v/>
      </c>
      <c r="AI61" s="167" t="str">
        <f>IFERROR(SUMIFS('caseload data'!S:S,'caseload data'!$C:$C,'divisional &amp; regional caseload%'!$T$57,'caseload data'!$D:$D,"TPO")/SUMIF('caseload data'!$C:$C,'divisional &amp; regional caseload%'!$T$57,'caseload data'!S:S),"")</f>
        <v/>
      </c>
      <c r="AJ61" s="167" t="str">
        <f>IFERROR(SUMIFS('caseload data'!T:T,'caseload data'!$C:$C,'divisional &amp; regional caseload%'!$T$57,'caseload data'!$D:$D,"TPO")/SUMIF('caseload data'!$C:$C,'divisional &amp; regional caseload%'!$T$57,'caseload data'!T:T),"")</f>
        <v/>
      </c>
    </row>
    <row r="62" spans="2:36" x14ac:dyDescent="0.15">
      <c r="B62" s="98" t="s">
        <v>1009</v>
      </c>
      <c r="C62" s="167" t="str">
        <f>IFERROR(SUMIFS('caseload data'!E:E,'caseload data'!$C:$C,'divisional &amp; regional caseload%'!$B$57,'caseload data'!$D:$D,"SPO")/SUMIF('caseload data'!$C:$C,'divisional &amp; regional caseload%'!$B$57,'caseload data'!E:E),"")</f>
        <v/>
      </c>
      <c r="D62" s="167" t="str">
        <f>IFERROR(SUMIFS('caseload data'!F:F,'caseload data'!$C:$C,'divisional &amp; regional caseload%'!$B$57,'caseload data'!$D:$D,"SPO")/SUMIF('caseload data'!$C:$C,'divisional &amp; regional caseload%'!$B$57,'caseload data'!F:F),"")</f>
        <v/>
      </c>
      <c r="E62" s="167" t="str">
        <f>IFERROR(SUMIFS('caseload data'!G:G,'caseload data'!$C:$C,'divisional &amp; regional caseload%'!$B$57,'caseload data'!$D:$D,"SPO")/SUMIF('caseload data'!$C:$C,'divisional &amp; regional caseload%'!$B$57,'caseload data'!G:G),"")</f>
        <v/>
      </c>
      <c r="F62" s="167" t="str">
        <f>IFERROR(SUMIFS('caseload data'!H:H,'caseload data'!$C:$C,'divisional &amp; regional caseload%'!$B$57,'caseload data'!$D:$D,"SPO")/SUMIF('caseload data'!$C:$C,'divisional &amp; regional caseload%'!$B$57,'caseload data'!H:H),"")</f>
        <v/>
      </c>
      <c r="G62" s="167" t="str">
        <f>IFERROR(SUMIFS('caseload data'!I:I,'caseload data'!$C:$C,'divisional &amp; regional caseload%'!$B$57,'caseload data'!$D:$D,"SPO")/SUMIF('caseload data'!$C:$C,'divisional &amp; regional caseload%'!$B$57,'caseload data'!I:I),"")</f>
        <v/>
      </c>
      <c r="H62" s="167" t="str">
        <f>IFERROR(SUMIFS('caseload data'!J:J,'caseload data'!$C:$C,'divisional &amp; regional caseload%'!$B$57,'caseload data'!$D:$D,"SPO")/SUMIF('caseload data'!$C:$C,'divisional &amp; regional caseload%'!$B$57,'caseload data'!J:J),"")</f>
        <v/>
      </c>
      <c r="I62" s="167" t="str">
        <f>IFERROR(SUMIFS('caseload data'!K:K,'caseload data'!$C:$C,'divisional &amp; regional caseload%'!$B$57,'caseload data'!$D:$D,"SPO")/SUMIF('caseload data'!$C:$C,'divisional &amp; regional caseload%'!$B$57,'caseload data'!K:K),"")</f>
        <v/>
      </c>
      <c r="J62" s="167" t="str">
        <f>IFERROR(SUMIFS('caseload data'!L:L,'caseload data'!$C:$C,'divisional &amp; regional caseload%'!$B$57,'caseload data'!$D:$D,"SPO")/SUMIF('caseload data'!$C:$C,'divisional &amp; regional caseload%'!$B$57,'caseload data'!L:L),"")</f>
        <v/>
      </c>
      <c r="K62" s="167" t="str">
        <f>IFERROR(SUMIFS('caseload data'!M:M,'caseload data'!$C:$C,'divisional &amp; regional caseload%'!$B$57,'caseload data'!$D:$D,"SPO")/SUMIF('caseload data'!$C:$C,'divisional &amp; regional caseload%'!$B$57,'caseload data'!M:M),"")</f>
        <v/>
      </c>
      <c r="L62" s="167" t="str">
        <f>IFERROR(SUMIFS('caseload data'!N:N,'caseload data'!$C:$C,'divisional &amp; regional caseload%'!$B$57,'caseload data'!$D:$D,"SPO")/SUMIF('caseload data'!$C:$C,'divisional &amp; regional caseload%'!$B$57,'caseload data'!N:N),"")</f>
        <v/>
      </c>
      <c r="M62" s="167" t="str">
        <f>IFERROR(SUMIFS('caseload data'!O:O,'caseload data'!$C:$C,'divisional &amp; regional caseload%'!$B$57,'caseload data'!$D:$D,"SPO")/SUMIF('caseload data'!$C:$C,'divisional &amp; regional caseload%'!$B$57,'caseload data'!O:O),"")</f>
        <v/>
      </c>
      <c r="N62" s="167" t="str">
        <f>IFERROR(SUMIFS('caseload data'!P:P,'caseload data'!$C:$C,'divisional &amp; regional caseload%'!$B$57,'caseload data'!$D:$D,"SPO")/SUMIF('caseload data'!$C:$C,'divisional &amp; regional caseload%'!$B$57,'caseload data'!P:P),"")</f>
        <v/>
      </c>
      <c r="O62" s="167" t="str">
        <f>IFERROR(SUMIFS('caseload data'!Q:Q,'caseload data'!$C:$C,'divisional &amp; regional caseload%'!$B$57,'caseload data'!$D:$D,"SPO")/SUMIF('caseload data'!$C:$C,'divisional &amp; regional caseload%'!$B$57,'caseload data'!Q:Q),"")</f>
        <v/>
      </c>
      <c r="P62" s="167" t="str">
        <f>IFERROR(SUMIFS('caseload data'!R:R,'caseload data'!$C:$C,'divisional &amp; regional caseload%'!$B$57,'caseload data'!$D:$D,"SPO")/SUMIF('caseload data'!$C:$C,'divisional &amp; regional caseload%'!$B$57,'caseload data'!R:R),"")</f>
        <v/>
      </c>
      <c r="Q62" s="167" t="str">
        <f>IFERROR(SUMIFS('caseload data'!S:S,'caseload data'!$C:$C,'divisional &amp; regional caseload%'!$B$57,'caseload data'!$D:$D,"SPO")/SUMIF('caseload data'!$C:$C,'divisional &amp; regional caseload%'!$B$57,'caseload data'!S:S),"")</f>
        <v/>
      </c>
      <c r="R62" s="167" t="str">
        <f>IFERROR(SUMIFS('caseload data'!T:T,'caseload data'!$C:$C,'divisional &amp; regional caseload%'!$B$57,'caseload data'!$D:$D,"SPO")/SUMIF('caseload data'!$C:$C,'divisional &amp; regional caseload%'!$B$57,'caseload data'!T:T),"")</f>
        <v/>
      </c>
      <c r="S62" s="64"/>
      <c r="T62" s="98" t="s">
        <v>1009</v>
      </c>
      <c r="U62" s="167" t="str">
        <f>IFERROR(SUMIFS('caseload data'!E:E,'caseload data'!$C:$C,'divisional &amp; regional caseload%'!$T$57,'caseload data'!$D:$D,"SPO")/SUMIF('caseload data'!$C:$C,'divisional &amp; regional caseload%'!$T$57,'caseload data'!E:E),"")</f>
        <v/>
      </c>
      <c r="V62" s="167" t="str">
        <f>IFERROR(SUMIFS('caseload data'!F:F,'caseload data'!$C:$C,'divisional &amp; regional caseload%'!$T$57,'caseload data'!$D:$D,"SPO")/SUMIF('caseload data'!$C:$C,'divisional &amp; regional caseload%'!$T$57,'caseload data'!F:F),"")</f>
        <v/>
      </c>
      <c r="W62" s="167" t="str">
        <f>IFERROR(SUMIFS('caseload data'!G:G,'caseload data'!$C:$C,'divisional &amp; regional caseload%'!$T$57,'caseload data'!$D:$D,"SPO")/SUMIF('caseload data'!$C:$C,'divisional &amp; regional caseload%'!$T$57,'caseload data'!G:G),"")</f>
        <v/>
      </c>
      <c r="X62" s="167" t="str">
        <f>IFERROR(SUMIFS('caseload data'!H:H,'caseload data'!$C:$C,'divisional &amp; regional caseload%'!$T$57,'caseload data'!$D:$D,"SPO")/SUMIF('caseload data'!$C:$C,'divisional &amp; regional caseload%'!$T$57,'caseload data'!H:H),"")</f>
        <v/>
      </c>
      <c r="Y62" s="167" t="str">
        <f>IFERROR(SUMIFS('caseload data'!I:I,'caseload data'!$C:$C,'divisional &amp; regional caseload%'!$T$57,'caseload data'!$D:$D,"SPO")/SUMIF('caseload data'!$C:$C,'divisional &amp; regional caseload%'!$T$57,'caseload data'!I:I),"")</f>
        <v/>
      </c>
      <c r="Z62" s="167" t="str">
        <f>IFERROR(SUMIFS('caseload data'!J:J,'caseload data'!$C:$C,'divisional &amp; regional caseload%'!$T$57,'caseload data'!$D:$D,"SPO")/SUMIF('caseload data'!$C:$C,'divisional &amp; regional caseload%'!$T$57,'caseload data'!J:J),"")</f>
        <v/>
      </c>
      <c r="AA62" s="167" t="str">
        <f>IFERROR(SUMIFS('caseload data'!K:K,'caseload data'!$C:$C,'divisional &amp; regional caseload%'!$T$57,'caseload data'!$D:$D,"SPO")/SUMIF('caseload data'!$C:$C,'divisional &amp; regional caseload%'!$T$57,'caseload data'!K:K),"")</f>
        <v/>
      </c>
      <c r="AB62" s="167" t="str">
        <f>IFERROR(SUMIFS('caseload data'!L:L,'caseload data'!$C:$C,'divisional &amp; regional caseload%'!$T$57,'caseload data'!$D:$D,"SPO")/SUMIF('caseload data'!$C:$C,'divisional &amp; regional caseload%'!$T$57,'caseload data'!L:L),"")</f>
        <v/>
      </c>
      <c r="AC62" s="167" t="str">
        <f>IFERROR(SUMIFS('caseload data'!M:M,'caseload data'!$C:$C,'divisional &amp; regional caseload%'!$T$57,'caseload data'!$D:$D,"SPO")/SUMIF('caseload data'!$C:$C,'divisional &amp; regional caseload%'!$T$57,'caseload data'!M:M),"")</f>
        <v/>
      </c>
      <c r="AD62" s="167" t="str">
        <f>IFERROR(SUMIFS('caseload data'!N:N,'caseload data'!$C:$C,'divisional &amp; regional caseload%'!$T$57,'caseload data'!$D:$D,"SPO")/SUMIF('caseload data'!$C:$C,'divisional &amp; regional caseload%'!$T$57,'caseload data'!N:N),"")</f>
        <v/>
      </c>
      <c r="AE62" s="167" t="str">
        <f>IFERROR(SUMIFS('caseload data'!O:O,'caseload data'!$C:$C,'divisional &amp; regional caseload%'!$T$57,'caseload data'!$D:$D,"SPO")/SUMIF('caseload data'!$C:$C,'divisional &amp; regional caseload%'!$T$57,'caseload data'!O:O),"")</f>
        <v/>
      </c>
      <c r="AF62" s="167" t="str">
        <f>IFERROR(SUMIFS('caseload data'!P:P,'caseload data'!$C:$C,'divisional &amp; regional caseload%'!$T$57,'caseload data'!$D:$D,"SPO")/SUMIF('caseload data'!$C:$C,'divisional &amp; regional caseload%'!$T$57,'caseload data'!P:P),"")</f>
        <v/>
      </c>
      <c r="AG62" s="167" t="str">
        <f>IFERROR(SUMIFS('caseload data'!Q:Q,'caseload data'!$C:$C,'divisional &amp; regional caseload%'!$T$57,'caseload data'!$D:$D,"SPO")/SUMIF('caseload data'!$C:$C,'divisional &amp; regional caseload%'!$T$57,'caseload data'!Q:Q),"")</f>
        <v/>
      </c>
      <c r="AH62" s="167" t="str">
        <f>IFERROR(SUMIFS('caseload data'!R:R,'caseload data'!$C:$C,'divisional &amp; regional caseload%'!$T$57,'caseload data'!$D:$D,"SPO")/SUMIF('caseload data'!$C:$C,'divisional &amp; regional caseload%'!$T$57,'caseload data'!R:R),"")</f>
        <v/>
      </c>
      <c r="AI62" s="167" t="str">
        <f>IFERROR(SUMIFS('caseload data'!S:S,'caseload data'!$C:$C,'divisional &amp; regional caseload%'!$T$57,'caseload data'!$D:$D,"SPO")/SUMIF('caseload data'!$C:$C,'divisional &amp; regional caseload%'!$T$57,'caseload data'!S:S),"")</f>
        <v/>
      </c>
      <c r="AJ62" s="167" t="str">
        <f>IFERROR(SUMIFS('caseload data'!T:T,'caseload data'!$C:$C,'divisional &amp; regional caseload%'!$T$57,'caseload data'!$D:$D,"SPO")/SUMIF('caseload data'!$C:$C,'divisional &amp; regional caseload%'!$T$57,'caseload data'!T:T),"")</f>
        <v/>
      </c>
    </row>
    <row r="64" spans="2:36" ht="29.5" customHeight="1" x14ac:dyDescent="0.15">
      <c r="B64" s="289">
        <f>HLOOKUP($B$5,Region_Table,18,0)</f>
        <v>0</v>
      </c>
      <c r="C64" s="523" t="s">
        <v>1101</v>
      </c>
      <c r="D64" s="524"/>
      <c r="E64" s="524"/>
      <c r="F64" s="524"/>
      <c r="G64" s="524"/>
      <c r="H64" s="524"/>
      <c r="I64" s="524"/>
      <c r="J64" s="524"/>
      <c r="K64" s="524"/>
      <c r="L64" s="524"/>
      <c r="M64" s="525"/>
      <c r="N64" s="525"/>
      <c r="O64" s="526"/>
      <c r="P64" s="510">
        <f>SUMIF('caseload data'!$C:$C,'divisional &amp; regional caseload%'!B64,'caseload data'!V:V)</f>
        <v>0</v>
      </c>
      <c r="Q64" s="527"/>
      <c r="R64" s="528"/>
      <c r="S64" s="64"/>
      <c r="T64" s="289">
        <f>HLOOKUP($B$5,Region_Table,19,0)</f>
        <v>0</v>
      </c>
      <c r="U64" s="523" t="s">
        <v>1101</v>
      </c>
      <c r="V64" s="524"/>
      <c r="W64" s="524"/>
      <c r="X64" s="524"/>
      <c r="Y64" s="524"/>
      <c r="Z64" s="524"/>
      <c r="AA64" s="524"/>
      <c r="AB64" s="524"/>
      <c r="AC64" s="524"/>
      <c r="AD64" s="524"/>
      <c r="AE64" s="525"/>
      <c r="AF64" s="525"/>
      <c r="AG64" s="526"/>
      <c r="AH64" s="510">
        <f>SUMIF('caseload data'!$C:$C,'divisional &amp; regional caseload%'!T64,'caseload data'!V:V)</f>
        <v>0</v>
      </c>
      <c r="AI64" s="527"/>
      <c r="AJ64" s="528"/>
    </row>
    <row r="65" spans="2:36" x14ac:dyDescent="0.15">
      <c r="B65" s="95" t="s">
        <v>1006</v>
      </c>
      <c r="C65" s="38" t="s">
        <v>869</v>
      </c>
      <c r="D65" s="38" t="s">
        <v>870</v>
      </c>
      <c r="E65" s="38" t="s">
        <v>871</v>
      </c>
      <c r="F65" s="38" t="s">
        <v>872</v>
      </c>
      <c r="G65" s="38" t="s">
        <v>873</v>
      </c>
      <c r="H65" s="38" t="s">
        <v>874</v>
      </c>
      <c r="I65" s="38" t="s">
        <v>875</v>
      </c>
      <c r="J65" s="38" t="s">
        <v>876</v>
      </c>
      <c r="K65" s="38" t="s">
        <v>877</v>
      </c>
      <c r="L65" s="38" t="s">
        <v>878</v>
      </c>
      <c r="M65" s="38" t="s">
        <v>879</v>
      </c>
      <c r="N65" s="38" t="s">
        <v>880</v>
      </c>
      <c r="O65" s="38" t="s">
        <v>881</v>
      </c>
      <c r="P65" s="38" t="s">
        <v>882</v>
      </c>
      <c r="Q65" s="38" t="s">
        <v>883</v>
      </c>
      <c r="R65" s="38" t="s">
        <v>884</v>
      </c>
      <c r="S65" s="64"/>
      <c r="T65" s="95" t="s">
        <v>1006</v>
      </c>
      <c r="U65" s="38" t="s">
        <v>869</v>
      </c>
      <c r="V65" s="38" t="s">
        <v>870</v>
      </c>
      <c r="W65" s="38" t="s">
        <v>871</v>
      </c>
      <c r="X65" s="38" t="s">
        <v>872</v>
      </c>
      <c r="Y65" s="38" t="s">
        <v>873</v>
      </c>
      <c r="Z65" s="38" t="s">
        <v>874</v>
      </c>
      <c r="AA65" s="38" t="s">
        <v>875</v>
      </c>
      <c r="AB65" s="38" t="s">
        <v>876</v>
      </c>
      <c r="AC65" s="38" t="s">
        <v>877</v>
      </c>
      <c r="AD65" s="38" t="s">
        <v>878</v>
      </c>
      <c r="AE65" s="38" t="s">
        <v>879</v>
      </c>
      <c r="AF65" s="38" t="s">
        <v>880</v>
      </c>
      <c r="AG65" s="38" t="s">
        <v>881</v>
      </c>
      <c r="AH65" s="38" t="s">
        <v>882</v>
      </c>
      <c r="AI65" s="38" t="s">
        <v>883</v>
      </c>
      <c r="AJ65" s="38" t="s">
        <v>884</v>
      </c>
    </row>
    <row r="66" spans="2:36" x14ac:dyDescent="0.15">
      <c r="B66" s="96" t="s">
        <v>1002</v>
      </c>
      <c r="C66" s="167" t="str">
        <f>IFERROR(SUMIFS('caseload data'!E:E,'caseload data'!$C:$C,'divisional &amp; regional caseload%'!$B$64,'caseload data'!$D:$D,"PO")/SUMIF('caseload data'!$C:$C,'divisional &amp; regional caseload%'!$B$64,'caseload data'!E:E),"")</f>
        <v/>
      </c>
      <c r="D66" s="167" t="str">
        <f>IFERROR(SUMIFS('caseload data'!F:F,'caseload data'!$C:$C,'divisional &amp; regional caseload%'!$B$64,'caseload data'!$D:$D,"PO")/SUMIF('caseload data'!$C:$C,'divisional &amp; regional caseload%'!$B$64,'caseload data'!F:F),"")</f>
        <v/>
      </c>
      <c r="E66" s="167" t="str">
        <f>IFERROR(SUMIFS('caseload data'!G:G,'caseload data'!$C:$C,'divisional &amp; regional caseload%'!$B$64,'caseload data'!$D:$D,"PO")/SUMIF('caseload data'!$C:$C,'divisional &amp; regional caseload%'!$B$64,'caseload data'!G:G),"")</f>
        <v/>
      </c>
      <c r="F66" s="167" t="str">
        <f>IFERROR(SUMIFS('caseload data'!H:H,'caseload data'!$C:$C,'divisional &amp; regional caseload%'!$B$64,'caseload data'!$D:$D,"PO")/SUMIF('caseload data'!$C:$C,'divisional &amp; regional caseload%'!$B$64,'caseload data'!H:H),"")</f>
        <v/>
      </c>
      <c r="G66" s="167" t="str">
        <f>IFERROR(SUMIFS('caseload data'!I:I,'caseload data'!$C:$C,'divisional &amp; regional caseload%'!$B$64,'caseload data'!$D:$D,"PO")/SUMIF('caseload data'!$C:$C,'divisional &amp; regional caseload%'!$B$64,'caseload data'!I:I),"")</f>
        <v/>
      </c>
      <c r="H66" s="167" t="str">
        <f>IFERROR(SUMIFS('caseload data'!J:J,'caseload data'!$C:$C,'divisional &amp; regional caseload%'!$B$64,'caseload data'!$D:$D,"PO")/SUMIF('caseload data'!$C:$C,'divisional &amp; regional caseload%'!$B$64,'caseload data'!J:J),"")</f>
        <v/>
      </c>
      <c r="I66" s="167" t="str">
        <f>IFERROR(SUMIFS('caseload data'!K:K,'caseload data'!$C:$C,'divisional &amp; regional caseload%'!$B$64,'caseload data'!$D:$D,"PO")/SUMIF('caseload data'!$C:$C,'divisional &amp; regional caseload%'!$B$64,'caseload data'!K:K),"")</f>
        <v/>
      </c>
      <c r="J66" s="167" t="str">
        <f>IFERROR(SUMIFS('caseload data'!L:L,'caseload data'!$C:$C,'divisional &amp; regional caseload%'!$B$64,'caseload data'!$D:$D,"PO")/SUMIF('caseload data'!$C:$C,'divisional &amp; regional caseload%'!$B$64,'caseload data'!L:L),"")</f>
        <v/>
      </c>
      <c r="K66" s="167" t="str">
        <f>IFERROR(SUMIFS('caseload data'!M:M,'caseload data'!$C:$C,'divisional &amp; regional caseload%'!$B$64,'caseload data'!$D:$D,"PO")/SUMIF('caseload data'!$C:$C,'divisional &amp; regional caseload%'!$B$64,'caseload data'!M:M),"")</f>
        <v/>
      </c>
      <c r="L66" s="167" t="str">
        <f>IFERROR(SUMIFS('caseload data'!N:N,'caseload data'!$C:$C,'divisional &amp; regional caseload%'!$B$64,'caseload data'!$D:$D,"PO")/SUMIF('caseload data'!$C:$C,'divisional &amp; regional caseload%'!$B$64,'caseload data'!N:N),"")</f>
        <v/>
      </c>
      <c r="M66" s="167" t="str">
        <f>IFERROR(SUMIFS('caseload data'!O:O,'caseload data'!$C:$C,'divisional &amp; regional caseload%'!$B$64,'caseload data'!$D:$D,"PO")/SUMIF('caseload data'!$C:$C,'divisional &amp; regional caseload%'!$B$64,'caseload data'!O:O),"")</f>
        <v/>
      </c>
      <c r="N66" s="167" t="str">
        <f>IFERROR(SUMIFS('caseload data'!P:P,'caseload data'!$C:$C,'divisional &amp; regional caseload%'!$B$64,'caseload data'!$D:$D,"PO")/SUMIF('caseload data'!$C:$C,'divisional &amp; regional caseload%'!$B$64,'caseload data'!P:P),"")</f>
        <v/>
      </c>
      <c r="O66" s="167" t="str">
        <f>IFERROR(SUMIFS('caseload data'!Q:Q,'caseload data'!$C:$C,'divisional &amp; regional caseload%'!$B$64,'caseload data'!$D:$D,"PO")/SUMIF('caseload data'!$C:$C,'divisional &amp; regional caseload%'!$B$64,'caseload data'!Q:Q),"")</f>
        <v/>
      </c>
      <c r="P66" s="167" t="str">
        <f>IFERROR(SUMIFS('caseload data'!R:R,'caseload data'!$C:$C,'divisional &amp; regional caseload%'!$B$64,'caseload data'!$D:$D,"PO")/SUMIF('caseload data'!$C:$C,'divisional &amp; regional caseload%'!$B$64,'caseload data'!R:R),"")</f>
        <v/>
      </c>
      <c r="Q66" s="167" t="str">
        <f>IFERROR(SUMIFS('caseload data'!S:S,'caseload data'!$C:$C,'divisional &amp; regional caseload%'!$B$64,'caseload data'!$D:$D,"PO")/SUMIF('caseload data'!$C:$C,'divisional &amp; regional caseload%'!$B$64,'caseload data'!S:S),"")</f>
        <v/>
      </c>
      <c r="R66" s="167" t="str">
        <f>IFERROR(SUMIFS('caseload data'!T:T,'caseload data'!$C:$C,'divisional &amp; regional caseload%'!$B$64,'caseload data'!$D:$D,"PO")/SUMIF('caseload data'!$C:$C,'divisional &amp; regional caseload%'!$B$64,'caseload data'!T:T),"")</f>
        <v/>
      </c>
      <c r="S66" s="64"/>
      <c r="T66" s="96" t="s">
        <v>1002</v>
      </c>
      <c r="U66" s="167" t="str">
        <f>IFERROR(SUMIFS('caseload data'!E:E,'caseload data'!$C:$C,'divisional &amp; regional caseload%'!$T$64,'caseload data'!$D:$D,"PO")/SUMIF('caseload data'!$C:$C,'divisional &amp; regional caseload%'!$T$64,'caseload data'!E:E),"")</f>
        <v/>
      </c>
      <c r="V66" s="167" t="str">
        <f>IFERROR(SUMIFS('caseload data'!F:F,'caseload data'!$C:$C,'divisional &amp; regional caseload%'!$T$64,'caseload data'!$D:$D,"PO")/SUMIF('caseload data'!$C:$C,'divisional &amp; regional caseload%'!$T$64,'caseload data'!F:F),"")</f>
        <v/>
      </c>
      <c r="W66" s="167" t="str">
        <f>IFERROR(SUMIFS('caseload data'!G:G,'caseload data'!$C:$C,'divisional &amp; regional caseload%'!$T$64,'caseload data'!$D:$D,"PO")/SUMIF('caseload data'!$C:$C,'divisional &amp; regional caseload%'!$T$64,'caseload data'!G:G),"")</f>
        <v/>
      </c>
      <c r="X66" s="167" t="str">
        <f>IFERROR(SUMIFS('caseload data'!H:H,'caseload data'!$C:$C,'divisional &amp; regional caseload%'!$T$64,'caseload data'!$D:$D,"PO")/SUMIF('caseload data'!$C:$C,'divisional &amp; regional caseload%'!$T$64,'caseload data'!H:H),"")</f>
        <v/>
      </c>
      <c r="Y66" s="167" t="str">
        <f>IFERROR(SUMIFS('caseload data'!I:I,'caseload data'!$C:$C,'divisional &amp; regional caseload%'!$T$64,'caseload data'!$D:$D,"PO")/SUMIF('caseload data'!$C:$C,'divisional &amp; regional caseload%'!$T$64,'caseload data'!I:I),"")</f>
        <v/>
      </c>
      <c r="Z66" s="167" t="str">
        <f>IFERROR(SUMIFS('caseload data'!J:J,'caseload data'!$C:$C,'divisional &amp; regional caseload%'!$T$64,'caseload data'!$D:$D,"PO")/SUMIF('caseload data'!$C:$C,'divisional &amp; regional caseload%'!$T$64,'caseload data'!J:J),"")</f>
        <v/>
      </c>
      <c r="AA66" s="167" t="str">
        <f>IFERROR(SUMIFS('caseload data'!K:K,'caseload data'!$C:$C,'divisional &amp; regional caseload%'!$T$64,'caseload data'!$D:$D,"PO")/SUMIF('caseload data'!$C:$C,'divisional &amp; regional caseload%'!$T$64,'caseload data'!K:K),"")</f>
        <v/>
      </c>
      <c r="AB66" s="167" t="str">
        <f>IFERROR(SUMIFS('caseload data'!L:L,'caseload data'!$C:$C,'divisional &amp; regional caseload%'!$T$64,'caseload data'!$D:$D,"PO")/SUMIF('caseload data'!$C:$C,'divisional &amp; regional caseload%'!$T$64,'caseload data'!L:L),"")</f>
        <v/>
      </c>
      <c r="AC66" s="167" t="str">
        <f>IFERROR(SUMIFS('caseload data'!M:M,'caseload data'!$C:$C,'divisional &amp; regional caseload%'!$T$64,'caseload data'!$D:$D,"PO")/SUMIF('caseload data'!$C:$C,'divisional &amp; regional caseload%'!$T$64,'caseload data'!M:M),"")</f>
        <v/>
      </c>
      <c r="AD66" s="167" t="str">
        <f>IFERROR(SUMIFS('caseload data'!N:N,'caseload data'!$C:$C,'divisional &amp; regional caseload%'!$T$64,'caseload data'!$D:$D,"PO")/SUMIF('caseload data'!$C:$C,'divisional &amp; regional caseload%'!$T$64,'caseload data'!N:N),"")</f>
        <v/>
      </c>
      <c r="AE66" s="167" t="str">
        <f>IFERROR(SUMIFS('caseload data'!O:O,'caseload data'!$C:$C,'divisional &amp; regional caseload%'!$T$64,'caseload data'!$D:$D,"PO")/SUMIF('caseload data'!$C:$C,'divisional &amp; regional caseload%'!$T$64,'caseload data'!O:O),"")</f>
        <v/>
      </c>
      <c r="AF66" s="167" t="str">
        <f>IFERROR(SUMIFS('caseload data'!P:P,'caseload data'!$C:$C,'divisional &amp; regional caseload%'!$T$64,'caseload data'!$D:$D,"PO")/SUMIF('caseload data'!$C:$C,'divisional &amp; regional caseload%'!$T$64,'caseload data'!P:P),"")</f>
        <v/>
      </c>
      <c r="AG66" s="167" t="str">
        <f>IFERROR(SUMIFS('caseload data'!Q:Q,'caseload data'!$C:$C,'divisional &amp; regional caseload%'!$T$64,'caseload data'!$D:$D,"PO")/SUMIF('caseload data'!$C:$C,'divisional &amp; regional caseload%'!$T$64,'caseload data'!Q:Q),"")</f>
        <v/>
      </c>
      <c r="AH66" s="167" t="str">
        <f>IFERROR(SUMIFS('caseload data'!R:R,'caseload data'!$C:$C,'divisional &amp; regional caseload%'!$T$64,'caseload data'!$D:$D,"PO")/SUMIF('caseload data'!$C:$C,'divisional &amp; regional caseload%'!$T$64,'caseload data'!R:R),"")</f>
        <v/>
      </c>
      <c r="AI66" s="167" t="str">
        <f>IFERROR(SUMIFS('caseload data'!S:S,'caseload data'!$C:$C,'divisional &amp; regional caseload%'!$T$64,'caseload data'!$D:$D,"PO")/SUMIF('caseload data'!$C:$C,'divisional &amp; regional caseload%'!$T$64,'caseload data'!S:S),"")</f>
        <v/>
      </c>
      <c r="AJ66" s="167" t="str">
        <f>IFERROR(SUMIFS('caseload data'!T:T,'caseload data'!$C:$C,'divisional &amp; regional caseload%'!$T$64,'caseload data'!$D:$D,"PO")/SUMIF('caseload data'!$C:$C,'divisional &amp; regional caseload%'!$T$64,'caseload data'!T:T),"")</f>
        <v/>
      </c>
    </row>
    <row r="67" spans="2:36" x14ac:dyDescent="0.15">
      <c r="B67" s="97" t="s">
        <v>1007</v>
      </c>
      <c r="C67" s="167" t="str">
        <f>IFERROR(SUMIFS('caseload data'!E:E,'caseload data'!$C:$C,'divisional &amp; regional caseload%'!$B$64,'caseload data'!$D:$D,"PSO")/SUMIF('caseload data'!$C:$C,'divisional &amp; regional caseload%'!$B$64,'caseload data'!E:E),"")</f>
        <v/>
      </c>
      <c r="D67" s="167" t="str">
        <f>IFERROR(SUMIFS('caseload data'!F:F,'caseload data'!$C:$C,'divisional &amp; regional caseload%'!$B$64,'caseload data'!$D:$D,"PSO")/SUMIF('caseload data'!$C:$C,'divisional &amp; regional caseload%'!$B$64,'caseload data'!F:F),"")</f>
        <v/>
      </c>
      <c r="E67" s="167" t="str">
        <f>IFERROR(SUMIFS('caseload data'!G:G,'caseload data'!$C:$C,'divisional &amp; regional caseload%'!$B$64,'caseload data'!$D:$D,"PSO")/SUMIF('caseload data'!$C:$C,'divisional &amp; regional caseload%'!$B$64,'caseload data'!G:G),"")</f>
        <v/>
      </c>
      <c r="F67" s="167" t="str">
        <f>IFERROR(SUMIFS('caseload data'!H:H,'caseload data'!$C:$C,'divisional &amp; regional caseload%'!$B$64,'caseload data'!$D:$D,"PSO")/SUMIF('caseload data'!$C:$C,'divisional &amp; regional caseload%'!$B$64,'caseload data'!H:H),"")</f>
        <v/>
      </c>
      <c r="G67" s="167" t="str">
        <f>IFERROR(SUMIFS('caseload data'!I:I,'caseload data'!$C:$C,'divisional &amp; regional caseload%'!$B$64,'caseload data'!$D:$D,"PSO")/SUMIF('caseload data'!$C:$C,'divisional &amp; regional caseload%'!$B$64,'caseload data'!I:I),"")</f>
        <v/>
      </c>
      <c r="H67" s="167" t="str">
        <f>IFERROR(SUMIFS('caseload data'!J:J,'caseload data'!$C:$C,'divisional &amp; regional caseload%'!$B$64,'caseload data'!$D:$D,"PSO")/SUMIF('caseload data'!$C:$C,'divisional &amp; regional caseload%'!$B$64,'caseload data'!J:J),"")</f>
        <v/>
      </c>
      <c r="I67" s="167" t="str">
        <f>IFERROR(SUMIFS('caseload data'!K:K,'caseload data'!$C:$C,'divisional &amp; regional caseload%'!$B$64,'caseload data'!$D:$D,"PSO")/SUMIF('caseload data'!$C:$C,'divisional &amp; regional caseload%'!$B$64,'caseload data'!K:K),"")</f>
        <v/>
      </c>
      <c r="J67" s="167" t="str">
        <f>IFERROR(SUMIFS('caseload data'!L:L,'caseload data'!$C:$C,'divisional &amp; regional caseload%'!$B$64,'caseload data'!$D:$D,"PSO")/SUMIF('caseload data'!$C:$C,'divisional &amp; regional caseload%'!$B$64,'caseload data'!L:L),"")</f>
        <v/>
      </c>
      <c r="K67" s="167" t="str">
        <f>IFERROR(SUMIFS('caseload data'!M:M,'caseload data'!$C:$C,'divisional &amp; regional caseload%'!$B$64,'caseload data'!$D:$D,"PSO")/SUMIF('caseload data'!$C:$C,'divisional &amp; regional caseload%'!$B$64,'caseload data'!M:M),"")</f>
        <v/>
      </c>
      <c r="L67" s="167" t="str">
        <f>IFERROR(SUMIFS('caseload data'!N:N,'caseload data'!$C:$C,'divisional &amp; regional caseload%'!$B$64,'caseload data'!$D:$D,"PSO")/SUMIF('caseload data'!$C:$C,'divisional &amp; regional caseload%'!$B$64,'caseload data'!N:N),"")</f>
        <v/>
      </c>
      <c r="M67" s="167" t="str">
        <f>IFERROR(SUMIFS('caseload data'!O:O,'caseload data'!$C:$C,'divisional &amp; regional caseload%'!$B$64,'caseload data'!$D:$D,"PSO")/SUMIF('caseload data'!$C:$C,'divisional &amp; regional caseload%'!$B$64,'caseload data'!O:O),"")</f>
        <v/>
      </c>
      <c r="N67" s="167" t="str">
        <f>IFERROR(SUMIFS('caseload data'!P:P,'caseload data'!$C:$C,'divisional &amp; regional caseload%'!$B$64,'caseload data'!$D:$D,"PSO")/SUMIF('caseload data'!$C:$C,'divisional &amp; regional caseload%'!$B$64,'caseload data'!P:P),"")</f>
        <v/>
      </c>
      <c r="O67" s="167" t="str">
        <f>IFERROR(SUMIFS('caseload data'!Q:Q,'caseload data'!$C:$C,'divisional &amp; regional caseload%'!$B$64,'caseload data'!$D:$D,"PSO")/SUMIF('caseload data'!$C:$C,'divisional &amp; regional caseload%'!$B$64,'caseload data'!Q:Q),"")</f>
        <v/>
      </c>
      <c r="P67" s="167" t="str">
        <f>IFERROR(SUMIFS('caseload data'!R:R,'caseload data'!$C:$C,'divisional &amp; regional caseload%'!$B$64,'caseload data'!$D:$D,"PSO")/SUMIF('caseload data'!$C:$C,'divisional &amp; regional caseload%'!$B$64,'caseload data'!R:R),"")</f>
        <v/>
      </c>
      <c r="Q67" s="167" t="str">
        <f>IFERROR(SUMIFS('caseload data'!S:S,'caseload data'!$C:$C,'divisional &amp; regional caseload%'!$B$64,'caseload data'!$D:$D,"PSO")/SUMIF('caseload data'!$C:$C,'divisional &amp; regional caseload%'!$B$64,'caseload data'!S:S),"")</f>
        <v/>
      </c>
      <c r="R67" s="167" t="str">
        <f>IFERROR(SUMIFS('caseload data'!T:T,'caseload data'!$C:$C,'divisional &amp; regional caseload%'!$B$64,'caseload data'!$D:$D,"PSO")/SUMIF('caseload data'!$C:$C,'divisional &amp; regional caseload%'!$B$64,'caseload data'!T:T),"")</f>
        <v/>
      </c>
      <c r="S67" s="64"/>
      <c r="T67" s="97" t="s">
        <v>1007</v>
      </c>
      <c r="U67" s="167" t="str">
        <f>IFERROR(SUMIFS('caseload data'!E:E,'caseload data'!$C:$C,'divisional &amp; regional caseload%'!$T$64,'caseload data'!$D:$D,"PSO")/SUMIF('caseload data'!$C:$C,'divisional &amp; regional caseload%'!$T$64,'caseload data'!E:E),"")</f>
        <v/>
      </c>
      <c r="V67" s="167" t="str">
        <f>IFERROR(SUMIFS('caseload data'!F:F,'caseload data'!$C:$C,'divisional &amp; regional caseload%'!$T$64,'caseload data'!$D:$D,"PSO")/SUMIF('caseload data'!$C:$C,'divisional &amp; regional caseload%'!$T$64,'caseload data'!F:F),"")</f>
        <v/>
      </c>
      <c r="W67" s="167" t="str">
        <f>IFERROR(SUMIFS('caseload data'!G:G,'caseload data'!$C:$C,'divisional &amp; regional caseload%'!$T$64,'caseload data'!$D:$D,"PSO")/SUMIF('caseload data'!$C:$C,'divisional &amp; regional caseload%'!$T$64,'caseload data'!G:G),"")</f>
        <v/>
      </c>
      <c r="X67" s="167" t="str">
        <f>IFERROR(SUMIFS('caseload data'!H:H,'caseload data'!$C:$C,'divisional &amp; regional caseload%'!$T$64,'caseload data'!$D:$D,"PSO")/SUMIF('caseload data'!$C:$C,'divisional &amp; regional caseload%'!$T$64,'caseload data'!H:H),"")</f>
        <v/>
      </c>
      <c r="Y67" s="167" t="str">
        <f>IFERROR(SUMIFS('caseload data'!I:I,'caseload data'!$C:$C,'divisional &amp; regional caseload%'!$T$64,'caseload data'!$D:$D,"PSO")/SUMIF('caseload data'!$C:$C,'divisional &amp; regional caseload%'!$T$64,'caseload data'!I:I),"")</f>
        <v/>
      </c>
      <c r="Z67" s="167" t="str">
        <f>IFERROR(SUMIFS('caseload data'!J:J,'caseload data'!$C:$C,'divisional &amp; regional caseload%'!$T$64,'caseload data'!$D:$D,"PSO")/SUMIF('caseload data'!$C:$C,'divisional &amp; regional caseload%'!$T$64,'caseload data'!J:J),"")</f>
        <v/>
      </c>
      <c r="AA67" s="167" t="str">
        <f>IFERROR(SUMIFS('caseload data'!K:K,'caseload data'!$C:$C,'divisional &amp; regional caseload%'!$T$64,'caseload data'!$D:$D,"PSO")/SUMIF('caseload data'!$C:$C,'divisional &amp; regional caseload%'!$T$64,'caseload data'!K:K),"")</f>
        <v/>
      </c>
      <c r="AB67" s="167" t="str">
        <f>IFERROR(SUMIFS('caseload data'!L:L,'caseload data'!$C:$C,'divisional &amp; regional caseload%'!$T$64,'caseload data'!$D:$D,"PSO")/SUMIF('caseload data'!$C:$C,'divisional &amp; regional caseload%'!$T$64,'caseload data'!L:L),"")</f>
        <v/>
      </c>
      <c r="AC67" s="167" t="str">
        <f>IFERROR(SUMIFS('caseload data'!M:M,'caseload data'!$C:$C,'divisional &amp; regional caseload%'!$T$64,'caseload data'!$D:$D,"PSO")/SUMIF('caseload data'!$C:$C,'divisional &amp; regional caseload%'!$T$64,'caseload data'!M:M),"")</f>
        <v/>
      </c>
      <c r="AD67" s="167" t="str">
        <f>IFERROR(SUMIFS('caseload data'!N:N,'caseload data'!$C:$C,'divisional &amp; regional caseload%'!$T$64,'caseload data'!$D:$D,"PSO")/SUMIF('caseload data'!$C:$C,'divisional &amp; regional caseload%'!$T$64,'caseload data'!N:N),"")</f>
        <v/>
      </c>
      <c r="AE67" s="167" t="str">
        <f>IFERROR(SUMIFS('caseload data'!O:O,'caseload data'!$C:$C,'divisional &amp; regional caseload%'!$T$64,'caseload data'!$D:$D,"PSO")/SUMIF('caseload data'!$C:$C,'divisional &amp; regional caseload%'!$T$64,'caseload data'!O:O),"")</f>
        <v/>
      </c>
      <c r="AF67" s="167" t="str">
        <f>IFERROR(SUMIFS('caseload data'!P:P,'caseload data'!$C:$C,'divisional &amp; regional caseload%'!$T$64,'caseload data'!$D:$D,"PSO")/SUMIF('caseload data'!$C:$C,'divisional &amp; regional caseload%'!$T$64,'caseload data'!P:P),"")</f>
        <v/>
      </c>
      <c r="AG67" s="167" t="str">
        <f>IFERROR(SUMIFS('caseload data'!Q:Q,'caseload data'!$C:$C,'divisional &amp; regional caseload%'!$T$64,'caseload data'!$D:$D,"PSO")/SUMIF('caseload data'!$C:$C,'divisional &amp; regional caseload%'!$T$64,'caseload data'!Q:Q),"")</f>
        <v/>
      </c>
      <c r="AH67" s="167" t="str">
        <f>IFERROR(SUMIFS('caseload data'!R:R,'caseload data'!$C:$C,'divisional &amp; regional caseload%'!$T$64,'caseload data'!$D:$D,"PSO")/SUMIF('caseload data'!$C:$C,'divisional &amp; regional caseload%'!$T$64,'caseload data'!R:R),"")</f>
        <v/>
      </c>
      <c r="AI67" s="167" t="str">
        <f>IFERROR(SUMIFS('caseload data'!S:S,'caseload data'!$C:$C,'divisional &amp; regional caseload%'!$T$64,'caseload data'!$D:$D,"PSO")/SUMIF('caseload data'!$C:$C,'divisional &amp; regional caseload%'!$T$64,'caseload data'!S:S),"")</f>
        <v/>
      </c>
      <c r="AJ67" s="167" t="str">
        <f>IFERROR(SUMIFS('caseload data'!T:T,'caseload data'!$C:$C,'divisional &amp; regional caseload%'!$T$64,'caseload data'!$D:$D,"PSO")/SUMIF('caseload data'!$C:$C,'divisional &amp; regional caseload%'!$T$64,'caseload data'!T:T),"")</f>
        <v/>
      </c>
    </row>
    <row r="68" spans="2:36" x14ac:dyDescent="0.15">
      <c r="B68" s="97" t="s">
        <v>1008</v>
      </c>
      <c r="C68" s="167" t="str">
        <f>IFERROR(SUMIFS('caseload data'!E:E,'caseload data'!$C:$C,'divisional &amp; regional caseload%'!$B$64,'caseload data'!$D:$D,"TPO")/SUMIF('caseload data'!$C:$C,'divisional &amp; regional caseload%'!$B$64,'caseload data'!E:E),"")</f>
        <v/>
      </c>
      <c r="D68" s="167" t="str">
        <f>IFERROR(SUMIFS('caseload data'!F:F,'caseload data'!$C:$C,'divisional &amp; regional caseload%'!$B$64,'caseload data'!$D:$D,"TPO")/SUMIF('caseload data'!$C:$C,'divisional &amp; regional caseload%'!$B$64,'caseload data'!F:F),"")</f>
        <v/>
      </c>
      <c r="E68" s="167" t="str">
        <f>IFERROR(SUMIFS('caseload data'!G:G,'caseload data'!$C:$C,'divisional &amp; regional caseload%'!$B$64,'caseload data'!$D:$D,"TPO")/SUMIF('caseload data'!$C:$C,'divisional &amp; regional caseload%'!$B$64,'caseload data'!G:G),"")</f>
        <v/>
      </c>
      <c r="F68" s="167" t="str">
        <f>IFERROR(SUMIFS('caseload data'!H:H,'caseload data'!$C:$C,'divisional &amp; regional caseload%'!$B$64,'caseload data'!$D:$D,"TPO")/SUMIF('caseload data'!$C:$C,'divisional &amp; regional caseload%'!$B$64,'caseload data'!H:H),"")</f>
        <v/>
      </c>
      <c r="G68" s="167" t="str">
        <f>IFERROR(SUMIFS('caseload data'!I:I,'caseload data'!$C:$C,'divisional &amp; regional caseload%'!$B$64,'caseload data'!$D:$D,"TPO")/SUMIF('caseload data'!$C:$C,'divisional &amp; regional caseload%'!$B$64,'caseload data'!I:I),"")</f>
        <v/>
      </c>
      <c r="H68" s="167" t="str">
        <f>IFERROR(SUMIFS('caseload data'!J:J,'caseload data'!$C:$C,'divisional &amp; regional caseload%'!$B$64,'caseload data'!$D:$D,"TPO")/SUMIF('caseload data'!$C:$C,'divisional &amp; regional caseload%'!$B$64,'caseload data'!J:J),"")</f>
        <v/>
      </c>
      <c r="I68" s="167" t="str">
        <f>IFERROR(SUMIFS('caseload data'!K:K,'caseload data'!$C:$C,'divisional &amp; regional caseload%'!$B$64,'caseload data'!$D:$D,"TPO")/SUMIF('caseload data'!$C:$C,'divisional &amp; regional caseload%'!$B$64,'caseload data'!K:K),"")</f>
        <v/>
      </c>
      <c r="J68" s="167" t="str">
        <f>IFERROR(SUMIFS('caseload data'!L:L,'caseload data'!$C:$C,'divisional &amp; regional caseload%'!$B$64,'caseload data'!$D:$D,"TPO")/SUMIF('caseload data'!$C:$C,'divisional &amp; regional caseload%'!$B$64,'caseload data'!L:L),"")</f>
        <v/>
      </c>
      <c r="K68" s="167" t="str">
        <f>IFERROR(SUMIFS('caseload data'!M:M,'caseload data'!$C:$C,'divisional &amp; regional caseload%'!$B$64,'caseload data'!$D:$D,"TPO")/SUMIF('caseload data'!$C:$C,'divisional &amp; regional caseload%'!$B$64,'caseload data'!M:M),"")</f>
        <v/>
      </c>
      <c r="L68" s="167" t="str">
        <f>IFERROR(SUMIFS('caseload data'!N:N,'caseload data'!$C:$C,'divisional &amp; regional caseload%'!$B$64,'caseload data'!$D:$D,"TPO")/SUMIF('caseload data'!$C:$C,'divisional &amp; regional caseload%'!$B$64,'caseload data'!N:N),"")</f>
        <v/>
      </c>
      <c r="M68" s="167" t="str">
        <f>IFERROR(SUMIFS('caseload data'!O:O,'caseload data'!$C:$C,'divisional &amp; regional caseload%'!$B$64,'caseload data'!$D:$D,"TPO")/SUMIF('caseload data'!$C:$C,'divisional &amp; regional caseload%'!$B$64,'caseload data'!O:O),"")</f>
        <v/>
      </c>
      <c r="N68" s="167" t="str">
        <f>IFERROR(SUMIFS('caseload data'!P:P,'caseload data'!$C:$C,'divisional &amp; regional caseload%'!$B$64,'caseload data'!$D:$D,"TPO")/SUMIF('caseload data'!$C:$C,'divisional &amp; regional caseload%'!$B$64,'caseload data'!P:P),"")</f>
        <v/>
      </c>
      <c r="O68" s="167" t="str">
        <f>IFERROR(SUMIFS('caseload data'!Q:Q,'caseload data'!$C:$C,'divisional &amp; regional caseload%'!$B$64,'caseload data'!$D:$D,"TPO")/SUMIF('caseload data'!$C:$C,'divisional &amp; regional caseload%'!$B$64,'caseload data'!Q:Q),"")</f>
        <v/>
      </c>
      <c r="P68" s="167" t="str">
        <f>IFERROR(SUMIFS('caseload data'!R:R,'caseload data'!$C:$C,'divisional &amp; regional caseload%'!$B$64,'caseload data'!$D:$D,"TPO")/SUMIF('caseload data'!$C:$C,'divisional &amp; regional caseload%'!$B$64,'caseload data'!R:R),"")</f>
        <v/>
      </c>
      <c r="Q68" s="167" t="str">
        <f>IFERROR(SUMIFS('caseload data'!S:S,'caseload data'!$C:$C,'divisional &amp; regional caseload%'!$B$64,'caseload data'!$D:$D,"TPO")/SUMIF('caseload data'!$C:$C,'divisional &amp; regional caseload%'!$B$64,'caseload data'!S:S),"")</f>
        <v/>
      </c>
      <c r="R68" s="167" t="str">
        <f>IFERROR(SUMIFS('caseload data'!T:T,'caseload data'!$C:$C,'divisional &amp; regional caseload%'!$B$64,'caseload data'!$D:$D,"TPO")/SUMIF('caseload data'!$C:$C,'divisional &amp; regional caseload%'!$B$64,'caseload data'!T:T),"")</f>
        <v/>
      </c>
      <c r="S68" s="64"/>
      <c r="T68" s="97" t="s">
        <v>1008</v>
      </c>
      <c r="U68" s="167" t="str">
        <f>IFERROR(SUMIFS('caseload data'!E:E,'caseload data'!$C:$C,'divisional &amp; regional caseload%'!$T$64,'caseload data'!$D:$D,"TPO")/SUMIF('caseload data'!$C:$C,'divisional &amp; regional caseload%'!$T$64,'caseload data'!E:E),"")</f>
        <v/>
      </c>
      <c r="V68" s="167" t="str">
        <f>IFERROR(SUMIFS('caseload data'!F:F,'caseload data'!$C:$C,'divisional &amp; regional caseload%'!$T$64,'caseload data'!$D:$D,"TPO")/SUMIF('caseload data'!$C:$C,'divisional &amp; regional caseload%'!$T$64,'caseload data'!F:F),"")</f>
        <v/>
      </c>
      <c r="W68" s="167" t="str">
        <f>IFERROR(SUMIFS('caseload data'!G:G,'caseload data'!$C:$C,'divisional &amp; regional caseload%'!$T$64,'caseload data'!$D:$D,"TPO")/SUMIF('caseload data'!$C:$C,'divisional &amp; regional caseload%'!$T$64,'caseload data'!G:G),"")</f>
        <v/>
      </c>
      <c r="X68" s="167" t="str">
        <f>IFERROR(SUMIFS('caseload data'!H:H,'caseload data'!$C:$C,'divisional &amp; regional caseload%'!$T$64,'caseload data'!$D:$D,"TPO")/SUMIF('caseload data'!$C:$C,'divisional &amp; regional caseload%'!$T$64,'caseload data'!H:H),"")</f>
        <v/>
      </c>
      <c r="Y68" s="167" t="str">
        <f>IFERROR(SUMIFS('caseload data'!I:I,'caseload data'!$C:$C,'divisional &amp; regional caseload%'!$T$64,'caseload data'!$D:$D,"TPO")/SUMIF('caseload data'!$C:$C,'divisional &amp; regional caseload%'!$T$64,'caseload data'!I:I),"")</f>
        <v/>
      </c>
      <c r="Z68" s="167" t="str">
        <f>IFERROR(SUMIFS('caseload data'!J:J,'caseload data'!$C:$C,'divisional &amp; regional caseload%'!$T$64,'caseload data'!$D:$D,"TPO")/SUMIF('caseload data'!$C:$C,'divisional &amp; regional caseload%'!$T$64,'caseload data'!J:J),"")</f>
        <v/>
      </c>
      <c r="AA68" s="167" t="str">
        <f>IFERROR(SUMIFS('caseload data'!K:K,'caseload data'!$C:$C,'divisional &amp; regional caseload%'!$T$64,'caseload data'!$D:$D,"TPO")/SUMIF('caseload data'!$C:$C,'divisional &amp; regional caseload%'!$T$64,'caseload data'!K:K),"")</f>
        <v/>
      </c>
      <c r="AB68" s="167" t="str">
        <f>IFERROR(SUMIFS('caseload data'!L:L,'caseload data'!$C:$C,'divisional &amp; regional caseload%'!$T$64,'caseload data'!$D:$D,"TPO")/SUMIF('caseload data'!$C:$C,'divisional &amp; regional caseload%'!$T$64,'caseload data'!L:L),"")</f>
        <v/>
      </c>
      <c r="AC68" s="167" t="str">
        <f>IFERROR(SUMIFS('caseload data'!M:M,'caseload data'!$C:$C,'divisional &amp; regional caseload%'!$T$64,'caseload data'!$D:$D,"TPO")/SUMIF('caseload data'!$C:$C,'divisional &amp; regional caseload%'!$T$64,'caseload data'!M:M),"")</f>
        <v/>
      </c>
      <c r="AD68" s="167" t="str">
        <f>IFERROR(SUMIFS('caseload data'!N:N,'caseload data'!$C:$C,'divisional &amp; regional caseload%'!$T$64,'caseload data'!$D:$D,"TPO")/SUMIF('caseload data'!$C:$C,'divisional &amp; regional caseload%'!$T$64,'caseload data'!N:N),"")</f>
        <v/>
      </c>
      <c r="AE68" s="167" t="str">
        <f>IFERROR(SUMIFS('caseload data'!O:O,'caseload data'!$C:$C,'divisional &amp; regional caseload%'!$T$64,'caseload data'!$D:$D,"TPO")/SUMIF('caseload data'!$C:$C,'divisional &amp; regional caseload%'!$T$64,'caseload data'!O:O),"")</f>
        <v/>
      </c>
      <c r="AF68" s="167" t="str">
        <f>IFERROR(SUMIFS('caseload data'!P:P,'caseload data'!$C:$C,'divisional &amp; regional caseload%'!$T$64,'caseload data'!$D:$D,"TPO")/SUMIF('caseload data'!$C:$C,'divisional &amp; regional caseload%'!$T$64,'caseload data'!P:P),"")</f>
        <v/>
      </c>
      <c r="AG68" s="167" t="str">
        <f>IFERROR(SUMIFS('caseload data'!Q:Q,'caseload data'!$C:$C,'divisional &amp; regional caseload%'!$T$64,'caseload data'!$D:$D,"TPO")/SUMIF('caseload data'!$C:$C,'divisional &amp; regional caseload%'!$T$64,'caseload data'!Q:Q),"")</f>
        <v/>
      </c>
      <c r="AH68" s="167" t="str">
        <f>IFERROR(SUMIFS('caseload data'!R:R,'caseload data'!$C:$C,'divisional &amp; regional caseload%'!$T$64,'caseload data'!$D:$D,"TPO")/SUMIF('caseload data'!$C:$C,'divisional &amp; regional caseload%'!$T$64,'caseload data'!R:R),"")</f>
        <v/>
      </c>
      <c r="AI68" s="167" t="str">
        <f>IFERROR(SUMIFS('caseload data'!S:S,'caseload data'!$C:$C,'divisional &amp; regional caseload%'!$T$64,'caseload data'!$D:$D,"TPO")/SUMIF('caseload data'!$C:$C,'divisional &amp; regional caseload%'!$T$64,'caseload data'!S:S),"")</f>
        <v/>
      </c>
      <c r="AJ68" s="167" t="str">
        <f>IFERROR(SUMIFS('caseload data'!T:T,'caseload data'!$C:$C,'divisional &amp; regional caseload%'!$T$64,'caseload data'!$D:$D,"TPO")/SUMIF('caseload data'!$C:$C,'divisional &amp; regional caseload%'!$T$64,'caseload data'!T:T),"")</f>
        <v/>
      </c>
    </row>
    <row r="69" spans="2:36" x14ac:dyDescent="0.15">
      <c r="B69" s="98" t="s">
        <v>1009</v>
      </c>
      <c r="C69" s="167" t="str">
        <f>IFERROR(SUMIFS('caseload data'!E:E,'caseload data'!$C:$C,'divisional &amp; regional caseload%'!$B$64,'caseload data'!$D:$D,"SPO")/SUMIF('caseload data'!$C:$C,'divisional &amp; regional caseload%'!$B$64,'caseload data'!E:E),"")</f>
        <v/>
      </c>
      <c r="D69" s="167" t="str">
        <f>IFERROR(SUMIFS('caseload data'!F:F,'caseload data'!$C:$C,'divisional &amp; regional caseload%'!$B$64,'caseload data'!$D:$D,"SPO")/SUMIF('caseload data'!$C:$C,'divisional &amp; regional caseload%'!$B$64,'caseload data'!F:F),"")</f>
        <v/>
      </c>
      <c r="E69" s="167" t="str">
        <f>IFERROR(SUMIFS('caseload data'!G:G,'caseload data'!$C:$C,'divisional &amp; regional caseload%'!$B$64,'caseload data'!$D:$D,"SPO")/SUMIF('caseload data'!$C:$C,'divisional &amp; regional caseload%'!$B$64,'caseload data'!G:G),"")</f>
        <v/>
      </c>
      <c r="F69" s="167" t="str">
        <f>IFERROR(SUMIFS('caseload data'!H:H,'caseload data'!$C:$C,'divisional &amp; regional caseload%'!$B$64,'caseload data'!$D:$D,"SPO")/SUMIF('caseload data'!$C:$C,'divisional &amp; regional caseload%'!$B$64,'caseload data'!H:H),"")</f>
        <v/>
      </c>
      <c r="G69" s="167" t="str">
        <f>IFERROR(SUMIFS('caseload data'!I:I,'caseload data'!$C:$C,'divisional &amp; regional caseload%'!$B$64,'caseload data'!$D:$D,"SPO")/SUMIF('caseload data'!$C:$C,'divisional &amp; regional caseload%'!$B$64,'caseload data'!I:I),"")</f>
        <v/>
      </c>
      <c r="H69" s="167" t="str">
        <f>IFERROR(SUMIFS('caseload data'!J:J,'caseload data'!$C:$C,'divisional &amp; regional caseload%'!$B$64,'caseload data'!$D:$D,"SPO")/SUMIF('caseload data'!$C:$C,'divisional &amp; regional caseload%'!$B$64,'caseload data'!J:J),"")</f>
        <v/>
      </c>
      <c r="I69" s="167" t="str">
        <f>IFERROR(SUMIFS('caseload data'!K:K,'caseload data'!$C:$C,'divisional &amp; regional caseload%'!$B$64,'caseload data'!$D:$D,"SPO")/SUMIF('caseload data'!$C:$C,'divisional &amp; regional caseload%'!$B$64,'caseload data'!K:K),"")</f>
        <v/>
      </c>
      <c r="J69" s="167" t="str">
        <f>IFERROR(SUMIFS('caseload data'!L:L,'caseload data'!$C:$C,'divisional &amp; regional caseload%'!$B$64,'caseload data'!$D:$D,"SPO")/SUMIF('caseload data'!$C:$C,'divisional &amp; regional caseload%'!$B$64,'caseload data'!L:L),"")</f>
        <v/>
      </c>
      <c r="K69" s="167" t="str">
        <f>IFERROR(SUMIFS('caseload data'!M:M,'caseload data'!$C:$C,'divisional &amp; regional caseload%'!$B$64,'caseload data'!$D:$D,"SPO")/SUMIF('caseload data'!$C:$C,'divisional &amp; regional caseload%'!$B$64,'caseload data'!M:M),"")</f>
        <v/>
      </c>
      <c r="L69" s="167" t="str">
        <f>IFERROR(SUMIFS('caseload data'!N:N,'caseload data'!$C:$C,'divisional &amp; regional caseload%'!$B$64,'caseload data'!$D:$D,"SPO")/SUMIF('caseload data'!$C:$C,'divisional &amp; regional caseload%'!$B$64,'caseload data'!N:N),"")</f>
        <v/>
      </c>
      <c r="M69" s="167" t="str">
        <f>IFERROR(SUMIFS('caseload data'!O:O,'caseload data'!$C:$C,'divisional &amp; regional caseload%'!$B$64,'caseload data'!$D:$D,"SPO")/SUMIF('caseload data'!$C:$C,'divisional &amp; regional caseload%'!$B$64,'caseload data'!O:O),"")</f>
        <v/>
      </c>
      <c r="N69" s="167" t="str">
        <f>IFERROR(SUMIFS('caseload data'!P:P,'caseload data'!$C:$C,'divisional &amp; regional caseload%'!$B$64,'caseload data'!$D:$D,"SPO")/SUMIF('caseload data'!$C:$C,'divisional &amp; regional caseload%'!$B$64,'caseload data'!P:P),"")</f>
        <v/>
      </c>
      <c r="O69" s="167" t="str">
        <f>IFERROR(SUMIFS('caseload data'!Q:Q,'caseload data'!$C:$C,'divisional &amp; regional caseload%'!$B$64,'caseload data'!$D:$D,"SPO")/SUMIF('caseload data'!$C:$C,'divisional &amp; regional caseload%'!$B$64,'caseload data'!Q:Q),"")</f>
        <v/>
      </c>
      <c r="P69" s="167" t="str">
        <f>IFERROR(SUMIFS('caseload data'!R:R,'caseload data'!$C:$C,'divisional &amp; regional caseload%'!$B$64,'caseload data'!$D:$D,"SPO")/SUMIF('caseload data'!$C:$C,'divisional &amp; regional caseload%'!$B$64,'caseload data'!R:R),"")</f>
        <v/>
      </c>
      <c r="Q69" s="167" t="str">
        <f>IFERROR(SUMIFS('caseload data'!S:S,'caseload data'!$C:$C,'divisional &amp; regional caseload%'!$B$64,'caseload data'!$D:$D,"SPO")/SUMIF('caseload data'!$C:$C,'divisional &amp; regional caseload%'!$B$64,'caseload data'!S:S),"")</f>
        <v/>
      </c>
      <c r="R69" s="167" t="str">
        <f>IFERROR(SUMIFS('caseload data'!T:T,'caseload data'!$C:$C,'divisional &amp; regional caseload%'!$B$64,'caseload data'!$D:$D,"SPO")/SUMIF('caseload data'!$C:$C,'divisional &amp; regional caseload%'!$B$64,'caseload data'!T:T),"")</f>
        <v/>
      </c>
      <c r="S69" s="64"/>
      <c r="T69" s="98" t="s">
        <v>1009</v>
      </c>
      <c r="U69" s="167" t="str">
        <f>IFERROR(SUMIFS('caseload data'!E:E,'caseload data'!$C:$C,'divisional &amp; regional caseload%'!$T$64,'caseload data'!$D:$D,"SPO")/SUMIF('caseload data'!$C:$C,'divisional &amp; regional caseload%'!$T$64,'caseload data'!E:E),"")</f>
        <v/>
      </c>
      <c r="V69" s="167" t="str">
        <f>IFERROR(SUMIFS('caseload data'!F:F,'caseload data'!$C:$C,'divisional &amp; regional caseload%'!$T$64,'caseload data'!$D:$D,"SPO")/SUMIF('caseload data'!$C:$C,'divisional &amp; regional caseload%'!$T$64,'caseload data'!F:F),"")</f>
        <v/>
      </c>
      <c r="W69" s="167" t="str">
        <f>IFERROR(SUMIFS('caseload data'!G:G,'caseload data'!$C:$C,'divisional &amp; regional caseload%'!$T$64,'caseload data'!$D:$D,"SPO")/SUMIF('caseload data'!$C:$C,'divisional &amp; regional caseload%'!$T$64,'caseload data'!G:G),"")</f>
        <v/>
      </c>
      <c r="X69" s="167" t="str">
        <f>IFERROR(SUMIFS('caseload data'!H:H,'caseload data'!$C:$C,'divisional &amp; regional caseload%'!$T$64,'caseload data'!$D:$D,"SPO")/SUMIF('caseload data'!$C:$C,'divisional &amp; regional caseload%'!$T$64,'caseload data'!H:H),"")</f>
        <v/>
      </c>
      <c r="Y69" s="167" t="str">
        <f>IFERROR(SUMIFS('caseload data'!I:I,'caseload data'!$C:$C,'divisional &amp; regional caseload%'!$T$64,'caseload data'!$D:$D,"SPO")/SUMIF('caseload data'!$C:$C,'divisional &amp; regional caseload%'!$T$64,'caseload data'!I:I),"")</f>
        <v/>
      </c>
      <c r="Z69" s="167" t="str">
        <f>IFERROR(SUMIFS('caseload data'!J:J,'caseload data'!$C:$C,'divisional &amp; regional caseload%'!$T$64,'caseload data'!$D:$D,"SPO")/SUMIF('caseload data'!$C:$C,'divisional &amp; regional caseload%'!$T$64,'caseload data'!J:J),"")</f>
        <v/>
      </c>
      <c r="AA69" s="167" t="str">
        <f>IFERROR(SUMIFS('caseload data'!K:K,'caseload data'!$C:$C,'divisional &amp; regional caseload%'!$T$64,'caseload data'!$D:$D,"SPO")/SUMIF('caseload data'!$C:$C,'divisional &amp; regional caseload%'!$T$64,'caseload data'!K:K),"")</f>
        <v/>
      </c>
      <c r="AB69" s="167" t="str">
        <f>IFERROR(SUMIFS('caseload data'!L:L,'caseload data'!$C:$C,'divisional &amp; regional caseload%'!$T$64,'caseload data'!$D:$D,"SPO")/SUMIF('caseload data'!$C:$C,'divisional &amp; regional caseload%'!$T$64,'caseload data'!L:L),"")</f>
        <v/>
      </c>
      <c r="AC69" s="167" t="str">
        <f>IFERROR(SUMIFS('caseload data'!M:M,'caseload data'!$C:$C,'divisional &amp; regional caseload%'!$T$64,'caseload data'!$D:$D,"SPO")/SUMIF('caseload data'!$C:$C,'divisional &amp; regional caseload%'!$T$64,'caseload data'!M:M),"")</f>
        <v/>
      </c>
      <c r="AD69" s="167" t="str">
        <f>IFERROR(SUMIFS('caseload data'!N:N,'caseload data'!$C:$C,'divisional &amp; regional caseload%'!$T$64,'caseload data'!$D:$D,"SPO")/SUMIF('caseload data'!$C:$C,'divisional &amp; regional caseload%'!$T$64,'caseload data'!N:N),"")</f>
        <v/>
      </c>
      <c r="AE69" s="167" t="str">
        <f>IFERROR(SUMIFS('caseload data'!O:O,'caseload data'!$C:$C,'divisional &amp; regional caseload%'!$T$64,'caseload data'!$D:$D,"SPO")/SUMIF('caseload data'!$C:$C,'divisional &amp; regional caseload%'!$T$64,'caseload data'!O:O),"")</f>
        <v/>
      </c>
      <c r="AF69" s="167" t="str">
        <f>IFERROR(SUMIFS('caseload data'!P:P,'caseload data'!$C:$C,'divisional &amp; regional caseload%'!$T$64,'caseload data'!$D:$D,"SPO")/SUMIF('caseload data'!$C:$C,'divisional &amp; regional caseload%'!$T$64,'caseload data'!P:P),"")</f>
        <v/>
      </c>
      <c r="AG69" s="167" t="str">
        <f>IFERROR(SUMIFS('caseload data'!Q:Q,'caseload data'!$C:$C,'divisional &amp; regional caseload%'!$T$64,'caseload data'!$D:$D,"SPO")/SUMIF('caseload data'!$C:$C,'divisional &amp; regional caseload%'!$T$64,'caseload data'!Q:Q),"")</f>
        <v/>
      </c>
      <c r="AH69" s="167" t="str">
        <f>IFERROR(SUMIFS('caseload data'!R:R,'caseload data'!$C:$C,'divisional &amp; regional caseload%'!$T$64,'caseload data'!$D:$D,"SPO")/SUMIF('caseload data'!$C:$C,'divisional &amp; regional caseload%'!$T$64,'caseload data'!R:R),"")</f>
        <v/>
      </c>
      <c r="AI69" s="167" t="str">
        <f>IFERROR(SUMIFS('caseload data'!S:S,'caseload data'!$C:$C,'divisional &amp; regional caseload%'!$T$64,'caseload data'!$D:$D,"SPO")/SUMIF('caseload data'!$C:$C,'divisional &amp; regional caseload%'!$T$64,'caseload data'!S:S),"")</f>
        <v/>
      </c>
      <c r="AJ69" s="167" t="str">
        <f>IFERROR(SUMIFS('caseload data'!T:T,'caseload data'!$C:$C,'divisional &amp; regional caseload%'!$T$64,'caseload data'!$D:$D,"SPO")/SUMIF('caseload data'!$C:$C,'divisional &amp; regional caseload%'!$T$64,'caseload data'!T:T),"")</f>
        <v/>
      </c>
    </row>
    <row r="71" spans="2:36" ht="27.75" customHeight="1" x14ac:dyDescent="0.15">
      <c r="B71" s="289">
        <f>HLOOKUP($B$5,Region_Table,20,0)</f>
        <v>0</v>
      </c>
      <c r="C71" s="523" t="s">
        <v>1101</v>
      </c>
      <c r="D71" s="524"/>
      <c r="E71" s="524"/>
      <c r="F71" s="524"/>
      <c r="G71" s="524"/>
      <c r="H71" s="524"/>
      <c r="I71" s="524"/>
      <c r="J71" s="524"/>
      <c r="K71" s="524"/>
      <c r="L71" s="524"/>
      <c r="M71" s="525"/>
      <c r="N71" s="525"/>
      <c r="O71" s="526"/>
      <c r="P71" s="510">
        <f>SUMIF('caseload data'!$C:$C,'divisional &amp; regional caseload%'!B71,'caseload data'!V:V)</f>
        <v>0</v>
      </c>
      <c r="Q71" s="527"/>
      <c r="R71" s="528"/>
      <c r="T71" s="289">
        <f>HLOOKUP($B$5,Region_Table,21,0)</f>
        <v>0</v>
      </c>
      <c r="U71" s="523" t="s">
        <v>1101</v>
      </c>
      <c r="V71" s="524"/>
      <c r="W71" s="524"/>
      <c r="X71" s="524"/>
      <c r="Y71" s="524"/>
      <c r="Z71" s="524"/>
      <c r="AA71" s="524"/>
      <c r="AB71" s="524"/>
      <c r="AC71" s="524"/>
      <c r="AD71" s="524"/>
      <c r="AE71" s="525"/>
      <c r="AF71" s="525"/>
      <c r="AG71" s="526"/>
      <c r="AH71" s="510">
        <f>SUMIF('caseload data'!$C:$C,'divisional &amp; regional caseload%'!T71,'caseload data'!V:V)</f>
        <v>0</v>
      </c>
      <c r="AI71" s="527"/>
      <c r="AJ71" s="528"/>
    </row>
    <row r="72" spans="2:36" x14ac:dyDescent="0.15">
      <c r="B72" s="95" t="s">
        <v>1006</v>
      </c>
      <c r="C72" s="38" t="s">
        <v>869</v>
      </c>
      <c r="D72" s="38" t="s">
        <v>870</v>
      </c>
      <c r="E72" s="38" t="s">
        <v>871</v>
      </c>
      <c r="F72" s="38" t="s">
        <v>872</v>
      </c>
      <c r="G72" s="38" t="s">
        <v>873</v>
      </c>
      <c r="H72" s="38" t="s">
        <v>874</v>
      </c>
      <c r="I72" s="38" t="s">
        <v>875</v>
      </c>
      <c r="J72" s="38" t="s">
        <v>876</v>
      </c>
      <c r="K72" s="38" t="s">
        <v>877</v>
      </c>
      <c r="L72" s="38" t="s">
        <v>878</v>
      </c>
      <c r="M72" s="38" t="s">
        <v>879</v>
      </c>
      <c r="N72" s="38" t="s">
        <v>880</v>
      </c>
      <c r="O72" s="38" t="s">
        <v>881</v>
      </c>
      <c r="P72" s="38" t="s">
        <v>882</v>
      </c>
      <c r="Q72" s="38" t="s">
        <v>883</v>
      </c>
      <c r="R72" s="38" t="s">
        <v>884</v>
      </c>
      <c r="T72" s="95" t="s">
        <v>1006</v>
      </c>
      <c r="U72" s="38" t="s">
        <v>869</v>
      </c>
      <c r="V72" s="38" t="s">
        <v>870</v>
      </c>
      <c r="W72" s="38" t="s">
        <v>871</v>
      </c>
      <c r="X72" s="38" t="s">
        <v>872</v>
      </c>
      <c r="Y72" s="38" t="s">
        <v>873</v>
      </c>
      <c r="Z72" s="38" t="s">
        <v>874</v>
      </c>
      <c r="AA72" s="38" t="s">
        <v>875</v>
      </c>
      <c r="AB72" s="38" t="s">
        <v>876</v>
      </c>
      <c r="AC72" s="38" t="s">
        <v>877</v>
      </c>
      <c r="AD72" s="38" t="s">
        <v>878</v>
      </c>
      <c r="AE72" s="38" t="s">
        <v>879</v>
      </c>
      <c r="AF72" s="38" t="s">
        <v>880</v>
      </c>
      <c r="AG72" s="38" t="s">
        <v>881</v>
      </c>
      <c r="AH72" s="38" t="s">
        <v>882</v>
      </c>
      <c r="AI72" s="38" t="s">
        <v>883</v>
      </c>
      <c r="AJ72" s="38" t="s">
        <v>884</v>
      </c>
    </row>
    <row r="73" spans="2:36" x14ac:dyDescent="0.15">
      <c r="B73" s="96" t="s">
        <v>1002</v>
      </c>
      <c r="C73" s="167" t="str">
        <f>IFERROR(SUMIFS('caseload data'!E:E,'caseload data'!$C:$C,'divisional &amp; regional caseload%'!$B$71,'caseload data'!$D:$D,"PO")/SUMIF('caseload data'!$C:$C,'divisional &amp; regional caseload%'!$B$71,'caseload data'!E:E),"")</f>
        <v/>
      </c>
      <c r="D73" s="167" t="str">
        <f>IFERROR(SUMIFS('caseload data'!F:F,'caseload data'!$C:$C,'divisional &amp; regional caseload%'!$B$71,'caseload data'!$D:$D,"PO")/SUMIF('caseload data'!$C:$C,'divisional &amp; regional caseload%'!$B$71,'caseload data'!F:F),"")</f>
        <v/>
      </c>
      <c r="E73" s="167" t="str">
        <f>IFERROR(SUMIFS('caseload data'!G:G,'caseload data'!$C:$C,'divisional &amp; regional caseload%'!$B$71,'caseload data'!$D:$D,"PO")/SUMIF('caseload data'!$C:$C,'divisional &amp; regional caseload%'!$B$71,'caseload data'!G:G),"")</f>
        <v/>
      </c>
      <c r="F73" s="167" t="str">
        <f>IFERROR(SUMIFS('caseload data'!H:H,'caseload data'!$C:$C,'divisional &amp; regional caseload%'!$B$71,'caseload data'!$D:$D,"PO")/SUMIF('caseload data'!$C:$C,'divisional &amp; regional caseload%'!$B$71,'caseload data'!H:H),"")</f>
        <v/>
      </c>
      <c r="G73" s="167" t="str">
        <f>IFERROR(SUMIFS('caseload data'!I:I,'caseload data'!$C:$C,'divisional &amp; regional caseload%'!$B$71,'caseload data'!$D:$D,"PO")/SUMIF('caseload data'!$C:$C,'divisional &amp; regional caseload%'!$B$71,'caseload data'!I:I),"")</f>
        <v/>
      </c>
      <c r="H73" s="167" t="str">
        <f>IFERROR(SUMIFS('caseload data'!J:J,'caseload data'!$C:$C,'divisional &amp; regional caseload%'!$B$71,'caseload data'!$D:$D,"PO")/SUMIF('caseload data'!$C:$C,'divisional &amp; regional caseload%'!$B$71,'caseload data'!J:J),"")</f>
        <v/>
      </c>
      <c r="I73" s="167" t="str">
        <f>IFERROR(SUMIFS('caseload data'!K:K,'caseload data'!$C:$C,'divisional &amp; regional caseload%'!$B$71,'caseload data'!$D:$D,"PO")/SUMIF('caseload data'!$C:$C,'divisional &amp; regional caseload%'!$B$71,'caseload data'!K:K),"")</f>
        <v/>
      </c>
      <c r="J73" s="167" t="str">
        <f>IFERROR(SUMIFS('caseload data'!L:L,'caseload data'!$C:$C,'divisional &amp; regional caseload%'!$B$71,'caseload data'!$D:$D,"PO")/SUMIF('caseload data'!$C:$C,'divisional &amp; regional caseload%'!$B$71,'caseload data'!L:L),"")</f>
        <v/>
      </c>
      <c r="K73" s="167" t="str">
        <f>IFERROR(SUMIFS('caseload data'!M:M,'caseload data'!$C:$C,'divisional &amp; regional caseload%'!$B$71,'caseload data'!$D:$D,"PO")/SUMIF('caseload data'!$C:$C,'divisional &amp; regional caseload%'!$B$71,'caseload data'!M:M),"")</f>
        <v/>
      </c>
      <c r="L73" s="167" t="str">
        <f>IFERROR(SUMIFS('caseload data'!N:N,'caseload data'!$C:$C,'divisional &amp; regional caseload%'!$B$71,'caseload data'!$D:$D,"PO")/SUMIF('caseload data'!$C:$C,'divisional &amp; regional caseload%'!$B$71,'caseload data'!N:N),"")</f>
        <v/>
      </c>
      <c r="M73" s="167" t="str">
        <f>IFERROR(SUMIFS('caseload data'!O:O,'caseload data'!$C:$C,'divisional &amp; regional caseload%'!$B$71,'caseload data'!$D:$D,"PO")/SUMIF('caseload data'!$C:$C,'divisional &amp; regional caseload%'!$B$71,'caseload data'!O:O),"")</f>
        <v/>
      </c>
      <c r="N73" s="167" t="str">
        <f>IFERROR(SUMIFS('caseload data'!P:P,'caseload data'!$C:$C,'divisional &amp; regional caseload%'!$B$71,'caseload data'!$D:$D,"PO")/SUMIF('caseload data'!$C:$C,'divisional &amp; regional caseload%'!$B$71,'caseload data'!P:P),"")</f>
        <v/>
      </c>
      <c r="O73" s="167" t="str">
        <f>IFERROR(SUMIFS('caseload data'!Q:Q,'caseload data'!$C:$C,'divisional &amp; regional caseload%'!$B$71,'caseload data'!$D:$D,"PO")/SUMIF('caseload data'!$C:$C,'divisional &amp; regional caseload%'!$B$71,'caseload data'!Q:Q),"")</f>
        <v/>
      </c>
      <c r="P73" s="167" t="str">
        <f>IFERROR(SUMIFS('caseload data'!R:R,'caseload data'!$C:$C,'divisional &amp; regional caseload%'!$B$71,'caseload data'!$D:$D,"PO")/SUMIF('caseload data'!$C:$C,'divisional &amp; regional caseload%'!$B$71,'caseload data'!R:R),"")</f>
        <v/>
      </c>
      <c r="Q73" s="167" t="str">
        <f>IFERROR(SUMIFS('caseload data'!S:S,'caseload data'!$C:$C,'divisional &amp; regional caseload%'!$B$71,'caseload data'!$D:$D,"PO")/SUMIF('caseload data'!$C:$C,'divisional &amp; regional caseload%'!$B$71,'caseload data'!S:S),"")</f>
        <v/>
      </c>
      <c r="R73" s="167" t="str">
        <f>IFERROR(SUMIFS('caseload data'!T:T,'caseload data'!$C:$C,'divisional &amp; regional caseload%'!$B$71,'caseload data'!$D:$D,"PO")/SUMIF('caseload data'!$C:$C,'divisional &amp; regional caseload%'!$B$71,'caseload data'!T:T),"")</f>
        <v/>
      </c>
      <c r="T73" s="96" t="s">
        <v>1002</v>
      </c>
      <c r="U73" s="167" t="str">
        <f>IFERROR(SUMIFS('caseload data'!E:E,'caseload data'!$C:$C,'divisional &amp; regional caseload%'!$T$71,'caseload data'!$D:$D,"PO")/SUMIF('caseload data'!$C:$C,'divisional &amp; regional caseload%'!$T$71,'caseload data'!E:E),"")</f>
        <v/>
      </c>
      <c r="V73" s="167" t="str">
        <f>IFERROR(SUMIFS('caseload data'!F:F,'caseload data'!$C:$C,'divisional &amp; regional caseload%'!$T$71,'caseload data'!$D:$D,"PO")/SUMIF('caseload data'!$C:$C,'divisional &amp; regional caseload%'!$T$71,'caseload data'!F:F),"")</f>
        <v/>
      </c>
      <c r="W73" s="167" t="str">
        <f>IFERROR(SUMIFS('caseload data'!G:G,'caseload data'!$C:$C,'divisional &amp; regional caseload%'!$T$71,'caseload data'!$D:$D,"PO")/SUMIF('caseload data'!$C:$C,'divisional &amp; regional caseload%'!$T$71,'caseload data'!G:G),"")</f>
        <v/>
      </c>
      <c r="X73" s="167" t="str">
        <f>IFERROR(SUMIFS('caseload data'!H:H,'caseload data'!$C:$C,'divisional &amp; regional caseload%'!$T$71,'caseload data'!$D:$D,"PO")/SUMIF('caseload data'!$C:$C,'divisional &amp; regional caseload%'!$T$71,'caseload data'!H:H),"")</f>
        <v/>
      </c>
      <c r="Y73" s="167" t="str">
        <f>IFERROR(SUMIFS('caseload data'!I:I,'caseload data'!$C:$C,'divisional &amp; regional caseload%'!$T$71,'caseload data'!$D:$D,"PO")/SUMIF('caseload data'!$C:$C,'divisional &amp; regional caseload%'!$T$71,'caseload data'!I:I),"")</f>
        <v/>
      </c>
      <c r="Z73" s="167" t="str">
        <f>IFERROR(SUMIFS('caseload data'!J:J,'caseload data'!$C:$C,'divisional &amp; regional caseload%'!$T$71,'caseload data'!$D:$D,"PO")/SUMIF('caseload data'!$C:$C,'divisional &amp; regional caseload%'!$T$71,'caseload data'!J:J),"")</f>
        <v/>
      </c>
      <c r="AA73" s="167" t="str">
        <f>IFERROR(SUMIFS('caseload data'!K:K,'caseload data'!$C:$C,'divisional &amp; regional caseload%'!$T$71,'caseload data'!$D:$D,"PO")/SUMIF('caseload data'!$C:$C,'divisional &amp; regional caseload%'!$T$71,'caseload data'!K:K),"")</f>
        <v/>
      </c>
      <c r="AB73" s="167" t="str">
        <f>IFERROR(SUMIFS('caseload data'!L:L,'caseload data'!$C:$C,'divisional &amp; regional caseload%'!$T$71,'caseload data'!$D:$D,"PO")/SUMIF('caseload data'!$C:$C,'divisional &amp; regional caseload%'!$T$71,'caseload data'!L:L),"")</f>
        <v/>
      </c>
      <c r="AC73" s="167" t="str">
        <f>IFERROR(SUMIFS('caseload data'!M:M,'caseload data'!$C:$C,'divisional &amp; regional caseload%'!$T$71,'caseload data'!$D:$D,"PO")/SUMIF('caseload data'!$C:$C,'divisional &amp; regional caseload%'!$T$71,'caseload data'!M:M),"")</f>
        <v/>
      </c>
      <c r="AD73" s="167" t="str">
        <f>IFERROR(SUMIFS('caseload data'!N:N,'caseload data'!$C:$C,'divisional &amp; regional caseload%'!$T$71,'caseload data'!$D:$D,"PO")/SUMIF('caseload data'!$C:$C,'divisional &amp; regional caseload%'!$T$71,'caseload data'!N:N),"")</f>
        <v/>
      </c>
      <c r="AE73" s="167" t="str">
        <f>IFERROR(SUMIFS('caseload data'!O:O,'caseload data'!$C:$C,'divisional &amp; regional caseload%'!$T$71,'caseload data'!$D:$D,"PO")/SUMIF('caseload data'!$C:$C,'divisional &amp; regional caseload%'!$T$71,'caseload data'!O:O),"")</f>
        <v/>
      </c>
      <c r="AF73" s="167" t="str">
        <f>IFERROR(SUMIFS('caseload data'!P:P,'caseload data'!$C:$C,'divisional &amp; regional caseload%'!$T$71,'caseload data'!$D:$D,"PO")/SUMIF('caseload data'!$C:$C,'divisional &amp; regional caseload%'!$T$71,'caseload data'!P:P),"")</f>
        <v/>
      </c>
      <c r="AG73" s="167" t="str">
        <f>IFERROR(SUMIFS('caseload data'!Q:Q,'caseload data'!$C:$C,'divisional &amp; regional caseload%'!$T$71,'caseload data'!$D:$D,"PO")/SUMIF('caseload data'!$C:$C,'divisional &amp; regional caseload%'!$T$71,'caseload data'!Q:Q),"")</f>
        <v/>
      </c>
      <c r="AH73" s="167" t="str">
        <f>IFERROR(SUMIFS('caseload data'!R:R,'caseload data'!$C:$C,'divisional &amp; regional caseload%'!$T$71,'caseload data'!$D:$D,"PO")/SUMIF('caseload data'!$C:$C,'divisional &amp; regional caseload%'!$T$71,'caseload data'!R:R),"")</f>
        <v/>
      </c>
      <c r="AI73" s="167" t="str">
        <f>IFERROR(SUMIFS('caseload data'!S:S,'caseload data'!$C:$C,'divisional &amp; regional caseload%'!$T$71,'caseload data'!$D:$D,"PO")/SUMIF('caseload data'!$C:$C,'divisional &amp; regional caseload%'!$T$71,'caseload data'!S:S),"")</f>
        <v/>
      </c>
      <c r="AJ73" s="167" t="str">
        <f>IFERROR(SUMIFS('caseload data'!T:T,'caseload data'!$C:$C,'divisional &amp; regional caseload%'!$T$71,'caseload data'!$D:$D,"PO")/SUMIF('caseload data'!$C:$C,'divisional &amp; regional caseload%'!$T$71,'caseload data'!T:T),"")</f>
        <v/>
      </c>
    </row>
    <row r="74" spans="2:36" x14ac:dyDescent="0.15">
      <c r="B74" s="97" t="s">
        <v>1007</v>
      </c>
      <c r="C74" s="167" t="str">
        <f>IFERROR(SUMIFS('caseload data'!E:E,'caseload data'!$C:$C,'divisional &amp; regional caseload%'!$B$71,'caseload data'!$D:$D,"PSO")/SUMIF('caseload data'!$C:$C,'divisional &amp; regional caseload%'!$B$71,'caseload data'!E:E),"")</f>
        <v/>
      </c>
      <c r="D74" s="167" t="str">
        <f>IFERROR(SUMIFS('caseload data'!F:F,'caseload data'!$C:$C,'divisional &amp; regional caseload%'!$B$71,'caseload data'!$D:$D,"PSO")/SUMIF('caseload data'!$C:$C,'divisional &amp; regional caseload%'!$B$71,'caseload data'!F:F),"")</f>
        <v/>
      </c>
      <c r="E74" s="167" t="str">
        <f>IFERROR(SUMIFS('caseload data'!G:G,'caseload data'!$C:$C,'divisional &amp; regional caseload%'!$B$71,'caseload data'!$D:$D,"PSO")/SUMIF('caseload data'!$C:$C,'divisional &amp; regional caseload%'!$B$71,'caseload data'!G:G),"")</f>
        <v/>
      </c>
      <c r="F74" s="167" t="str">
        <f>IFERROR(SUMIFS('caseload data'!H:H,'caseload data'!$C:$C,'divisional &amp; regional caseload%'!$B$71,'caseload data'!$D:$D,"PSO")/SUMIF('caseload data'!$C:$C,'divisional &amp; regional caseload%'!$B$71,'caseload data'!H:H),"")</f>
        <v/>
      </c>
      <c r="G74" s="167" t="str">
        <f>IFERROR(SUMIFS('caseload data'!I:I,'caseload data'!$C:$C,'divisional &amp; regional caseload%'!$B$71,'caseload data'!$D:$D,"PSO")/SUMIF('caseload data'!$C:$C,'divisional &amp; regional caseload%'!$B$71,'caseload data'!I:I),"")</f>
        <v/>
      </c>
      <c r="H74" s="167" t="str">
        <f>IFERROR(SUMIFS('caseload data'!J:J,'caseload data'!$C:$C,'divisional &amp; regional caseload%'!$B$71,'caseload data'!$D:$D,"PSO")/SUMIF('caseload data'!$C:$C,'divisional &amp; regional caseload%'!$B$71,'caseload data'!J:J),"")</f>
        <v/>
      </c>
      <c r="I74" s="167" t="str">
        <f>IFERROR(SUMIFS('caseload data'!K:K,'caseload data'!$C:$C,'divisional &amp; regional caseload%'!$B$71,'caseload data'!$D:$D,"PSO")/SUMIF('caseload data'!$C:$C,'divisional &amp; regional caseload%'!$B$71,'caseload data'!K:K),"")</f>
        <v/>
      </c>
      <c r="J74" s="167" t="str">
        <f>IFERROR(SUMIFS('caseload data'!L:L,'caseload data'!$C:$C,'divisional &amp; regional caseload%'!$B$71,'caseload data'!$D:$D,"PSO")/SUMIF('caseload data'!$C:$C,'divisional &amp; regional caseload%'!$B$71,'caseload data'!L:L),"")</f>
        <v/>
      </c>
      <c r="K74" s="167" t="str">
        <f>IFERROR(SUMIFS('caseload data'!M:M,'caseload data'!$C:$C,'divisional &amp; regional caseload%'!$B$71,'caseload data'!$D:$D,"PSO")/SUMIF('caseload data'!$C:$C,'divisional &amp; regional caseload%'!$B$71,'caseload data'!M:M),"")</f>
        <v/>
      </c>
      <c r="L74" s="167" t="str">
        <f>IFERROR(SUMIFS('caseload data'!N:N,'caseload data'!$C:$C,'divisional &amp; regional caseload%'!$B$71,'caseload data'!$D:$D,"PSO")/SUMIF('caseload data'!$C:$C,'divisional &amp; regional caseload%'!$B$71,'caseload data'!N:N),"")</f>
        <v/>
      </c>
      <c r="M74" s="167" t="str">
        <f>IFERROR(SUMIFS('caseload data'!O:O,'caseload data'!$C:$C,'divisional &amp; regional caseload%'!$B$71,'caseload data'!$D:$D,"PSO")/SUMIF('caseload data'!$C:$C,'divisional &amp; regional caseload%'!$B$71,'caseload data'!O:O),"")</f>
        <v/>
      </c>
      <c r="N74" s="167" t="str">
        <f>IFERROR(SUMIFS('caseload data'!P:P,'caseload data'!$C:$C,'divisional &amp; regional caseload%'!$B$71,'caseload data'!$D:$D,"PSO")/SUMIF('caseload data'!$C:$C,'divisional &amp; regional caseload%'!$B$71,'caseload data'!P:P),"")</f>
        <v/>
      </c>
      <c r="O74" s="167" t="str">
        <f>IFERROR(SUMIFS('caseload data'!Q:Q,'caseload data'!$C:$C,'divisional &amp; regional caseload%'!$B$71,'caseload data'!$D:$D,"PSO")/SUMIF('caseload data'!$C:$C,'divisional &amp; regional caseload%'!$B$71,'caseload data'!Q:Q),"")</f>
        <v/>
      </c>
      <c r="P74" s="167" t="str">
        <f>IFERROR(SUMIFS('caseload data'!R:R,'caseload data'!$C:$C,'divisional &amp; regional caseload%'!$B$71,'caseload data'!$D:$D,"PSO")/SUMIF('caseload data'!$C:$C,'divisional &amp; regional caseload%'!$B$71,'caseload data'!R:R),"")</f>
        <v/>
      </c>
      <c r="Q74" s="167" t="str">
        <f>IFERROR(SUMIFS('caseload data'!S:S,'caseload data'!$C:$C,'divisional &amp; regional caseload%'!$B$71,'caseload data'!$D:$D,"PSO")/SUMIF('caseload data'!$C:$C,'divisional &amp; regional caseload%'!$B$71,'caseload data'!S:S),"")</f>
        <v/>
      </c>
      <c r="R74" s="167" t="str">
        <f>IFERROR(SUMIFS('caseload data'!T:T,'caseload data'!$C:$C,'divisional &amp; regional caseload%'!$B$71,'caseload data'!$D:$D,"PSO")/SUMIF('caseload data'!$C:$C,'divisional &amp; regional caseload%'!$B$71,'caseload data'!T:T),"")</f>
        <v/>
      </c>
      <c r="T74" s="97" t="s">
        <v>1007</v>
      </c>
      <c r="U74" s="167" t="str">
        <f>IFERROR(SUMIFS('caseload data'!E:E,'caseload data'!$C:$C,'divisional &amp; regional caseload%'!$T$71,'caseload data'!$D:$D,"PSO")/SUMIF('caseload data'!$C:$C,'divisional &amp; regional caseload%'!$T$71,'caseload data'!E:E),"")</f>
        <v/>
      </c>
      <c r="V74" s="167" t="str">
        <f>IFERROR(SUMIFS('caseload data'!F:F,'caseload data'!$C:$C,'divisional &amp; regional caseload%'!$T$71,'caseload data'!$D:$D,"PSO")/SUMIF('caseload data'!$C:$C,'divisional &amp; regional caseload%'!$T$71,'caseload data'!F:F),"")</f>
        <v/>
      </c>
      <c r="W74" s="167" t="str">
        <f>IFERROR(SUMIFS('caseload data'!G:G,'caseload data'!$C:$C,'divisional &amp; regional caseload%'!$T$71,'caseload data'!$D:$D,"PSO")/SUMIF('caseload data'!$C:$C,'divisional &amp; regional caseload%'!$T$71,'caseload data'!G:G),"")</f>
        <v/>
      </c>
      <c r="X74" s="167" t="str">
        <f>IFERROR(SUMIFS('caseload data'!H:H,'caseload data'!$C:$C,'divisional &amp; regional caseload%'!$T$71,'caseload data'!$D:$D,"PSO")/SUMIF('caseload data'!$C:$C,'divisional &amp; regional caseload%'!$T$71,'caseload data'!H:H),"")</f>
        <v/>
      </c>
      <c r="Y74" s="167" t="str">
        <f>IFERROR(SUMIFS('caseload data'!I:I,'caseload data'!$C:$C,'divisional &amp; regional caseload%'!$T$71,'caseload data'!$D:$D,"PSO")/SUMIF('caseload data'!$C:$C,'divisional &amp; regional caseload%'!$T$71,'caseload data'!I:I),"")</f>
        <v/>
      </c>
      <c r="Z74" s="167" t="str">
        <f>IFERROR(SUMIFS('caseload data'!J:J,'caseload data'!$C:$C,'divisional &amp; regional caseload%'!$T$71,'caseload data'!$D:$D,"PSO")/SUMIF('caseload data'!$C:$C,'divisional &amp; regional caseload%'!$T$71,'caseload data'!J:J),"")</f>
        <v/>
      </c>
      <c r="AA74" s="167" t="str">
        <f>IFERROR(SUMIFS('caseload data'!K:K,'caseload data'!$C:$C,'divisional &amp; regional caseload%'!$T$71,'caseload data'!$D:$D,"PSO")/SUMIF('caseload data'!$C:$C,'divisional &amp; regional caseload%'!$T$71,'caseload data'!K:K),"")</f>
        <v/>
      </c>
      <c r="AB74" s="167" t="str">
        <f>IFERROR(SUMIFS('caseload data'!L:L,'caseload data'!$C:$C,'divisional &amp; regional caseload%'!$T$71,'caseload data'!$D:$D,"PSO")/SUMIF('caseload data'!$C:$C,'divisional &amp; regional caseload%'!$T$71,'caseload data'!L:L),"")</f>
        <v/>
      </c>
      <c r="AC74" s="167" t="str">
        <f>IFERROR(SUMIFS('caseload data'!M:M,'caseload data'!$C:$C,'divisional &amp; regional caseload%'!$T$71,'caseload data'!$D:$D,"PSO")/SUMIF('caseload data'!$C:$C,'divisional &amp; regional caseload%'!$T$71,'caseload data'!M:M),"")</f>
        <v/>
      </c>
      <c r="AD74" s="167" t="str">
        <f>IFERROR(SUMIFS('caseload data'!N:N,'caseload data'!$C:$C,'divisional &amp; regional caseload%'!$T$71,'caseload data'!$D:$D,"PSO")/SUMIF('caseload data'!$C:$C,'divisional &amp; regional caseload%'!$T$71,'caseload data'!N:N),"")</f>
        <v/>
      </c>
      <c r="AE74" s="167" t="str">
        <f>IFERROR(SUMIFS('caseload data'!O:O,'caseload data'!$C:$C,'divisional &amp; regional caseload%'!$T$71,'caseload data'!$D:$D,"PSO")/SUMIF('caseload data'!$C:$C,'divisional &amp; regional caseload%'!$T$71,'caseload data'!O:O),"")</f>
        <v/>
      </c>
      <c r="AF74" s="167" t="str">
        <f>IFERROR(SUMIFS('caseload data'!P:P,'caseload data'!$C:$C,'divisional &amp; regional caseload%'!$T$71,'caseload data'!$D:$D,"PSO")/SUMIF('caseload data'!$C:$C,'divisional &amp; regional caseload%'!$T$71,'caseload data'!P:P),"")</f>
        <v/>
      </c>
      <c r="AG74" s="167" t="str">
        <f>IFERROR(SUMIFS('caseload data'!Q:Q,'caseload data'!$C:$C,'divisional &amp; regional caseload%'!$T$71,'caseload data'!$D:$D,"PSO")/SUMIF('caseload data'!$C:$C,'divisional &amp; regional caseload%'!$T$71,'caseload data'!Q:Q),"")</f>
        <v/>
      </c>
      <c r="AH74" s="167" t="str">
        <f>IFERROR(SUMIFS('caseload data'!R:R,'caseload data'!$C:$C,'divisional &amp; regional caseload%'!$T$71,'caseload data'!$D:$D,"PSO")/SUMIF('caseload data'!$C:$C,'divisional &amp; regional caseload%'!$T$71,'caseload data'!R:R),"")</f>
        <v/>
      </c>
      <c r="AI74" s="167" t="str">
        <f>IFERROR(SUMIFS('caseload data'!S:S,'caseload data'!$C:$C,'divisional &amp; regional caseload%'!$T$71,'caseload data'!$D:$D,"PSO")/SUMIF('caseload data'!$C:$C,'divisional &amp; regional caseload%'!$T$71,'caseload data'!S:S),"")</f>
        <v/>
      </c>
      <c r="AJ74" s="167" t="str">
        <f>IFERROR(SUMIFS('caseload data'!T:T,'caseload data'!$C:$C,'divisional &amp; regional caseload%'!$T$71,'caseload data'!$D:$D,"PSO")/SUMIF('caseload data'!$C:$C,'divisional &amp; regional caseload%'!$T$71,'caseload data'!T:T),"")</f>
        <v/>
      </c>
    </row>
    <row r="75" spans="2:36" x14ac:dyDescent="0.15">
      <c r="B75" s="97" t="s">
        <v>1008</v>
      </c>
      <c r="C75" s="167" t="str">
        <f>IFERROR(SUMIFS('caseload data'!E:E,'caseload data'!$C:$C,'divisional &amp; regional caseload%'!$B$71,'caseload data'!$D:$D,"TPO")/SUMIF('caseload data'!$C:$C,'divisional &amp; regional caseload%'!$B$71,'caseload data'!E:E),"")</f>
        <v/>
      </c>
      <c r="D75" s="167" t="str">
        <f>IFERROR(SUMIFS('caseload data'!F:F,'caseload data'!$C:$C,'divisional &amp; regional caseload%'!$B$71,'caseload data'!$D:$D,"TPO")/SUMIF('caseload data'!$C:$C,'divisional &amp; regional caseload%'!$B$71,'caseload data'!F:F),"")</f>
        <v/>
      </c>
      <c r="E75" s="167" t="str">
        <f>IFERROR(SUMIFS('caseload data'!G:G,'caseload data'!$C:$C,'divisional &amp; regional caseload%'!$B$71,'caseload data'!$D:$D,"TPO")/SUMIF('caseload data'!$C:$C,'divisional &amp; regional caseload%'!$B$71,'caseload data'!G:G),"")</f>
        <v/>
      </c>
      <c r="F75" s="167" t="str">
        <f>IFERROR(SUMIFS('caseload data'!H:H,'caseload data'!$C:$C,'divisional &amp; regional caseload%'!$B$71,'caseload data'!$D:$D,"TPO")/SUMIF('caseload data'!$C:$C,'divisional &amp; regional caseload%'!$B$71,'caseload data'!H:H),"")</f>
        <v/>
      </c>
      <c r="G75" s="167" t="str">
        <f>IFERROR(SUMIFS('caseload data'!I:I,'caseload data'!$C:$C,'divisional &amp; regional caseload%'!$B$71,'caseload data'!$D:$D,"TPO")/SUMIF('caseload data'!$C:$C,'divisional &amp; regional caseload%'!$B$71,'caseload data'!I:I),"")</f>
        <v/>
      </c>
      <c r="H75" s="167" t="str">
        <f>IFERROR(SUMIFS('caseload data'!J:J,'caseload data'!$C:$C,'divisional &amp; regional caseload%'!$B$71,'caseload data'!$D:$D,"TPO")/SUMIF('caseload data'!$C:$C,'divisional &amp; regional caseload%'!$B$71,'caseload data'!J:J),"")</f>
        <v/>
      </c>
      <c r="I75" s="167" t="str">
        <f>IFERROR(SUMIFS('caseload data'!K:K,'caseload data'!$C:$C,'divisional &amp; regional caseload%'!$B$71,'caseload data'!$D:$D,"TPO")/SUMIF('caseload data'!$C:$C,'divisional &amp; regional caseload%'!$B$71,'caseload data'!K:K),"")</f>
        <v/>
      </c>
      <c r="J75" s="167" t="str">
        <f>IFERROR(SUMIFS('caseload data'!L:L,'caseload data'!$C:$C,'divisional &amp; regional caseload%'!$B$71,'caseload data'!$D:$D,"TPO")/SUMIF('caseload data'!$C:$C,'divisional &amp; regional caseload%'!$B$71,'caseload data'!L:L),"")</f>
        <v/>
      </c>
      <c r="K75" s="167" t="str">
        <f>IFERROR(SUMIFS('caseload data'!M:M,'caseload data'!$C:$C,'divisional &amp; regional caseload%'!$B$71,'caseload data'!$D:$D,"TPO")/SUMIF('caseload data'!$C:$C,'divisional &amp; regional caseload%'!$B$71,'caseload data'!M:M),"")</f>
        <v/>
      </c>
      <c r="L75" s="167" t="str">
        <f>IFERROR(SUMIFS('caseload data'!N:N,'caseload data'!$C:$C,'divisional &amp; regional caseload%'!$B$71,'caseload data'!$D:$D,"TPO")/SUMIF('caseload data'!$C:$C,'divisional &amp; regional caseload%'!$B$71,'caseload data'!N:N),"")</f>
        <v/>
      </c>
      <c r="M75" s="167" t="str">
        <f>IFERROR(SUMIFS('caseload data'!O:O,'caseload data'!$C:$C,'divisional &amp; regional caseload%'!$B$71,'caseload data'!$D:$D,"TPO")/SUMIF('caseload data'!$C:$C,'divisional &amp; regional caseload%'!$B$71,'caseload data'!O:O),"")</f>
        <v/>
      </c>
      <c r="N75" s="167" t="str">
        <f>IFERROR(SUMIFS('caseload data'!P:P,'caseload data'!$C:$C,'divisional &amp; regional caseload%'!$B$71,'caseload data'!$D:$D,"TPO")/SUMIF('caseload data'!$C:$C,'divisional &amp; regional caseload%'!$B$71,'caseload data'!P:P),"")</f>
        <v/>
      </c>
      <c r="O75" s="167" t="str">
        <f>IFERROR(SUMIFS('caseload data'!Q:Q,'caseload data'!$C:$C,'divisional &amp; regional caseload%'!$B$71,'caseload data'!$D:$D,"TPO")/SUMIF('caseload data'!$C:$C,'divisional &amp; regional caseload%'!$B$71,'caseload data'!Q:Q),"")</f>
        <v/>
      </c>
      <c r="P75" s="167" t="str">
        <f>IFERROR(SUMIFS('caseload data'!R:R,'caseload data'!$C:$C,'divisional &amp; regional caseload%'!$B$71,'caseload data'!$D:$D,"TPO")/SUMIF('caseload data'!$C:$C,'divisional &amp; regional caseload%'!$B$71,'caseload data'!R:R),"")</f>
        <v/>
      </c>
      <c r="Q75" s="167" t="str">
        <f>IFERROR(SUMIFS('caseload data'!S:S,'caseload data'!$C:$C,'divisional &amp; regional caseload%'!$B$71,'caseload data'!$D:$D,"TPO")/SUMIF('caseload data'!$C:$C,'divisional &amp; regional caseload%'!$B$71,'caseload data'!S:S),"")</f>
        <v/>
      </c>
      <c r="R75" s="167" t="str">
        <f>IFERROR(SUMIFS('caseload data'!T:T,'caseload data'!$C:$C,'divisional &amp; regional caseload%'!$B$71,'caseload data'!$D:$D,"TPO")/SUMIF('caseload data'!$C:$C,'divisional &amp; regional caseload%'!$B$71,'caseload data'!T:T),"")</f>
        <v/>
      </c>
      <c r="T75" s="97" t="s">
        <v>1008</v>
      </c>
      <c r="U75" s="167" t="str">
        <f>IFERROR(SUMIFS('caseload data'!E:E,'caseload data'!$C:$C,'divisional &amp; regional caseload%'!$T$71,'caseload data'!$D:$D,"TPO")/SUMIF('caseload data'!$C:$C,'divisional &amp; regional caseload%'!$T$71,'caseload data'!E:E),"")</f>
        <v/>
      </c>
      <c r="V75" s="167" t="str">
        <f>IFERROR(SUMIFS('caseload data'!F:F,'caseload data'!$C:$C,'divisional &amp; regional caseload%'!$T$71,'caseload data'!$D:$D,"TPO")/SUMIF('caseload data'!$C:$C,'divisional &amp; regional caseload%'!$T$71,'caseload data'!F:F),"")</f>
        <v/>
      </c>
      <c r="W75" s="167" t="str">
        <f>IFERROR(SUMIFS('caseload data'!G:G,'caseload data'!$C:$C,'divisional &amp; regional caseload%'!$T$71,'caseload data'!$D:$D,"TPO")/SUMIF('caseload data'!$C:$C,'divisional &amp; regional caseload%'!$T$71,'caseload data'!G:G),"")</f>
        <v/>
      </c>
      <c r="X75" s="167" t="str">
        <f>IFERROR(SUMIFS('caseload data'!H:H,'caseload data'!$C:$C,'divisional &amp; regional caseload%'!$T$71,'caseload data'!$D:$D,"TPO")/SUMIF('caseload data'!$C:$C,'divisional &amp; regional caseload%'!$T$71,'caseload data'!H:H),"")</f>
        <v/>
      </c>
      <c r="Y75" s="167" t="str">
        <f>IFERROR(SUMIFS('caseload data'!I:I,'caseload data'!$C:$C,'divisional &amp; regional caseload%'!$T$71,'caseload data'!$D:$D,"TPO")/SUMIF('caseload data'!$C:$C,'divisional &amp; regional caseload%'!$T$71,'caseload data'!I:I),"")</f>
        <v/>
      </c>
      <c r="Z75" s="167" t="str">
        <f>IFERROR(SUMIFS('caseload data'!J:J,'caseload data'!$C:$C,'divisional &amp; regional caseload%'!$T$71,'caseload data'!$D:$D,"TPO")/SUMIF('caseload data'!$C:$C,'divisional &amp; regional caseload%'!$T$71,'caseload data'!J:J),"")</f>
        <v/>
      </c>
      <c r="AA75" s="167" t="str">
        <f>IFERROR(SUMIFS('caseload data'!K:K,'caseload data'!$C:$C,'divisional &amp; regional caseload%'!$T$71,'caseload data'!$D:$D,"TPO")/SUMIF('caseload data'!$C:$C,'divisional &amp; regional caseload%'!$T$71,'caseload data'!K:K),"")</f>
        <v/>
      </c>
      <c r="AB75" s="167" t="str">
        <f>IFERROR(SUMIFS('caseload data'!L:L,'caseload data'!$C:$C,'divisional &amp; regional caseload%'!$T$71,'caseload data'!$D:$D,"TPO")/SUMIF('caseload data'!$C:$C,'divisional &amp; regional caseload%'!$T$71,'caseload data'!L:L),"")</f>
        <v/>
      </c>
      <c r="AC75" s="167" t="str">
        <f>IFERROR(SUMIFS('caseload data'!M:M,'caseload data'!$C:$C,'divisional &amp; regional caseload%'!$T$71,'caseload data'!$D:$D,"TPO")/SUMIF('caseload data'!$C:$C,'divisional &amp; regional caseload%'!$T$71,'caseload data'!M:M),"")</f>
        <v/>
      </c>
      <c r="AD75" s="167" t="str">
        <f>IFERROR(SUMIFS('caseload data'!N:N,'caseload data'!$C:$C,'divisional &amp; regional caseload%'!$T$71,'caseload data'!$D:$D,"TPO")/SUMIF('caseload data'!$C:$C,'divisional &amp; regional caseload%'!$T$71,'caseload data'!N:N),"")</f>
        <v/>
      </c>
      <c r="AE75" s="167" t="str">
        <f>IFERROR(SUMIFS('caseload data'!O:O,'caseload data'!$C:$C,'divisional &amp; regional caseload%'!$T$71,'caseload data'!$D:$D,"TPO")/SUMIF('caseload data'!$C:$C,'divisional &amp; regional caseload%'!$T$71,'caseload data'!O:O),"")</f>
        <v/>
      </c>
      <c r="AF75" s="167" t="str">
        <f>IFERROR(SUMIFS('caseload data'!P:P,'caseload data'!$C:$C,'divisional &amp; regional caseload%'!$T$71,'caseload data'!$D:$D,"TPO")/SUMIF('caseload data'!$C:$C,'divisional &amp; regional caseload%'!$T$71,'caseload data'!P:P),"")</f>
        <v/>
      </c>
      <c r="AG75" s="167" t="str">
        <f>IFERROR(SUMIFS('caseload data'!Q:Q,'caseload data'!$C:$C,'divisional &amp; regional caseload%'!$T$71,'caseload data'!$D:$D,"TPO")/SUMIF('caseload data'!$C:$C,'divisional &amp; regional caseload%'!$T$71,'caseload data'!Q:Q),"")</f>
        <v/>
      </c>
      <c r="AH75" s="167" t="str">
        <f>IFERROR(SUMIFS('caseload data'!R:R,'caseload data'!$C:$C,'divisional &amp; regional caseload%'!$T$71,'caseload data'!$D:$D,"TPO")/SUMIF('caseload data'!$C:$C,'divisional &amp; regional caseload%'!$T$71,'caseload data'!R:R),"")</f>
        <v/>
      </c>
      <c r="AI75" s="167" t="str">
        <f>IFERROR(SUMIFS('caseload data'!S:S,'caseload data'!$C:$C,'divisional &amp; regional caseload%'!$T$71,'caseload data'!$D:$D,"TPO")/SUMIF('caseload data'!$C:$C,'divisional &amp; regional caseload%'!$T$71,'caseload data'!S:S),"")</f>
        <v/>
      </c>
      <c r="AJ75" s="167" t="str">
        <f>IFERROR(SUMIFS('caseload data'!T:T,'caseload data'!$C:$C,'divisional &amp; regional caseload%'!$T$71,'caseload data'!$D:$D,"TPO")/SUMIF('caseload data'!$C:$C,'divisional &amp; regional caseload%'!$T$71,'caseload data'!T:T),"")</f>
        <v/>
      </c>
    </row>
    <row r="76" spans="2:36" x14ac:dyDescent="0.15">
      <c r="B76" s="98" t="s">
        <v>1009</v>
      </c>
      <c r="C76" s="167" t="str">
        <f>IFERROR(SUMIFS('caseload data'!E:E,'caseload data'!$C:$C,'divisional &amp; regional caseload%'!$B$71,'caseload data'!$D:$D,"SPO")/SUMIF('caseload data'!$C:$C,'divisional &amp; regional caseload%'!$B$71,'caseload data'!E:E),"")</f>
        <v/>
      </c>
      <c r="D76" s="167" t="str">
        <f>IFERROR(SUMIFS('caseload data'!F:F,'caseload data'!$C:$C,'divisional &amp; regional caseload%'!$B$71,'caseload data'!$D:$D,"SPO")/SUMIF('caseload data'!$C:$C,'divisional &amp; regional caseload%'!$B$71,'caseload data'!F:F),"")</f>
        <v/>
      </c>
      <c r="E76" s="167" t="str">
        <f>IFERROR(SUMIFS('caseload data'!G:G,'caseload data'!$C:$C,'divisional &amp; regional caseload%'!$B$71,'caseload data'!$D:$D,"SPO")/SUMIF('caseload data'!$C:$C,'divisional &amp; regional caseload%'!$B$71,'caseload data'!G:G),"")</f>
        <v/>
      </c>
      <c r="F76" s="167" t="str">
        <f>IFERROR(SUMIFS('caseload data'!H:H,'caseload data'!$C:$C,'divisional &amp; regional caseload%'!$B$71,'caseload data'!$D:$D,"SPO")/SUMIF('caseload data'!$C:$C,'divisional &amp; regional caseload%'!$B$71,'caseload data'!H:H),"")</f>
        <v/>
      </c>
      <c r="G76" s="167" t="str">
        <f>IFERROR(SUMIFS('caseload data'!I:I,'caseload data'!$C:$C,'divisional &amp; regional caseload%'!$B$71,'caseload data'!$D:$D,"SPO")/SUMIF('caseload data'!$C:$C,'divisional &amp; regional caseload%'!$B$71,'caseload data'!I:I),"")</f>
        <v/>
      </c>
      <c r="H76" s="167" t="str">
        <f>IFERROR(SUMIFS('caseload data'!J:J,'caseload data'!$C:$C,'divisional &amp; regional caseload%'!$B$71,'caseload data'!$D:$D,"SPO")/SUMIF('caseload data'!$C:$C,'divisional &amp; regional caseload%'!$B$71,'caseload data'!J:J),"")</f>
        <v/>
      </c>
      <c r="I76" s="167" t="str">
        <f>IFERROR(SUMIFS('caseload data'!K:K,'caseload data'!$C:$C,'divisional &amp; regional caseload%'!$B$71,'caseload data'!$D:$D,"SPO")/SUMIF('caseload data'!$C:$C,'divisional &amp; regional caseload%'!$B$71,'caseload data'!K:K),"")</f>
        <v/>
      </c>
      <c r="J76" s="167" t="str">
        <f>IFERROR(SUMIFS('caseload data'!L:L,'caseload data'!$C:$C,'divisional &amp; regional caseload%'!$B$71,'caseload data'!$D:$D,"SPO")/SUMIF('caseload data'!$C:$C,'divisional &amp; regional caseload%'!$B$71,'caseload data'!L:L),"")</f>
        <v/>
      </c>
      <c r="K76" s="167" t="str">
        <f>IFERROR(SUMIFS('caseload data'!M:M,'caseload data'!$C:$C,'divisional &amp; regional caseload%'!$B$71,'caseload data'!$D:$D,"SPO")/SUMIF('caseload data'!$C:$C,'divisional &amp; regional caseload%'!$B$71,'caseload data'!M:M),"")</f>
        <v/>
      </c>
      <c r="L76" s="167" t="str">
        <f>IFERROR(SUMIFS('caseload data'!N:N,'caseload data'!$C:$C,'divisional &amp; regional caseload%'!$B$71,'caseload data'!$D:$D,"SPO")/SUMIF('caseload data'!$C:$C,'divisional &amp; regional caseload%'!$B$71,'caseload data'!N:N),"")</f>
        <v/>
      </c>
      <c r="M76" s="167" t="str">
        <f>IFERROR(SUMIFS('caseload data'!O:O,'caseload data'!$C:$C,'divisional &amp; regional caseload%'!$B$71,'caseload data'!$D:$D,"SPO")/SUMIF('caseload data'!$C:$C,'divisional &amp; regional caseload%'!$B$71,'caseload data'!O:O),"")</f>
        <v/>
      </c>
      <c r="N76" s="167" t="str">
        <f>IFERROR(SUMIFS('caseload data'!P:P,'caseload data'!$C:$C,'divisional &amp; regional caseload%'!$B$71,'caseload data'!$D:$D,"SPO")/SUMIF('caseload data'!$C:$C,'divisional &amp; regional caseload%'!$B$71,'caseload data'!P:P),"")</f>
        <v/>
      </c>
      <c r="O76" s="167" t="str">
        <f>IFERROR(SUMIFS('caseload data'!Q:Q,'caseload data'!$C:$C,'divisional &amp; regional caseload%'!$B$71,'caseload data'!$D:$D,"SPO")/SUMIF('caseload data'!$C:$C,'divisional &amp; regional caseload%'!$B$71,'caseload data'!Q:Q),"")</f>
        <v/>
      </c>
      <c r="P76" s="167" t="str">
        <f>IFERROR(SUMIFS('caseload data'!R:R,'caseload data'!$C:$C,'divisional &amp; regional caseload%'!$B$71,'caseload data'!$D:$D,"SPO")/SUMIF('caseload data'!$C:$C,'divisional &amp; regional caseload%'!$B$71,'caseload data'!R:R),"")</f>
        <v/>
      </c>
      <c r="Q76" s="167" t="str">
        <f>IFERROR(SUMIFS('caseload data'!S:S,'caseload data'!$C:$C,'divisional &amp; regional caseload%'!$B$71,'caseload data'!$D:$D,"SPO")/SUMIF('caseload data'!$C:$C,'divisional &amp; regional caseload%'!$B$71,'caseload data'!S:S),"")</f>
        <v/>
      </c>
      <c r="R76" s="167" t="str">
        <f>IFERROR(SUMIFS('caseload data'!T:T,'caseload data'!$C:$C,'divisional &amp; regional caseload%'!$B$71,'caseload data'!$D:$D,"SPO")/SUMIF('caseload data'!$C:$C,'divisional &amp; regional caseload%'!$B$71,'caseload data'!T:T),"")</f>
        <v/>
      </c>
      <c r="T76" s="98" t="s">
        <v>1009</v>
      </c>
      <c r="U76" s="167" t="str">
        <f>IFERROR(SUMIFS('caseload data'!E:E,'caseload data'!$C:$C,'divisional &amp; regional caseload%'!$T$71,'caseload data'!$D:$D,"SPO")/SUMIF('caseload data'!$C:$C,'divisional &amp; regional caseload%'!$T$71,'caseload data'!E:E),"")</f>
        <v/>
      </c>
      <c r="V76" s="167" t="str">
        <f>IFERROR(SUMIFS('caseload data'!F:F,'caseload data'!$C:$C,'divisional &amp; regional caseload%'!$T$71,'caseload data'!$D:$D,"SPO")/SUMIF('caseload data'!$C:$C,'divisional &amp; regional caseload%'!$T$71,'caseload data'!F:F),"")</f>
        <v/>
      </c>
      <c r="W76" s="167" t="str">
        <f>IFERROR(SUMIFS('caseload data'!G:G,'caseload data'!$C:$C,'divisional &amp; regional caseload%'!$T$71,'caseload data'!$D:$D,"SPO")/SUMIF('caseload data'!$C:$C,'divisional &amp; regional caseload%'!$T$71,'caseload data'!G:G),"")</f>
        <v/>
      </c>
      <c r="X76" s="167" t="str">
        <f>IFERROR(SUMIFS('caseload data'!H:H,'caseload data'!$C:$C,'divisional &amp; regional caseload%'!$T$71,'caseload data'!$D:$D,"SPO")/SUMIF('caseload data'!$C:$C,'divisional &amp; regional caseload%'!$T$71,'caseload data'!H:H),"")</f>
        <v/>
      </c>
      <c r="Y76" s="167" t="str">
        <f>IFERROR(SUMIFS('caseload data'!I:I,'caseload data'!$C:$C,'divisional &amp; regional caseload%'!$T$71,'caseload data'!$D:$D,"SPO")/SUMIF('caseload data'!$C:$C,'divisional &amp; regional caseload%'!$T$71,'caseload data'!I:I),"")</f>
        <v/>
      </c>
      <c r="Z76" s="167" t="str">
        <f>IFERROR(SUMIFS('caseload data'!J:J,'caseload data'!$C:$C,'divisional &amp; regional caseload%'!$T$71,'caseload data'!$D:$D,"SPO")/SUMIF('caseload data'!$C:$C,'divisional &amp; regional caseload%'!$T$71,'caseload data'!J:J),"")</f>
        <v/>
      </c>
      <c r="AA76" s="167" t="str">
        <f>IFERROR(SUMIFS('caseload data'!K:K,'caseload data'!$C:$C,'divisional &amp; regional caseload%'!$T$71,'caseload data'!$D:$D,"SPO")/SUMIF('caseload data'!$C:$C,'divisional &amp; regional caseload%'!$T$71,'caseload data'!K:K),"")</f>
        <v/>
      </c>
      <c r="AB76" s="167" t="str">
        <f>IFERROR(SUMIFS('caseload data'!L:L,'caseload data'!$C:$C,'divisional &amp; regional caseload%'!$T$71,'caseload data'!$D:$D,"SPO")/SUMIF('caseload data'!$C:$C,'divisional &amp; regional caseload%'!$T$71,'caseload data'!L:L),"")</f>
        <v/>
      </c>
      <c r="AC76" s="167" t="str">
        <f>IFERROR(SUMIFS('caseload data'!M:M,'caseload data'!$C:$C,'divisional &amp; regional caseload%'!$T$71,'caseload data'!$D:$D,"SPO")/SUMIF('caseload data'!$C:$C,'divisional &amp; regional caseload%'!$T$71,'caseload data'!M:M),"")</f>
        <v/>
      </c>
      <c r="AD76" s="167" t="str">
        <f>IFERROR(SUMIFS('caseload data'!N:N,'caseload data'!$C:$C,'divisional &amp; regional caseload%'!$T$71,'caseload data'!$D:$D,"SPO")/SUMIF('caseload data'!$C:$C,'divisional &amp; regional caseload%'!$T$71,'caseload data'!N:N),"")</f>
        <v/>
      </c>
      <c r="AE76" s="167" t="str">
        <f>IFERROR(SUMIFS('caseload data'!O:O,'caseload data'!$C:$C,'divisional &amp; regional caseload%'!$T$71,'caseload data'!$D:$D,"SPO")/SUMIF('caseload data'!$C:$C,'divisional &amp; regional caseload%'!$T$71,'caseload data'!O:O),"")</f>
        <v/>
      </c>
      <c r="AF76" s="167" t="str">
        <f>IFERROR(SUMIFS('caseload data'!P:P,'caseload data'!$C:$C,'divisional &amp; regional caseload%'!$T$71,'caseload data'!$D:$D,"SPO")/SUMIF('caseload data'!$C:$C,'divisional &amp; regional caseload%'!$T$71,'caseload data'!P:P),"")</f>
        <v/>
      </c>
      <c r="AG76" s="167" t="str">
        <f>IFERROR(SUMIFS('caseload data'!Q:Q,'caseload data'!$C:$C,'divisional &amp; regional caseload%'!$T$71,'caseload data'!$D:$D,"SPO")/SUMIF('caseload data'!$C:$C,'divisional &amp; regional caseload%'!$T$71,'caseload data'!Q:Q),"")</f>
        <v/>
      </c>
      <c r="AH76" s="167" t="str">
        <f>IFERROR(SUMIFS('caseload data'!R:R,'caseload data'!$C:$C,'divisional &amp; regional caseload%'!$T$71,'caseload data'!$D:$D,"SPO")/SUMIF('caseload data'!$C:$C,'divisional &amp; regional caseload%'!$T$71,'caseload data'!R:R),"")</f>
        <v/>
      </c>
      <c r="AI76" s="167" t="str">
        <f>IFERROR(SUMIFS('caseload data'!S:S,'caseload data'!$C:$C,'divisional &amp; regional caseload%'!$T$71,'caseload data'!$D:$D,"SPO")/SUMIF('caseload data'!$C:$C,'divisional &amp; regional caseload%'!$T$71,'caseload data'!S:S),"")</f>
        <v/>
      </c>
      <c r="AJ76" s="167" t="str">
        <f>IFERROR(SUMIFS('caseload data'!T:T,'caseload data'!$C:$C,'divisional &amp; regional caseload%'!$T$71,'caseload data'!$D:$D,"SPO")/SUMIF('caseload data'!$C:$C,'divisional &amp; regional caseload%'!$T$71,'caseload data'!T:T),"")</f>
        <v/>
      </c>
    </row>
    <row r="78" spans="2:36" ht="24" customHeight="1" x14ac:dyDescent="0.15">
      <c r="B78" s="289">
        <f>HLOOKUP($B$5,Region_Table,22,0)</f>
        <v>0</v>
      </c>
      <c r="C78" s="523" t="s">
        <v>1101</v>
      </c>
      <c r="D78" s="524"/>
      <c r="E78" s="524"/>
      <c r="F78" s="524"/>
      <c r="G78" s="524"/>
      <c r="H78" s="524"/>
      <c r="I78" s="524"/>
      <c r="J78" s="524"/>
      <c r="K78" s="524"/>
      <c r="L78" s="524"/>
      <c r="M78" s="525"/>
      <c r="N78" s="525"/>
      <c r="O78" s="526"/>
      <c r="P78" s="510">
        <f>SUMIF('caseload data'!$C:$C,'divisional &amp; regional caseload%'!B78,'caseload data'!V:V)</f>
        <v>0</v>
      </c>
      <c r="Q78" s="527"/>
      <c r="R78" s="528"/>
      <c r="T78" s="289">
        <f>HLOOKUP($B$5,Region_Table,23,0)</f>
        <v>0</v>
      </c>
      <c r="U78" s="523" t="s">
        <v>1101</v>
      </c>
      <c r="V78" s="524"/>
      <c r="W78" s="524"/>
      <c r="X78" s="524"/>
      <c r="Y78" s="524"/>
      <c r="Z78" s="524"/>
      <c r="AA78" s="524"/>
      <c r="AB78" s="524"/>
      <c r="AC78" s="524"/>
      <c r="AD78" s="524"/>
      <c r="AE78" s="525"/>
      <c r="AF78" s="525"/>
      <c r="AG78" s="526"/>
      <c r="AH78" s="510">
        <f>SUMIF('caseload data'!$C:$C,'divisional &amp; regional caseload%'!T78,'caseload data'!V:V)</f>
        <v>0</v>
      </c>
      <c r="AI78" s="527"/>
      <c r="AJ78" s="528"/>
    </row>
    <row r="79" spans="2:36" x14ac:dyDescent="0.15">
      <c r="B79" s="95" t="s">
        <v>1006</v>
      </c>
      <c r="C79" s="38" t="s">
        <v>869</v>
      </c>
      <c r="D79" s="38" t="s">
        <v>870</v>
      </c>
      <c r="E79" s="38" t="s">
        <v>871</v>
      </c>
      <c r="F79" s="38" t="s">
        <v>872</v>
      </c>
      <c r="G79" s="38" t="s">
        <v>873</v>
      </c>
      <c r="H79" s="38" t="s">
        <v>874</v>
      </c>
      <c r="I79" s="38" t="s">
        <v>875</v>
      </c>
      <c r="J79" s="38" t="s">
        <v>876</v>
      </c>
      <c r="K79" s="38" t="s">
        <v>877</v>
      </c>
      <c r="L79" s="38" t="s">
        <v>878</v>
      </c>
      <c r="M79" s="38" t="s">
        <v>879</v>
      </c>
      <c r="N79" s="38" t="s">
        <v>880</v>
      </c>
      <c r="O79" s="38" t="s">
        <v>881</v>
      </c>
      <c r="P79" s="38" t="s">
        <v>882</v>
      </c>
      <c r="Q79" s="38" t="s">
        <v>883</v>
      </c>
      <c r="R79" s="38" t="s">
        <v>884</v>
      </c>
      <c r="T79" s="95" t="s">
        <v>1006</v>
      </c>
      <c r="U79" s="38" t="s">
        <v>869</v>
      </c>
      <c r="V79" s="38" t="s">
        <v>870</v>
      </c>
      <c r="W79" s="38" t="s">
        <v>871</v>
      </c>
      <c r="X79" s="38" t="s">
        <v>872</v>
      </c>
      <c r="Y79" s="38" t="s">
        <v>873</v>
      </c>
      <c r="Z79" s="38" t="s">
        <v>874</v>
      </c>
      <c r="AA79" s="38" t="s">
        <v>875</v>
      </c>
      <c r="AB79" s="38" t="s">
        <v>876</v>
      </c>
      <c r="AC79" s="38" t="s">
        <v>877</v>
      </c>
      <c r="AD79" s="38" t="s">
        <v>878</v>
      </c>
      <c r="AE79" s="38" t="s">
        <v>879</v>
      </c>
      <c r="AF79" s="38" t="s">
        <v>880</v>
      </c>
      <c r="AG79" s="38" t="s">
        <v>881</v>
      </c>
      <c r="AH79" s="38" t="s">
        <v>882</v>
      </c>
      <c r="AI79" s="38" t="s">
        <v>883</v>
      </c>
      <c r="AJ79" s="38" t="s">
        <v>884</v>
      </c>
    </row>
    <row r="80" spans="2:36" x14ac:dyDescent="0.15">
      <c r="B80" s="96" t="s">
        <v>1002</v>
      </c>
      <c r="C80" s="167" t="str">
        <f>IFERROR(SUMIFS('caseload data'!E:E,'caseload data'!$C:$C,'divisional &amp; regional caseload%'!$B$78,'caseload data'!$D:$D,"PO")/SUMIF('caseload data'!$C:$C,'divisional &amp; regional caseload%'!$B$78,'caseload data'!E:E),"")</f>
        <v/>
      </c>
      <c r="D80" s="167" t="str">
        <f>IFERROR(SUMIFS('caseload data'!F:F,'caseload data'!$C:$C,'divisional &amp; regional caseload%'!$B$78,'caseload data'!$D:$D,"PO")/SUMIF('caseload data'!$C:$C,'divisional &amp; regional caseload%'!$B$78,'caseload data'!F:F),"")</f>
        <v/>
      </c>
      <c r="E80" s="167" t="str">
        <f>IFERROR(SUMIFS('caseload data'!G:G,'caseload data'!$C:$C,'divisional &amp; regional caseload%'!$B$78,'caseload data'!$D:$D,"PO")/SUMIF('caseload data'!$C:$C,'divisional &amp; regional caseload%'!$B$78,'caseload data'!G:G),"")</f>
        <v/>
      </c>
      <c r="F80" s="167" t="str">
        <f>IFERROR(SUMIFS('caseload data'!H:H,'caseload data'!$C:$C,'divisional &amp; regional caseload%'!$B$78,'caseload data'!$D:$D,"PO")/SUMIF('caseload data'!$C:$C,'divisional &amp; regional caseload%'!$B$78,'caseload data'!H:H),"")</f>
        <v/>
      </c>
      <c r="G80" s="167" t="str">
        <f>IFERROR(SUMIFS('caseload data'!I:I,'caseload data'!$C:$C,'divisional &amp; regional caseload%'!$B$78,'caseload data'!$D:$D,"PO")/SUMIF('caseload data'!$C:$C,'divisional &amp; regional caseload%'!$B$78,'caseload data'!I:I),"")</f>
        <v/>
      </c>
      <c r="H80" s="167" t="str">
        <f>IFERROR(SUMIFS('caseload data'!J:J,'caseload data'!$C:$C,'divisional &amp; regional caseload%'!$B$78,'caseload data'!$D:$D,"PO")/SUMIF('caseload data'!$C:$C,'divisional &amp; regional caseload%'!$B$78,'caseload data'!J:J),"")</f>
        <v/>
      </c>
      <c r="I80" s="167" t="str">
        <f>IFERROR(SUMIFS('caseload data'!K:K,'caseload data'!$C:$C,'divisional &amp; regional caseload%'!$B$78,'caseload data'!$D:$D,"PO")/SUMIF('caseload data'!$C:$C,'divisional &amp; regional caseload%'!$B$78,'caseload data'!K:K),"")</f>
        <v/>
      </c>
      <c r="J80" s="167" t="str">
        <f>IFERROR(SUMIFS('caseload data'!L:L,'caseload data'!$C:$C,'divisional &amp; regional caseload%'!$B$78,'caseload data'!$D:$D,"PO")/SUMIF('caseload data'!$C:$C,'divisional &amp; regional caseload%'!$B$78,'caseload data'!L:L),"")</f>
        <v/>
      </c>
      <c r="K80" s="167" t="str">
        <f>IFERROR(SUMIFS('caseload data'!M:M,'caseload data'!$C:$C,'divisional &amp; regional caseload%'!$B$78,'caseload data'!$D:$D,"PO")/SUMIF('caseload data'!$C:$C,'divisional &amp; regional caseload%'!$B$78,'caseload data'!M:M),"")</f>
        <v/>
      </c>
      <c r="L80" s="167" t="str">
        <f>IFERROR(SUMIFS('caseload data'!N:N,'caseload data'!$C:$C,'divisional &amp; regional caseload%'!$B$78,'caseload data'!$D:$D,"PO")/SUMIF('caseload data'!$C:$C,'divisional &amp; regional caseload%'!$B$78,'caseload data'!N:N),"")</f>
        <v/>
      </c>
      <c r="M80" s="167" t="str">
        <f>IFERROR(SUMIFS('caseload data'!O:O,'caseload data'!$C:$C,'divisional &amp; regional caseload%'!$B$78,'caseload data'!$D:$D,"PO")/SUMIF('caseload data'!$C:$C,'divisional &amp; regional caseload%'!$B$78,'caseload data'!O:O),"")</f>
        <v/>
      </c>
      <c r="N80" s="167" t="str">
        <f>IFERROR(SUMIFS('caseload data'!P:P,'caseload data'!$C:$C,'divisional &amp; regional caseload%'!$B$78,'caseload data'!$D:$D,"PO")/SUMIF('caseload data'!$C:$C,'divisional &amp; regional caseload%'!$B$78,'caseload data'!P:P),"")</f>
        <v/>
      </c>
      <c r="O80" s="167" t="str">
        <f>IFERROR(SUMIFS('caseload data'!Q:Q,'caseload data'!$C:$C,'divisional &amp; regional caseload%'!$B$78,'caseload data'!$D:$D,"PO")/SUMIF('caseload data'!$C:$C,'divisional &amp; regional caseload%'!$B$78,'caseload data'!Q:Q),"")</f>
        <v/>
      </c>
      <c r="P80" s="167" t="str">
        <f>IFERROR(SUMIFS('caseload data'!R:R,'caseload data'!$C:$C,'divisional &amp; regional caseload%'!$B$78,'caseload data'!$D:$D,"PO")/SUMIF('caseload data'!$C:$C,'divisional &amp; regional caseload%'!$B$78,'caseload data'!R:R),"")</f>
        <v/>
      </c>
      <c r="Q80" s="167" t="str">
        <f>IFERROR(SUMIFS('caseload data'!S:S,'caseload data'!$C:$C,'divisional &amp; regional caseload%'!$B$78,'caseload data'!$D:$D,"PO")/SUMIF('caseload data'!$C:$C,'divisional &amp; regional caseload%'!$B$78,'caseload data'!S:S),"")</f>
        <v/>
      </c>
      <c r="R80" s="167" t="str">
        <f>IFERROR(SUMIFS('caseload data'!T:T,'caseload data'!$C:$C,'divisional &amp; regional caseload%'!$B$78,'caseload data'!$D:$D,"PO")/SUMIF('caseload data'!$C:$C,'divisional &amp; regional caseload%'!$B$78,'caseload data'!T:T),"")</f>
        <v/>
      </c>
      <c r="T80" s="96" t="s">
        <v>1002</v>
      </c>
      <c r="U80" s="167" t="str">
        <f>IFERROR(SUMIFS('caseload data'!E:E,'caseload data'!$C:$C,'divisional &amp; regional caseload%'!$T$78,'caseload data'!$D:$D,"PO")/SUMIF('caseload data'!$C:$C,'divisional &amp; regional caseload%'!$T$78,'caseload data'!E:E),"")</f>
        <v/>
      </c>
      <c r="V80" s="167" t="str">
        <f>IFERROR(SUMIFS('caseload data'!F:F,'caseload data'!$C:$C,'divisional &amp; regional caseload%'!$T$78,'caseload data'!$D:$D,"PO")/SUMIF('caseload data'!$C:$C,'divisional &amp; regional caseload%'!$T$78,'caseload data'!F:F),"")</f>
        <v/>
      </c>
      <c r="W80" s="167" t="str">
        <f>IFERROR(SUMIFS('caseload data'!G:G,'caseload data'!$C:$C,'divisional &amp; regional caseload%'!$T$78,'caseload data'!$D:$D,"PO")/SUMIF('caseload data'!$C:$C,'divisional &amp; regional caseload%'!$T$78,'caseload data'!G:G),"")</f>
        <v/>
      </c>
      <c r="X80" s="167" t="str">
        <f>IFERROR(SUMIFS('caseload data'!H:H,'caseload data'!$C:$C,'divisional &amp; regional caseload%'!$T$78,'caseload data'!$D:$D,"PO")/SUMIF('caseload data'!$C:$C,'divisional &amp; regional caseload%'!$T$78,'caseload data'!H:H),"")</f>
        <v/>
      </c>
      <c r="Y80" s="167" t="str">
        <f>IFERROR(SUMIFS('caseload data'!I:I,'caseload data'!$C:$C,'divisional &amp; regional caseload%'!$T$78,'caseload data'!$D:$D,"PO")/SUMIF('caseload data'!$C:$C,'divisional &amp; regional caseload%'!$T$78,'caseload data'!I:I),"")</f>
        <v/>
      </c>
      <c r="Z80" s="167" t="str">
        <f>IFERROR(SUMIFS('caseload data'!J:J,'caseload data'!$C:$C,'divisional &amp; regional caseload%'!$T$78,'caseload data'!$D:$D,"PO")/SUMIF('caseload data'!$C:$C,'divisional &amp; regional caseload%'!$T$78,'caseload data'!J:J),"")</f>
        <v/>
      </c>
      <c r="AA80" s="167" t="str">
        <f>IFERROR(SUMIFS('caseload data'!K:K,'caseload data'!$C:$C,'divisional &amp; regional caseload%'!$T$78,'caseload data'!$D:$D,"PO")/SUMIF('caseload data'!$C:$C,'divisional &amp; regional caseload%'!$T$78,'caseload data'!K:K),"")</f>
        <v/>
      </c>
      <c r="AB80" s="167" t="str">
        <f>IFERROR(SUMIFS('caseload data'!L:L,'caseload data'!$C:$C,'divisional &amp; regional caseload%'!$T$78,'caseload data'!$D:$D,"PO")/SUMIF('caseload data'!$C:$C,'divisional &amp; regional caseload%'!$T$78,'caseload data'!L:L),"")</f>
        <v/>
      </c>
      <c r="AC80" s="167" t="str">
        <f>IFERROR(SUMIFS('caseload data'!M:M,'caseload data'!$C:$C,'divisional &amp; regional caseload%'!$T$78,'caseload data'!$D:$D,"PO")/SUMIF('caseload data'!$C:$C,'divisional &amp; regional caseload%'!$T$78,'caseload data'!M:M),"")</f>
        <v/>
      </c>
      <c r="AD80" s="167" t="str">
        <f>IFERROR(SUMIFS('caseload data'!N:N,'caseload data'!$C:$C,'divisional &amp; regional caseload%'!$T$78,'caseload data'!$D:$D,"PO")/SUMIF('caseload data'!$C:$C,'divisional &amp; regional caseload%'!$T$78,'caseload data'!N:N),"")</f>
        <v/>
      </c>
      <c r="AE80" s="167" t="str">
        <f>IFERROR(SUMIFS('caseload data'!O:O,'caseload data'!$C:$C,'divisional &amp; regional caseload%'!$T$78,'caseload data'!$D:$D,"PO")/SUMIF('caseload data'!$C:$C,'divisional &amp; regional caseload%'!$T$78,'caseload data'!O:O),"")</f>
        <v/>
      </c>
      <c r="AF80" s="167" t="str">
        <f>IFERROR(SUMIFS('caseload data'!P:P,'caseload data'!$C:$C,'divisional &amp; regional caseload%'!$T$78,'caseload data'!$D:$D,"PO")/SUMIF('caseload data'!$C:$C,'divisional &amp; regional caseload%'!$T$78,'caseload data'!P:P),"")</f>
        <v/>
      </c>
      <c r="AG80" s="167" t="str">
        <f>IFERROR(SUMIFS('caseload data'!Q:Q,'caseload data'!$C:$C,'divisional &amp; regional caseload%'!$T$78,'caseload data'!$D:$D,"PO")/SUMIF('caseload data'!$C:$C,'divisional &amp; regional caseload%'!$T$78,'caseload data'!Q:Q),"")</f>
        <v/>
      </c>
      <c r="AH80" s="167" t="str">
        <f>IFERROR(SUMIFS('caseload data'!R:R,'caseload data'!$C:$C,'divisional &amp; regional caseload%'!$T$78,'caseload data'!$D:$D,"PO")/SUMIF('caseload data'!$C:$C,'divisional &amp; regional caseload%'!$T$78,'caseload data'!R:R),"")</f>
        <v/>
      </c>
      <c r="AI80" s="167" t="str">
        <f>IFERROR(SUMIFS('caseload data'!S:S,'caseload data'!$C:$C,'divisional &amp; regional caseload%'!$T$78,'caseload data'!$D:$D,"PO")/SUMIF('caseload data'!$C:$C,'divisional &amp; regional caseload%'!$T$78,'caseload data'!S:S),"")</f>
        <v/>
      </c>
      <c r="AJ80" s="167" t="str">
        <f>IFERROR(SUMIFS('caseload data'!T:T,'caseload data'!$C:$C,'divisional &amp; regional caseload%'!$T$78,'caseload data'!$D:$D,"PO")/SUMIF('caseload data'!$C:$C,'divisional &amp; regional caseload%'!$T$78,'caseload data'!T:T),"")</f>
        <v/>
      </c>
    </row>
    <row r="81" spans="2:36" x14ac:dyDescent="0.15">
      <c r="B81" s="97" t="s">
        <v>1007</v>
      </c>
      <c r="C81" s="167" t="str">
        <f>IFERROR(SUMIFS('caseload data'!E:E,'caseload data'!$C:$C,'divisional &amp; regional caseload%'!$B$78,'caseload data'!$D:$D,"PSO")/SUMIF('caseload data'!$C:$C,'divisional &amp; regional caseload%'!$B$78,'caseload data'!E:E),"")</f>
        <v/>
      </c>
      <c r="D81" s="167" t="str">
        <f>IFERROR(SUMIFS('caseload data'!F:F,'caseload data'!$C:$C,'divisional &amp; regional caseload%'!$B$78,'caseload data'!$D:$D,"PSO")/SUMIF('caseload data'!$C:$C,'divisional &amp; regional caseload%'!$B$78,'caseload data'!F:F),"")</f>
        <v/>
      </c>
      <c r="E81" s="167" t="str">
        <f>IFERROR(SUMIFS('caseload data'!G:G,'caseload data'!$C:$C,'divisional &amp; regional caseload%'!$B$78,'caseload data'!$D:$D,"PSO")/SUMIF('caseload data'!$C:$C,'divisional &amp; regional caseload%'!$B$78,'caseload data'!G:G),"")</f>
        <v/>
      </c>
      <c r="F81" s="167" t="str">
        <f>IFERROR(SUMIFS('caseload data'!H:H,'caseload data'!$C:$C,'divisional &amp; regional caseload%'!$B$78,'caseload data'!$D:$D,"PSO")/SUMIF('caseload data'!$C:$C,'divisional &amp; regional caseload%'!$B$78,'caseload data'!H:H),"")</f>
        <v/>
      </c>
      <c r="G81" s="167" t="str">
        <f>IFERROR(SUMIFS('caseload data'!I:I,'caseload data'!$C:$C,'divisional &amp; regional caseload%'!$B$78,'caseload data'!$D:$D,"PSO")/SUMIF('caseload data'!$C:$C,'divisional &amp; regional caseload%'!$B$78,'caseload data'!I:I),"")</f>
        <v/>
      </c>
      <c r="H81" s="167" t="str">
        <f>IFERROR(SUMIFS('caseload data'!J:J,'caseload data'!$C:$C,'divisional &amp; regional caseload%'!$B$78,'caseload data'!$D:$D,"PSO")/SUMIF('caseload data'!$C:$C,'divisional &amp; regional caseload%'!$B$78,'caseload data'!J:J),"")</f>
        <v/>
      </c>
      <c r="I81" s="167" t="str">
        <f>IFERROR(SUMIFS('caseload data'!K:K,'caseload data'!$C:$C,'divisional &amp; regional caseload%'!$B$78,'caseload data'!$D:$D,"PSO")/SUMIF('caseload data'!$C:$C,'divisional &amp; regional caseload%'!$B$78,'caseload data'!K:K),"")</f>
        <v/>
      </c>
      <c r="J81" s="167" t="str">
        <f>IFERROR(SUMIFS('caseload data'!L:L,'caseload data'!$C:$C,'divisional &amp; regional caseload%'!$B$78,'caseload data'!$D:$D,"PSO")/SUMIF('caseload data'!$C:$C,'divisional &amp; regional caseload%'!$B$78,'caseload data'!L:L),"")</f>
        <v/>
      </c>
      <c r="K81" s="167" t="str">
        <f>IFERROR(SUMIFS('caseload data'!M:M,'caseload data'!$C:$C,'divisional &amp; regional caseload%'!$B$78,'caseload data'!$D:$D,"PSO")/SUMIF('caseload data'!$C:$C,'divisional &amp; regional caseload%'!$B$78,'caseload data'!M:M),"")</f>
        <v/>
      </c>
      <c r="L81" s="167" t="str">
        <f>IFERROR(SUMIFS('caseload data'!N:N,'caseload data'!$C:$C,'divisional &amp; regional caseload%'!$B$78,'caseload data'!$D:$D,"PSO")/SUMIF('caseload data'!$C:$C,'divisional &amp; regional caseload%'!$B$78,'caseload data'!N:N),"")</f>
        <v/>
      </c>
      <c r="M81" s="167" t="str">
        <f>IFERROR(SUMIFS('caseload data'!O:O,'caseload data'!$C:$C,'divisional &amp; regional caseload%'!$B$78,'caseload data'!$D:$D,"PSO")/SUMIF('caseload data'!$C:$C,'divisional &amp; regional caseload%'!$B$78,'caseload data'!O:O),"")</f>
        <v/>
      </c>
      <c r="N81" s="167" t="str">
        <f>IFERROR(SUMIFS('caseload data'!P:P,'caseload data'!$C:$C,'divisional &amp; regional caseload%'!$B$78,'caseload data'!$D:$D,"PSO")/SUMIF('caseload data'!$C:$C,'divisional &amp; regional caseload%'!$B$78,'caseload data'!P:P),"")</f>
        <v/>
      </c>
      <c r="O81" s="167" t="str">
        <f>IFERROR(SUMIFS('caseload data'!Q:Q,'caseload data'!$C:$C,'divisional &amp; regional caseload%'!$B$78,'caseload data'!$D:$D,"PSO")/SUMIF('caseload data'!$C:$C,'divisional &amp; regional caseload%'!$B$78,'caseload data'!Q:Q),"")</f>
        <v/>
      </c>
      <c r="P81" s="167" t="str">
        <f>IFERROR(SUMIFS('caseload data'!R:R,'caseload data'!$C:$C,'divisional &amp; regional caseload%'!$B$78,'caseload data'!$D:$D,"PSO")/SUMIF('caseload data'!$C:$C,'divisional &amp; regional caseload%'!$B$78,'caseload data'!R:R),"")</f>
        <v/>
      </c>
      <c r="Q81" s="167" t="str">
        <f>IFERROR(SUMIFS('caseload data'!S:S,'caseload data'!$C:$C,'divisional &amp; regional caseload%'!$B$78,'caseload data'!$D:$D,"PSO")/SUMIF('caseload data'!$C:$C,'divisional &amp; regional caseload%'!$B$78,'caseload data'!S:S),"")</f>
        <v/>
      </c>
      <c r="R81" s="167" t="str">
        <f>IFERROR(SUMIFS('caseload data'!T:T,'caseload data'!$C:$C,'divisional &amp; regional caseload%'!$B$78,'caseload data'!$D:$D,"PSO")/SUMIF('caseload data'!$C:$C,'divisional &amp; regional caseload%'!$B$78,'caseload data'!T:T),"")</f>
        <v/>
      </c>
      <c r="T81" s="97" t="s">
        <v>1007</v>
      </c>
      <c r="U81" s="167" t="str">
        <f>IFERROR(SUMIFS('caseload data'!E:E,'caseload data'!$C:$C,'divisional &amp; regional caseload%'!$T$78,'caseload data'!$D:$D,"PSO")/SUMIF('caseload data'!$C:$C,'divisional &amp; regional caseload%'!$T$78,'caseload data'!E:E),"")</f>
        <v/>
      </c>
      <c r="V81" s="167" t="str">
        <f>IFERROR(SUMIFS('caseload data'!F:F,'caseload data'!$C:$C,'divisional &amp; regional caseload%'!$T$78,'caseload data'!$D:$D,"PSO")/SUMIF('caseload data'!$C:$C,'divisional &amp; regional caseload%'!$T$78,'caseload data'!F:F),"")</f>
        <v/>
      </c>
      <c r="W81" s="167" t="str">
        <f>IFERROR(SUMIFS('caseload data'!G:G,'caseload data'!$C:$C,'divisional &amp; regional caseload%'!$T$78,'caseload data'!$D:$D,"PSO")/SUMIF('caseload data'!$C:$C,'divisional &amp; regional caseload%'!$T$78,'caseload data'!G:G),"")</f>
        <v/>
      </c>
      <c r="X81" s="167" t="str">
        <f>IFERROR(SUMIFS('caseload data'!H:H,'caseload data'!$C:$C,'divisional &amp; regional caseload%'!$T$78,'caseload data'!$D:$D,"PSO")/SUMIF('caseload data'!$C:$C,'divisional &amp; regional caseload%'!$T$78,'caseload data'!H:H),"")</f>
        <v/>
      </c>
      <c r="Y81" s="167" t="str">
        <f>IFERROR(SUMIFS('caseload data'!I:I,'caseload data'!$C:$C,'divisional &amp; regional caseload%'!$T$78,'caseload data'!$D:$D,"PSO")/SUMIF('caseload data'!$C:$C,'divisional &amp; regional caseload%'!$T$78,'caseload data'!I:I),"")</f>
        <v/>
      </c>
      <c r="Z81" s="167" t="str">
        <f>IFERROR(SUMIFS('caseload data'!J:J,'caseload data'!$C:$C,'divisional &amp; regional caseload%'!$T$78,'caseload data'!$D:$D,"PSO")/SUMIF('caseload data'!$C:$C,'divisional &amp; regional caseload%'!$T$78,'caseload data'!J:J),"")</f>
        <v/>
      </c>
      <c r="AA81" s="167" t="str">
        <f>IFERROR(SUMIFS('caseload data'!K:K,'caseload data'!$C:$C,'divisional &amp; regional caseload%'!$T$78,'caseload data'!$D:$D,"PSO")/SUMIF('caseload data'!$C:$C,'divisional &amp; regional caseload%'!$T$78,'caseload data'!K:K),"")</f>
        <v/>
      </c>
      <c r="AB81" s="167" t="str">
        <f>IFERROR(SUMIFS('caseload data'!L:L,'caseload data'!$C:$C,'divisional &amp; regional caseload%'!$T$78,'caseload data'!$D:$D,"PSO")/SUMIF('caseload data'!$C:$C,'divisional &amp; regional caseload%'!$T$78,'caseload data'!L:L),"")</f>
        <v/>
      </c>
      <c r="AC81" s="167" t="str">
        <f>IFERROR(SUMIFS('caseload data'!M:M,'caseload data'!$C:$C,'divisional &amp; regional caseload%'!$T$78,'caseload data'!$D:$D,"PSO")/SUMIF('caseload data'!$C:$C,'divisional &amp; regional caseload%'!$T$78,'caseload data'!M:M),"")</f>
        <v/>
      </c>
      <c r="AD81" s="167" t="str">
        <f>IFERROR(SUMIFS('caseload data'!N:N,'caseload data'!$C:$C,'divisional &amp; regional caseload%'!$T$78,'caseload data'!$D:$D,"PSO")/SUMIF('caseload data'!$C:$C,'divisional &amp; regional caseload%'!$T$78,'caseload data'!N:N),"")</f>
        <v/>
      </c>
      <c r="AE81" s="167" t="str">
        <f>IFERROR(SUMIFS('caseload data'!O:O,'caseload data'!$C:$C,'divisional &amp; regional caseload%'!$T$78,'caseload data'!$D:$D,"PSO")/SUMIF('caseload data'!$C:$C,'divisional &amp; regional caseload%'!$T$78,'caseload data'!O:O),"")</f>
        <v/>
      </c>
      <c r="AF81" s="167" t="str">
        <f>IFERROR(SUMIFS('caseload data'!P:P,'caseload data'!$C:$C,'divisional &amp; regional caseload%'!$T$78,'caseload data'!$D:$D,"PSO")/SUMIF('caseload data'!$C:$C,'divisional &amp; regional caseload%'!$T$78,'caseload data'!P:P),"")</f>
        <v/>
      </c>
      <c r="AG81" s="167" t="str">
        <f>IFERROR(SUMIFS('caseload data'!Q:Q,'caseload data'!$C:$C,'divisional &amp; regional caseload%'!$T$78,'caseload data'!$D:$D,"PSO")/SUMIF('caseload data'!$C:$C,'divisional &amp; regional caseload%'!$T$78,'caseload data'!Q:Q),"")</f>
        <v/>
      </c>
      <c r="AH81" s="167" t="str">
        <f>IFERROR(SUMIFS('caseload data'!R:R,'caseload data'!$C:$C,'divisional &amp; regional caseload%'!$T$78,'caseload data'!$D:$D,"PSO")/SUMIF('caseload data'!$C:$C,'divisional &amp; regional caseload%'!$T$78,'caseload data'!R:R),"")</f>
        <v/>
      </c>
      <c r="AI81" s="167" t="str">
        <f>IFERROR(SUMIFS('caseload data'!S:S,'caseload data'!$C:$C,'divisional &amp; regional caseload%'!$T$78,'caseload data'!$D:$D,"PSO")/SUMIF('caseload data'!$C:$C,'divisional &amp; regional caseload%'!$T$78,'caseload data'!S:S),"")</f>
        <v/>
      </c>
      <c r="AJ81" s="167" t="str">
        <f>IFERROR(SUMIFS('caseload data'!T:T,'caseload data'!$C:$C,'divisional &amp; regional caseload%'!$T$78,'caseload data'!$D:$D,"PSO")/SUMIF('caseload data'!$C:$C,'divisional &amp; regional caseload%'!$T$78,'caseload data'!T:T),"")</f>
        <v/>
      </c>
    </row>
    <row r="82" spans="2:36" x14ac:dyDescent="0.15">
      <c r="B82" s="97" t="s">
        <v>1008</v>
      </c>
      <c r="C82" s="167" t="str">
        <f>IFERROR(SUMIFS('caseload data'!E:E,'caseload data'!$C:$C,'divisional &amp; regional caseload%'!$B$78,'caseload data'!$D:$D,"TPO")/SUMIF('caseload data'!$C:$C,'divisional &amp; regional caseload%'!$B$78,'caseload data'!E:E),"")</f>
        <v/>
      </c>
      <c r="D82" s="167" t="str">
        <f>IFERROR(SUMIFS('caseload data'!F:F,'caseload data'!$C:$C,'divisional &amp; regional caseload%'!$B$78,'caseload data'!$D:$D,"TPO")/SUMIF('caseload data'!$C:$C,'divisional &amp; regional caseload%'!$B$78,'caseload data'!F:F),"")</f>
        <v/>
      </c>
      <c r="E82" s="167" t="str">
        <f>IFERROR(SUMIFS('caseload data'!G:G,'caseload data'!$C:$C,'divisional &amp; regional caseload%'!$B$78,'caseload data'!$D:$D,"TPO")/SUMIF('caseload data'!$C:$C,'divisional &amp; regional caseload%'!$B$78,'caseload data'!G:G),"")</f>
        <v/>
      </c>
      <c r="F82" s="167" t="str">
        <f>IFERROR(SUMIFS('caseload data'!H:H,'caseload data'!$C:$C,'divisional &amp; regional caseload%'!$B$78,'caseload data'!$D:$D,"TPO")/SUMIF('caseload data'!$C:$C,'divisional &amp; regional caseload%'!$B$78,'caseload data'!H:H),"")</f>
        <v/>
      </c>
      <c r="G82" s="167" t="str">
        <f>IFERROR(SUMIFS('caseload data'!I:I,'caseload data'!$C:$C,'divisional &amp; regional caseload%'!$B$78,'caseload data'!$D:$D,"TPO")/SUMIF('caseload data'!$C:$C,'divisional &amp; regional caseload%'!$B$78,'caseload data'!I:I),"")</f>
        <v/>
      </c>
      <c r="H82" s="167" t="str">
        <f>IFERROR(SUMIFS('caseload data'!J:J,'caseload data'!$C:$C,'divisional &amp; regional caseload%'!$B$78,'caseload data'!$D:$D,"TPO")/SUMIF('caseload data'!$C:$C,'divisional &amp; regional caseload%'!$B$78,'caseload data'!J:J),"")</f>
        <v/>
      </c>
      <c r="I82" s="167" t="str">
        <f>IFERROR(SUMIFS('caseload data'!K:K,'caseload data'!$C:$C,'divisional &amp; regional caseload%'!$B$78,'caseload data'!$D:$D,"TPO")/SUMIF('caseload data'!$C:$C,'divisional &amp; regional caseload%'!$B$78,'caseload data'!K:K),"")</f>
        <v/>
      </c>
      <c r="J82" s="167" t="str">
        <f>IFERROR(SUMIFS('caseload data'!L:L,'caseload data'!$C:$C,'divisional &amp; regional caseload%'!$B$78,'caseload data'!$D:$D,"TPO")/SUMIF('caseload data'!$C:$C,'divisional &amp; regional caseload%'!$B$78,'caseload data'!L:L),"")</f>
        <v/>
      </c>
      <c r="K82" s="167" t="str">
        <f>IFERROR(SUMIFS('caseload data'!M:M,'caseload data'!$C:$C,'divisional &amp; regional caseload%'!$B$78,'caseload data'!$D:$D,"TPO")/SUMIF('caseload data'!$C:$C,'divisional &amp; regional caseload%'!$B$78,'caseload data'!M:M),"")</f>
        <v/>
      </c>
      <c r="L82" s="167" t="str">
        <f>IFERROR(SUMIFS('caseload data'!N:N,'caseload data'!$C:$C,'divisional &amp; regional caseload%'!$B$78,'caseload data'!$D:$D,"TPO")/SUMIF('caseload data'!$C:$C,'divisional &amp; regional caseload%'!$B$78,'caseload data'!N:N),"")</f>
        <v/>
      </c>
      <c r="M82" s="167" t="str">
        <f>IFERROR(SUMIFS('caseload data'!O:O,'caseload data'!$C:$C,'divisional &amp; regional caseload%'!$B$78,'caseload data'!$D:$D,"TPO")/SUMIF('caseload data'!$C:$C,'divisional &amp; regional caseload%'!$B$78,'caseload data'!O:O),"")</f>
        <v/>
      </c>
      <c r="N82" s="167" t="str">
        <f>IFERROR(SUMIFS('caseload data'!P:P,'caseload data'!$C:$C,'divisional &amp; regional caseload%'!$B$78,'caseload data'!$D:$D,"TPO")/SUMIF('caseload data'!$C:$C,'divisional &amp; regional caseload%'!$B$78,'caseload data'!P:P),"")</f>
        <v/>
      </c>
      <c r="O82" s="167" t="str">
        <f>IFERROR(SUMIFS('caseload data'!Q:Q,'caseload data'!$C:$C,'divisional &amp; regional caseload%'!$B$78,'caseload data'!$D:$D,"TPO")/SUMIF('caseload data'!$C:$C,'divisional &amp; regional caseload%'!$B$78,'caseload data'!Q:Q),"")</f>
        <v/>
      </c>
      <c r="P82" s="167" t="str">
        <f>IFERROR(SUMIFS('caseload data'!R:R,'caseload data'!$C:$C,'divisional &amp; regional caseload%'!$B$78,'caseload data'!$D:$D,"TPO")/SUMIF('caseload data'!$C:$C,'divisional &amp; regional caseload%'!$B$78,'caseload data'!R:R),"")</f>
        <v/>
      </c>
      <c r="Q82" s="167" t="str">
        <f>IFERROR(SUMIFS('caseload data'!S:S,'caseload data'!$C:$C,'divisional &amp; regional caseload%'!$B$78,'caseload data'!$D:$D,"TPO")/SUMIF('caseload data'!$C:$C,'divisional &amp; regional caseload%'!$B$78,'caseload data'!S:S),"")</f>
        <v/>
      </c>
      <c r="R82" s="167" t="str">
        <f>IFERROR(SUMIFS('caseload data'!T:T,'caseload data'!$C:$C,'divisional &amp; regional caseload%'!$B$78,'caseload data'!$D:$D,"TPO")/SUMIF('caseload data'!$C:$C,'divisional &amp; regional caseload%'!$B$78,'caseload data'!T:T),"")</f>
        <v/>
      </c>
      <c r="T82" s="97" t="s">
        <v>1008</v>
      </c>
      <c r="U82" s="167" t="str">
        <f>IFERROR(SUMIFS('caseload data'!E:E,'caseload data'!$C:$C,'divisional &amp; regional caseload%'!$T$78,'caseload data'!$D:$D,"TPO")/SUMIF('caseload data'!$C:$C,'divisional &amp; regional caseload%'!$T$78,'caseload data'!E:E),"")</f>
        <v/>
      </c>
      <c r="V82" s="167" t="str">
        <f>IFERROR(SUMIFS('caseload data'!F:F,'caseload data'!$C:$C,'divisional &amp; regional caseload%'!$T$78,'caseload data'!$D:$D,"TPO")/SUMIF('caseload data'!$C:$C,'divisional &amp; regional caseload%'!$T$78,'caseload data'!F:F),"")</f>
        <v/>
      </c>
      <c r="W82" s="167" t="str">
        <f>IFERROR(SUMIFS('caseload data'!G:G,'caseload data'!$C:$C,'divisional &amp; regional caseload%'!$T$78,'caseload data'!$D:$D,"TPO")/SUMIF('caseload data'!$C:$C,'divisional &amp; regional caseload%'!$T$78,'caseload data'!G:G),"")</f>
        <v/>
      </c>
      <c r="X82" s="167" t="str">
        <f>IFERROR(SUMIFS('caseload data'!H:H,'caseload data'!$C:$C,'divisional &amp; regional caseload%'!$T$78,'caseload data'!$D:$D,"TPO")/SUMIF('caseload data'!$C:$C,'divisional &amp; regional caseload%'!$T$78,'caseload data'!H:H),"")</f>
        <v/>
      </c>
      <c r="Y82" s="167" t="str">
        <f>IFERROR(SUMIFS('caseload data'!I:I,'caseload data'!$C:$C,'divisional &amp; regional caseload%'!$T$78,'caseload data'!$D:$D,"TPO")/SUMIF('caseload data'!$C:$C,'divisional &amp; regional caseload%'!$T$78,'caseload data'!I:I),"")</f>
        <v/>
      </c>
      <c r="Z82" s="167" t="str">
        <f>IFERROR(SUMIFS('caseload data'!J:J,'caseload data'!$C:$C,'divisional &amp; regional caseload%'!$T$78,'caseload data'!$D:$D,"TPO")/SUMIF('caseload data'!$C:$C,'divisional &amp; regional caseload%'!$T$78,'caseload data'!J:J),"")</f>
        <v/>
      </c>
      <c r="AA82" s="167" t="str">
        <f>IFERROR(SUMIFS('caseload data'!K:K,'caseload data'!$C:$C,'divisional &amp; regional caseload%'!$T$78,'caseload data'!$D:$D,"TPO")/SUMIF('caseload data'!$C:$C,'divisional &amp; regional caseload%'!$T$78,'caseload data'!K:K),"")</f>
        <v/>
      </c>
      <c r="AB82" s="167" t="str">
        <f>IFERROR(SUMIFS('caseload data'!L:L,'caseload data'!$C:$C,'divisional &amp; regional caseload%'!$T$78,'caseload data'!$D:$D,"TPO")/SUMIF('caseload data'!$C:$C,'divisional &amp; regional caseload%'!$T$78,'caseload data'!L:L),"")</f>
        <v/>
      </c>
      <c r="AC82" s="167" t="str">
        <f>IFERROR(SUMIFS('caseload data'!M:M,'caseload data'!$C:$C,'divisional &amp; regional caseload%'!$T$78,'caseload data'!$D:$D,"TPO")/SUMIF('caseload data'!$C:$C,'divisional &amp; regional caseload%'!$T$78,'caseload data'!M:M),"")</f>
        <v/>
      </c>
      <c r="AD82" s="167" t="str">
        <f>IFERROR(SUMIFS('caseload data'!N:N,'caseload data'!$C:$C,'divisional &amp; regional caseload%'!$T$78,'caseload data'!$D:$D,"TPO")/SUMIF('caseload data'!$C:$C,'divisional &amp; regional caseload%'!$T$78,'caseload data'!N:N),"")</f>
        <v/>
      </c>
      <c r="AE82" s="167" t="str">
        <f>IFERROR(SUMIFS('caseload data'!O:O,'caseload data'!$C:$C,'divisional &amp; regional caseload%'!$T$78,'caseload data'!$D:$D,"TPO")/SUMIF('caseload data'!$C:$C,'divisional &amp; regional caseload%'!$T$78,'caseload data'!O:O),"")</f>
        <v/>
      </c>
      <c r="AF82" s="167" t="str">
        <f>IFERROR(SUMIFS('caseload data'!P:P,'caseload data'!$C:$C,'divisional &amp; regional caseload%'!$T$78,'caseload data'!$D:$D,"TPO")/SUMIF('caseload data'!$C:$C,'divisional &amp; regional caseload%'!$T$78,'caseload data'!P:P),"")</f>
        <v/>
      </c>
      <c r="AG82" s="167" t="str">
        <f>IFERROR(SUMIFS('caseload data'!Q:Q,'caseload data'!$C:$C,'divisional &amp; regional caseload%'!$T$78,'caseload data'!$D:$D,"TPO")/SUMIF('caseload data'!$C:$C,'divisional &amp; regional caseload%'!$T$78,'caseload data'!Q:Q),"")</f>
        <v/>
      </c>
      <c r="AH82" s="167" t="str">
        <f>IFERROR(SUMIFS('caseload data'!R:R,'caseload data'!$C:$C,'divisional &amp; regional caseload%'!$T$78,'caseload data'!$D:$D,"TPO")/SUMIF('caseload data'!$C:$C,'divisional &amp; regional caseload%'!$T$78,'caseload data'!R:R),"")</f>
        <v/>
      </c>
      <c r="AI82" s="167" t="str">
        <f>IFERROR(SUMIFS('caseload data'!S:S,'caseload data'!$C:$C,'divisional &amp; regional caseload%'!$T$78,'caseload data'!$D:$D,"TPO")/SUMIF('caseload data'!$C:$C,'divisional &amp; regional caseload%'!$T$78,'caseload data'!S:S),"")</f>
        <v/>
      </c>
      <c r="AJ82" s="167" t="str">
        <f>IFERROR(SUMIFS('caseload data'!T:T,'caseload data'!$C:$C,'divisional &amp; regional caseload%'!$T$78,'caseload data'!$D:$D,"TPO")/SUMIF('caseload data'!$C:$C,'divisional &amp; regional caseload%'!$T$78,'caseload data'!T:T),"")</f>
        <v/>
      </c>
    </row>
    <row r="83" spans="2:36" x14ac:dyDescent="0.15">
      <c r="B83" s="98" t="s">
        <v>1009</v>
      </c>
      <c r="C83" s="167" t="str">
        <f>IFERROR(SUMIFS('caseload data'!E:E,'caseload data'!$C:$C,'divisional &amp; regional caseload%'!$B$78,'caseload data'!$D:$D,"SPO")/SUMIF('caseload data'!$C:$C,'divisional &amp; regional caseload%'!$B$78,'caseload data'!E:E),"")</f>
        <v/>
      </c>
      <c r="D83" s="167" t="str">
        <f>IFERROR(SUMIFS('caseload data'!F:F,'caseload data'!$C:$C,'divisional &amp; regional caseload%'!$B$78,'caseload data'!$D:$D,"SPO")/SUMIF('caseload data'!$C:$C,'divisional &amp; regional caseload%'!$B$78,'caseload data'!F:F),"")</f>
        <v/>
      </c>
      <c r="E83" s="167" t="str">
        <f>IFERROR(SUMIFS('caseload data'!G:G,'caseload data'!$C:$C,'divisional &amp; regional caseload%'!$B$78,'caseload data'!$D:$D,"SPO")/SUMIF('caseload data'!$C:$C,'divisional &amp; regional caseload%'!$B$78,'caseload data'!G:G),"")</f>
        <v/>
      </c>
      <c r="F83" s="167" t="str">
        <f>IFERROR(SUMIFS('caseload data'!H:H,'caseload data'!$C:$C,'divisional &amp; regional caseload%'!$B$78,'caseload data'!$D:$D,"SPO")/SUMIF('caseload data'!$C:$C,'divisional &amp; regional caseload%'!$B$78,'caseload data'!H:H),"")</f>
        <v/>
      </c>
      <c r="G83" s="167" t="str">
        <f>IFERROR(SUMIFS('caseload data'!I:I,'caseload data'!$C:$C,'divisional &amp; regional caseload%'!$B$78,'caseload data'!$D:$D,"SPO")/SUMIF('caseload data'!$C:$C,'divisional &amp; regional caseload%'!$B$78,'caseload data'!I:I),"")</f>
        <v/>
      </c>
      <c r="H83" s="167" t="str">
        <f>IFERROR(SUMIFS('caseload data'!J:J,'caseload data'!$C:$C,'divisional &amp; regional caseload%'!$B$78,'caseload data'!$D:$D,"SPO")/SUMIF('caseload data'!$C:$C,'divisional &amp; regional caseload%'!$B$78,'caseload data'!J:J),"")</f>
        <v/>
      </c>
      <c r="I83" s="167" t="str">
        <f>IFERROR(SUMIFS('caseload data'!K:K,'caseload data'!$C:$C,'divisional &amp; regional caseload%'!$B$78,'caseload data'!$D:$D,"SPO")/SUMIF('caseload data'!$C:$C,'divisional &amp; regional caseload%'!$B$78,'caseload data'!K:K),"")</f>
        <v/>
      </c>
      <c r="J83" s="167" t="str">
        <f>IFERROR(SUMIFS('caseload data'!L:L,'caseload data'!$C:$C,'divisional &amp; regional caseload%'!$B$78,'caseload data'!$D:$D,"SPO")/SUMIF('caseload data'!$C:$C,'divisional &amp; regional caseload%'!$B$78,'caseload data'!L:L),"")</f>
        <v/>
      </c>
      <c r="K83" s="167" t="str">
        <f>IFERROR(SUMIFS('caseload data'!M:M,'caseload data'!$C:$C,'divisional &amp; regional caseload%'!$B$78,'caseload data'!$D:$D,"SPO")/SUMIF('caseload data'!$C:$C,'divisional &amp; regional caseload%'!$B$78,'caseload data'!M:M),"")</f>
        <v/>
      </c>
      <c r="L83" s="167" t="str">
        <f>IFERROR(SUMIFS('caseload data'!N:N,'caseload data'!$C:$C,'divisional &amp; regional caseload%'!$B$78,'caseload data'!$D:$D,"SPO")/SUMIF('caseload data'!$C:$C,'divisional &amp; regional caseload%'!$B$78,'caseload data'!N:N),"")</f>
        <v/>
      </c>
      <c r="M83" s="167" t="str">
        <f>IFERROR(SUMIFS('caseload data'!O:O,'caseload data'!$C:$C,'divisional &amp; regional caseload%'!$B$78,'caseload data'!$D:$D,"SPO")/SUMIF('caseload data'!$C:$C,'divisional &amp; regional caseload%'!$B$78,'caseload data'!O:O),"")</f>
        <v/>
      </c>
      <c r="N83" s="167" t="str">
        <f>IFERROR(SUMIFS('caseload data'!P:P,'caseload data'!$C:$C,'divisional &amp; regional caseload%'!$B$78,'caseload data'!$D:$D,"SPO")/SUMIF('caseload data'!$C:$C,'divisional &amp; regional caseload%'!$B$78,'caseload data'!P:P),"")</f>
        <v/>
      </c>
      <c r="O83" s="167" t="str">
        <f>IFERROR(SUMIFS('caseload data'!Q:Q,'caseload data'!$C:$C,'divisional &amp; regional caseload%'!$B$78,'caseload data'!$D:$D,"SPO")/SUMIF('caseload data'!$C:$C,'divisional &amp; regional caseload%'!$B$78,'caseload data'!Q:Q),"")</f>
        <v/>
      </c>
      <c r="P83" s="167" t="str">
        <f>IFERROR(SUMIFS('caseload data'!R:R,'caseload data'!$C:$C,'divisional &amp; regional caseload%'!$B$78,'caseload data'!$D:$D,"SPO")/SUMIF('caseload data'!$C:$C,'divisional &amp; regional caseload%'!$B$78,'caseload data'!R:R),"")</f>
        <v/>
      </c>
      <c r="Q83" s="167" t="str">
        <f>IFERROR(SUMIFS('caseload data'!S:S,'caseload data'!$C:$C,'divisional &amp; regional caseload%'!$B$78,'caseload data'!$D:$D,"SPO")/SUMIF('caseload data'!$C:$C,'divisional &amp; regional caseload%'!$B$78,'caseload data'!S:S),"")</f>
        <v/>
      </c>
      <c r="R83" s="167" t="str">
        <f>IFERROR(SUMIFS('caseload data'!T:T,'caseload data'!$C:$C,'divisional &amp; regional caseload%'!$B$78,'caseload data'!$D:$D,"SPO")/SUMIF('caseload data'!$C:$C,'divisional &amp; regional caseload%'!$B$78,'caseload data'!T:T),"")</f>
        <v/>
      </c>
      <c r="T83" s="98" t="s">
        <v>1009</v>
      </c>
      <c r="U83" s="167" t="str">
        <f>IFERROR(SUMIFS('caseload data'!E:E,'caseload data'!$C:$C,'divisional &amp; regional caseload%'!$T$78,'caseload data'!$D:$D,"SPO")/SUMIF('caseload data'!$C:$C,'divisional &amp; regional caseload%'!$T$78,'caseload data'!E:E),"")</f>
        <v/>
      </c>
      <c r="V83" s="167" t="str">
        <f>IFERROR(SUMIFS('caseload data'!F:F,'caseload data'!$C:$C,'divisional &amp; regional caseload%'!$T$78,'caseload data'!$D:$D,"SPO")/SUMIF('caseload data'!$C:$C,'divisional &amp; regional caseload%'!$T$78,'caseload data'!F:F),"")</f>
        <v/>
      </c>
      <c r="W83" s="167" t="str">
        <f>IFERROR(SUMIFS('caseload data'!G:G,'caseload data'!$C:$C,'divisional &amp; regional caseload%'!$T$78,'caseload data'!$D:$D,"SPO")/SUMIF('caseload data'!$C:$C,'divisional &amp; regional caseload%'!$T$78,'caseload data'!G:G),"")</f>
        <v/>
      </c>
      <c r="X83" s="167" t="str">
        <f>IFERROR(SUMIFS('caseload data'!H:H,'caseload data'!$C:$C,'divisional &amp; regional caseload%'!$T$78,'caseload data'!$D:$D,"SPO")/SUMIF('caseload data'!$C:$C,'divisional &amp; regional caseload%'!$T$78,'caseload data'!H:H),"")</f>
        <v/>
      </c>
      <c r="Y83" s="167" t="str">
        <f>IFERROR(SUMIFS('caseload data'!I:I,'caseload data'!$C:$C,'divisional &amp; regional caseload%'!$T$78,'caseload data'!$D:$D,"SPO")/SUMIF('caseload data'!$C:$C,'divisional &amp; regional caseload%'!$T$78,'caseload data'!I:I),"")</f>
        <v/>
      </c>
      <c r="Z83" s="167" t="str">
        <f>IFERROR(SUMIFS('caseload data'!J:J,'caseload data'!$C:$C,'divisional &amp; regional caseload%'!$T$78,'caseload data'!$D:$D,"SPO")/SUMIF('caseload data'!$C:$C,'divisional &amp; regional caseload%'!$T$78,'caseload data'!J:J),"")</f>
        <v/>
      </c>
      <c r="AA83" s="167" t="str">
        <f>IFERROR(SUMIFS('caseload data'!K:K,'caseload data'!$C:$C,'divisional &amp; regional caseload%'!$T$78,'caseload data'!$D:$D,"SPO")/SUMIF('caseload data'!$C:$C,'divisional &amp; regional caseload%'!$T$78,'caseload data'!K:K),"")</f>
        <v/>
      </c>
      <c r="AB83" s="167" t="str">
        <f>IFERROR(SUMIFS('caseload data'!L:L,'caseload data'!$C:$C,'divisional &amp; regional caseload%'!$T$78,'caseload data'!$D:$D,"SPO")/SUMIF('caseload data'!$C:$C,'divisional &amp; regional caseload%'!$T$78,'caseload data'!L:L),"")</f>
        <v/>
      </c>
      <c r="AC83" s="167" t="str">
        <f>IFERROR(SUMIFS('caseload data'!M:M,'caseload data'!$C:$C,'divisional &amp; regional caseload%'!$T$78,'caseload data'!$D:$D,"SPO")/SUMIF('caseload data'!$C:$C,'divisional &amp; regional caseload%'!$T$78,'caseload data'!M:M),"")</f>
        <v/>
      </c>
      <c r="AD83" s="167" t="str">
        <f>IFERROR(SUMIFS('caseload data'!N:N,'caseload data'!$C:$C,'divisional &amp; regional caseload%'!$T$78,'caseload data'!$D:$D,"SPO")/SUMIF('caseload data'!$C:$C,'divisional &amp; regional caseload%'!$T$78,'caseload data'!N:N),"")</f>
        <v/>
      </c>
      <c r="AE83" s="167" t="str">
        <f>IFERROR(SUMIFS('caseload data'!O:O,'caseload data'!$C:$C,'divisional &amp; regional caseload%'!$T$78,'caseload data'!$D:$D,"SPO")/SUMIF('caseload data'!$C:$C,'divisional &amp; regional caseload%'!$T$78,'caseload data'!O:O),"")</f>
        <v/>
      </c>
      <c r="AF83" s="167" t="str">
        <f>IFERROR(SUMIFS('caseload data'!P:P,'caseload data'!$C:$C,'divisional &amp; regional caseload%'!$T$78,'caseload data'!$D:$D,"SPO")/SUMIF('caseload data'!$C:$C,'divisional &amp; regional caseload%'!$T$78,'caseload data'!P:P),"")</f>
        <v/>
      </c>
      <c r="AG83" s="167" t="str">
        <f>IFERROR(SUMIFS('caseload data'!Q:Q,'caseload data'!$C:$C,'divisional &amp; regional caseload%'!$T$78,'caseload data'!$D:$D,"SPO")/SUMIF('caseload data'!$C:$C,'divisional &amp; regional caseload%'!$T$78,'caseload data'!Q:Q),"")</f>
        <v/>
      </c>
      <c r="AH83" s="167" t="str">
        <f>IFERROR(SUMIFS('caseload data'!R:R,'caseload data'!$C:$C,'divisional &amp; regional caseload%'!$T$78,'caseload data'!$D:$D,"SPO")/SUMIF('caseload data'!$C:$C,'divisional &amp; regional caseload%'!$T$78,'caseload data'!R:R),"")</f>
        <v/>
      </c>
      <c r="AI83" s="167" t="str">
        <f>IFERROR(SUMIFS('caseload data'!S:S,'caseload data'!$C:$C,'divisional &amp; regional caseload%'!$T$78,'caseload data'!$D:$D,"SPO")/SUMIF('caseload data'!$C:$C,'divisional &amp; regional caseload%'!$T$78,'caseload data'!S:S),"")</f>
        <v/>
      </c>
      <c r="AJ83" s="167" t="str">
        <f>IFERROR(SUMIFS('caseload data'!T:T,'caseload data'!$C:$C,'divisional &amp; regional caseload%'!$T$78,'caseload data'!$D:$D,"SPO")/SUMIF('caseload data'!$C:$C,'divisional &amp; regional caseload%'!$T$78,'caseload data'!T:T),"")</f>
        <v/>
      </c>
    </row>
    <row r="85" spans="2:36" ht="30" customHeight="1" x14ac:dyDescent="0.15">
      <c r="B85" s="289">
        <f>HLOOKUP($B$5,Region_Table,24,0)</f>
        <v>0</v>
      </c>
      <c r="C85" s="523" t="s">
        <v>1101</v>
      </c>
      <c r="D85" s="524"/>
      <c r="E85" s="524"/>
      <c r="F85" s="524"/>
      <c r="G85" s="524"/>
      <c r="H85" s="524"/>
      <c r="I85" s="524"/>
      <c r="J85" s="524"/>
      <c r="K85" s="524"/>
      <c r="L85" s="524"/>
      <c r="M85" s="525"/>
      <c r="N85" s="525"/>
      <c r="O85" s="526"/>
      <c r="P85" s="510">
        <f>SUMIF('caseload data'!$C:$C,'divisional &amp; regional caseload%'!B85,'caseload data'!V:V)</f>
        <v>0</v>
      </c>
      <c r="Q85" s="527"/>
      <c r="R85" s="528"/>
      <c r="T85" s="289">
        <f>HLOOKUP($B$5,Region_Table,25,0)</f>
        <v>0</v>
      </c>
      <c r="U85" s="523" t="s">
        <v>1101</v>
      </c>
      <c r="V85" s="524"/>
      <c r="W85" s="524"/>
      <c r="X85" s="524"/>
      <c r="Y85" s="524"/>
      <c r="Z85" s="524"/>
      <c r="AA85" s="524"/>
      <c r="AB85" s="524"/>
      <c r="AC85" s="524"/>
      <c r="AD85" s="524"/>
      <c r="AE85" s="525"/>
      <c r="AF85" s="525"/>
      <c r="AG85" s="526"/>
      <c r="AH85" s="510">
        <f>SUMIF('caseload data'!$C:$C,'divisional &amp; regional caseload%'!T85,'caseload data'!V:V)</f>
        <v>0</v>
      </c>
      <c r="AI85" s="527"/>
      <c r="AJ85" s="528"/>
    </row>
    <row r="86" spans="2:36" x14ac:dyDescent="0.15">
      <c r="B86" s="95" t="s">
        <v>1006</v>
      </c>
      <c r="C86" s="38" t="s">
        <v>869</v>
      </c>
      <c r="D86" s="38" t="s">
        <v>870</v>
      </c>
      <c r="E86" s="38" t="s">
        <v>871</v>
      </c>
      <c r="F86" s="38" t="s">
        <v>872</v>
      </c>
      <c r="G86" s="38" t="s">
        <v>873</v>
      </c>
      <c r="H86" s="38" t="s">
        <v>874</v>
      </c>
      <c r="I86" s="38" t="s">
        <v>875</v>
      </c>
      <c r="J86" s="38" t="s">
        <v>876</v>
      </c>
      <c r="K86" s="38" t="s">
        <v>877</v>
      </c>
      <c r="L86" s="38" t="s">
        <v>878</v>
      </c>
      <c r="M86" s="38" t="s">
        <v>879</v>
      </c>
      <c r="N86" s="38" t="s">
        <v>880</v>
      </c>
      <c r="O86" s="38" t="s">
        <v>881</v>
      </c>
      <c r="P86" s="38" t="s">
        <v>882</v>
      </c>
      <c r="Q86" s="38" t="s">
        <v>883</v>
      </c>
      <c r="R86" s="38" t="s">
        <v>884</v>
      </c>
      <c r="T86" s="95" t="s">
        <v>1006</v>
      </c>
      <c r="U86" s="38" t="s">
        <v>869</v>
      </c>
      <c r="V86" s="38" t="s">
        <v>870</v>
      </c>
      <c r="W86" s="38" t="s">
        <v>871</v>
      </c>
      <c r="X86" s="38" t="s">
        <v>872</v>
      </c>
      <c r="Y86" s="38" t="s">
        <v>873</v>
      </c>
      <c r="Z86" s="38" t="s">
        <v>874</v>
      </c>
      <c r="AA86" s="38" t="s">
        <v>875</v>
      </c>
      <c r="AB86" s="38" t="s">
        <v>876</v>
      </c>
      <c r="AC86" s="38" t="s">
        <v>877</v>
      </c>
      <c r="AD86" s="38" t="s">
        <v>878</v>
      </c>
      <c r="AE86" s="38" t="s">
        <v>879</v>
      </c>
      <c r="AF86" s="38" t="s">
        <v>880</v>
      </c>
      <c r="AG86" s="38" t="s">
        <v>881</v>
      </c>
      <c r="AH86" s="38" t="s">
        <v>882</v>
      </c>
      <c r="AI86" s="38" t="s">
        <v>883</v>
      </c>
      <c r="AJ86" s="38" t="s">
        <v>884</v>
      </c>
    </row>
    <row r="87" spans="2:36" x14ac:dyDescent="0.15">
      <c r="B87" s="96" t="s">
        <v>1002</v>
      </c>
      <c r="C87" s="167" t="str">
        <f>IFERROR(SUMIFS('caseload data'!E:E,'caseload data'!$C:$C,'divisional &amp; regional caseload%'!$B$85,'caseload data'!$D:$D,"PO")/SUMIF('caseload data'!$C:$C,'divisional &amp; regional caseload%'!$B$85,'caseload data'!E:E),"")</f>
        <v/>
      </c>
      <c r="D87" s="167" t="str">
        <f>IFERROR(SUMIFS('caseload data'!F:F,'caseload data'!$C:$C,'divisional &amp; regional caseload%'!$B$85,'caseload data'!$D:$D,"PO")/SUMIF('caseload data'!$C:$C,'divisional &amp; regional caseload%'!$B$85,'caseload data'!F:F),"")</f>
        <v/>
      </c>
      <c r="E87" s="167" t="str">
        <f>IFERROR(SUMIFS('caseload data'!G:G,'caseload data'!$C:$C,'divisional &amp; regional caseload%'!$B$85,'caseload data'!$D:$D,"PO")/SUMIF('caseload data'!$C:$C,'divisional &amp; regional caseload%'!$B$85,'caseload data'!G:G),"")</f>
        <v/>
      </c>
      <c r="F87" s="167" t="str">
        <f>IFERROR(SUMIFS('caseload data'!H:H,'caseload data'!$C:$C,'divisional &amp; regional caseload%'!$B$85,'caseload data'!$D:$D,"PO")/SUMIF('caseload data'!$C:$C,'divisional &amp; regional caseload%'!$B$85,'caseload data'!H:H),"")</f>
        <v/>
      </c>
      <c r="G87" s="167" t="str">
        <f>IFERROR(SUMIFS('caseload data'!I:I,'caseload data'!$C:$C,'divisional &amp; regional caseload%'!$B$85,'caseload data'!$D:$D,"PO")/SUMIF('caseload data'!$C:$C,'divisional &amp; regional caseload%'!$B$85,'caseload data'!I:I),"")</f>
        <v/>
      </c>
      <c r="H87" s="167" t="str">
        <f>IFERROR(SUMIFS('caseload data'!J:J,'caseload data'!$C:$C,'divisional &amp; regional caseload%'!$B$85,'caseload data'!$D:$D,"PO")/SUMIF('caseload data'!$C:$C,'divisional &amp; regional caseload%'!$B$85,'caseload data'!J:J),"")</f>
        <v/>
      </c>
      <c r="I87" s="167" t="str">
        <f>IFERROR(SUMIFS('caseload data'!K:K,'caseload data'!$C:$C,'divisional &amp; regional caseload%'!$B$85,'caseload data'!$D:$D,"PO")/SUMIF('caseload data'!$C:$C,'divisional &amp; regional caseload%'!$B$85,'caseload data'!K:K),"")</f>
        <v/>
      </c>
      <c r="J87" s="167" t="str">
        <f>IFERROR(SUMIFS('caseload data'!L:L,'caseload data'!$C:$C,'divisional &amp; regional caseload%'!$B$85,'caseload data'!$D:$D,"PO")/SUMIF('caseload data'!$C:$C,'divisional &amp; regional caseload%'!$B$85,'caseload data'!L:L),"")</f>
        <v/>
      </c>
      <c r="K87" s="167" t="str">
        <f>IFERROR(SUMIFS('caseload data'!M:M,'caseload data'!$C:$C,'divisional &amp; regional caseload%'!$B$85,'caseload data'!$D:$D,"PO")/SUMIF('caseload data'!$C:$C,'divisional &amp; regional caseload%'!$B$85,'caseload data'!M:M),"")</f>
        <v/>
      </c>
      <c r="L87" s="167" t="str">
        <f>IFERROR(SUMIFS('caseload data'!N:N,'caseload data'!$C:$C,'divisional &amp; regional caseload%'!$B$85,'caseload data'!$D:$D,"PO")/SUMIF('caseload data'!$C:$C,'divisional &amp; regional caseload%'!$B$85,'caseload data'!N:N),"")</f>
        <v/>
      </c>
      <c r="M87" s="167" t="str">
        <f>IFERROR(SUMIFS('caseload data'!O:O,'caseload data'!$C:$C,'divisional &amp; regional caseload%'!$B$85,'caseload data'!$D:$D,"PO")/SUMIF('caseload data'!$C:$C,'divisional &amp; regional caseload%'!$B$85,'caseload data'!O:O),"")</f>
        <v/>
      </c>
      <c r="N87" s="167" t="str">
        <f>IFERROR(SUMIFS('caseload data'!P:P,'caseload data'!$C:$C,'divisional &amp; regional caseload%'!$B$85,'caseload data'!$D:$D,"PO")/SUMIF('caseload data'!$C:$C,'divisional &amp; regional caseload%'!$B$85,'caseload data'!P:P),"")</f>
        <v/>
      </c>
      <c r="O87" s="167" t="str">
        <f>IFERROR(SUMIFS('caseload data'!Q:Q,'caseload data'!$C:$C,'divisional &amp; regional caseload%'!$B$85,'caseload data'!$D:$D,"PO")/SUMIF('caseload data'!$C:$C,'divisional &amp; regional caseload%'!$B$85,'caseload data'!Q:Q),"")</f>
        <v/>
      </c>
      <c r="P87" s="167" t="str">
        <f>IFERROR(SUMIFS('caseload data'!R:R,'caseload data'!$C:$C,'divisional &amp; regional caseload%'!$B$85,'caseload data'!$D:$D,"PO")/SUMIF('caseload data'!$C:$C,'divisional &amp; regional caseload%'!$B$85,'caseload data'!R:R),"")</f>
        <v/>
      </c>
      <c r="Q87" s="167" t="str">
        <f>IFERROR(SUMIFS('caseload data'!S:S,'caseload data'!$C:$C,'divisional &amp; regional caseload%'!$B$85,'caseload data'!$D:$D,"PO")/SUMIF('caseload data'!$C:$C,'divisional &amp; regional caseload%'!$B$85,'caseload data'!S:S),"")</f>
        <v/>
      </c>
      <c r="R87" s="167" t="str">
        <f>IFERROR(SUMIFS('caseload data'!T:T,'caseload data'!$C:$C,'divisional &amp; regional caseload%'!$B$85,'caseload data'!$D:$D,"PO")/SUMIF('caseload data'!$C:$C,'divisional &amp; regional caseload%'!$B$85,'caseload data'!T:T),"")</f>
        <v/>
      </c>
      <c r="T87" s="96" t="s">
        <v>1002</v>
      </c>
      <c r="U87" s="167" t="str">
        <f>IFERROR(SUMIFS('caseload data'!E:E,'caseload data'!$C:$C,'divisional &amp; regional caseload%'!$T$85,'caseload data'!$D:$D,"PO")/SUMIF('caseload data'!$C:$C,'divisional &amp; regional caseload%'!$T$85,'caseload data'!E:E),"")</f>
        <v/>
      </c>
      <c r="V87" s="167" t="str">
        <f>IFERROR(SUMIFS('caseload data'!F:F,'caseload data'!$C:$C,'divisional &amp; regional caseload%'!$T$85,'caseload data'!$D:$D,"PO")/SUMIF('caseload data'!$C:$C,'divisional &amp; regional caseload%'!$T$85,'caseload data'!F:F),"")</f>
        <v/>
      </c>
      <c r="W87" s="167" t="str">
        <f>IFERROR(SUMIFS('caseload data'!G:G,'caseload data'!$C:$C,'divisional &amp; regional caseload%'!$T$85,'caseload data'!$D:$D,"PO")/SUMIF('caseload data'!$C:$C,'divisional &amp; regional caseload%'!$T$85,'caseload data'!G:G),"")</f>
        <v/>
      </c>
      <c r="X87" s="167" t="str">
        <f>IFERROR(SUMIFS('caseload data'!H:H,'caseload data'!$C:$C,'divisional &amp; regional caseload%'!$T$85,'caseload data'!$D:$D,"PO")/SUMIF('caseload data'!$C:$C,'divisional &amp; regional caseload%'!$T$85,'caseload data'!H:H),"")</f>
        <v/>
      </c>
      <c r="Y87" s="167" t="str">
        <f>IFERROR(SUMIFS('caseload data'!I:I,'caseload data'!$C:$C,'divisional &amp; regional caseload%'!$T$85,'caseload data'!$D:$D,"PO")/SUMIF('caseload data'!$C:$C,'divisional &amp; regional caseload%'!$T$85,'caseload data'!I:I),"")</f>
        <v/>
      </c>
      <c r="Z87" s="167" t="str">
        <f>IFERROR(SUMIFS('caseload data'!J:J,'caseload data'!$C:$C,'divisional &amp; regional caseload%'!$T$85,'caseload data'!$D:$D,"PO")/SUMIF('caseload data'!$C:$C,'divisional &amp; regional caseload%'!$T$85,'caseload data'!J:J),"")</f>
        <v/>
      </c>
      <c r="AA87" s="167" t="str">
        <f>IFERROR(SUMIFS('caseload data'!K:K,'caseload data'!$C:$C,'divisional &amp; regional caseload%'!$T$85,'caseload data'!$D:$D,"PO")/SUMIF('caseload data'!$C:$C,'divisional &amp; regional caseload%'!$T$85,'caseload data'!K:K),"")</f>
        <v/>
      </c>
      <c r="AB87" s="167" t="str">
        <f>IFERROR(SUMIFS('caseload data'!L:L,'caseload data'!$C:$C,'divisional &amp; regional caseload%'!$T$85,'caseload data'!$D:$D,"PO")/SUMIF('caseload data'!$C:$C,'divisional &amp; regional caseload%'!$T$85,'caseload data'!L:L),"")</f>
        <v/>
      </c>
      <c r="AC87" s="167" t="str">
        <f>IFERROR(SUMIFS('caseload data'!M:M,'caseload data'!$C:$C,'divisional &amp; regional caseload%'!$T$85,'caseload data'!$D:$D,"PO")/SUMIF('caseload data'!$C:$C,'divisional &amp; regional caseload%'!$T$85,'caseload data'!M:M),"")</f>
        <v/>
      </c>
      <c r="AD87" s="167" t="str">
        <f>IFERROR(SUMIFS('caseload data'!N:N,'caseload data'!$C:$C,'divisional &amp; regional caseload%'!$T$85,'caseload data'!$D:$D,"PO")/SUMIF('caseload data'!$C:$C,'divisional &amp; regional caseload%'!$T$85,'caseload data'!N:N),"")</f>
        <v/>
      </c>
      <c r="AE87" s="167" t="str">
        <f>IFERROR(SUMIFS('caseload data'!O:O,'caseload data'!$C:$C,'divisional &amp; regional caseload%'!$T$85,'caseload data'!$D:$D,"PO")/SUMIF('caseload data'!$C:$C,'divisional &amp; regional caseload%'!$T$85,'caseload data'!O:O),"")</f>
        <v/>
      </c>
      <c r="AF87" s="167" t="str">
        <f>IFERROR(SUMIFS('caseload data'!P:P,'caseload data'!$C:$C,'divisional &amp; regional caseload%'!$T$85,'caseload data'!$D:$D,"PO")/SUMIF('caseload data'!$C:$C,'divisional &amp; regional caseload%'!$T$85,'caseload data'!P:P),"")</f>
        <v/>
      </c>
      <c r="AG87" s="167" t="str">
        <f>IFERROR(SUMIFS('caseload data'!Q:Q,'caseload data'!$C:$C,'divisional &amp; regional caseload%'!$T$85,'caseload data'!$D:$D,"PO")/SUMIF('caseload data'!$C:$C,'divisional &amp; regional caseload%'!$T$85,'caseload data'!Q:Q),"")</f>
        <v/>
      </c>
      <c r="AH87" s="167" t="str">
        <f>IFERROR(SUMIFS('caseload data'!R:R,'caseload data'!$C:$C,'divisional &amp; regional caseload%'!$T$85,'caseload data'!$D:$D,"PO")/SUMIF('caseload data'!$C:$C,'divisional &amp; regional caseload%'!$T$85,'caseload data'!R:R),"")</f>
        <v/>
      </c>
      <c r="AI87" s="167" t="str">
        <f>IFERROR(SUMIFS('caseload data'!S:S,'caseload data'!$C:$C,'divisional &amp; regional caseload%'!$T$85,'caseload data'!$D:$D,"PO")/SUMIF('caseload data'!$C:$C,'divisional &amp; regional caseload%'!$T$85,'caseload data'!S:S),"")</f>
        <v/>
      </c>
      <c r="AJ87" s="167" t="str">
        <f>IFERROR(SUMIFS('caseload data'!T:T,'caseload data'!$C:$C,'divisional &amp; regional caseload%'!$T$85,'caseload data'!$D:$D,"PO")/SUMIF('caseload data'!$C:$C,'divisional &amp; regional caseload%'!$T$85,'caseload data'!T:T),"")</f>
        <v/>
      </c>
    </row>
    <row r="88" spans="2:36" x14ac:dyDescent="0.15">
      <c r="B88" s="97" t="s">
        <v>1007</v>
      </c>
      <c r="C88" s="167" t="str">
        <f>IFERROR(SUMIFS('caseload data'!E:E,'caseload data'!$C:$C,'divisional &amp; regional caseload%'!$B$85,'caseload data'!$D:$D,"PSO")/SUMIF('caseload data'!$C:$C,'divisional &amp; regional caseload%'!$B$85,'caseload data'!E:E),"")</f>
        <v/>
      </c>
      <c r="D88" s="167" t="str">
        <f>IFERROR(SUMIFS('caseload data'!F:F,'caseload data'!$C:$C,'divisional &amp; regional caseload%'!$B$85,'caseload data'!$D:$D,"PSO")/SUMIF('caseload data'!$C:$C,'divisional &amp; regional caseload%'!$B$85,'caseload data'!F:F),"")</f>
        <v/>
      </c>
      <c r="E88" s="167" t="str">
        <f>IFERROR(SUMIFS('caseload data'!G:G,'caseload data'!$C:$C,'divisional &amp; regional caseload%'!$B$85,'caseload data'!$D:$D,"PSO")/SUMIF('caseload data'!$C:$C,'divisional &amp; regional caseload%'!$B$85,'caseload data'!G:G),"")</f>
        <v/>
      </c>
      <c r="F88" s="167" t="str">
        <f>IFERROR(SUMIFS('caseload data'!H:H,'caseload data'!$C:$C,'divisional &amp; regional caseload%'!$B$85,'caseload data'!$D:$D,"PSO")/SUMIF('caseload data'!$C:$C,'divisional &amp; regional caseload%'!$B$85,'caseload data'!H:H),"")</f>
        <v/>
      </c>
      <c r="G88" s="167" t="str">
        <f>IFERROR(SUMIFS('caseload data'!I:I,'caseload data'!$C:$C,'divisional &amp; regional caseload%'!$B$85,'caseload data'!$D:$D,"PSO")/SUMIF('caseload data'!$C:$C,'divisional &amp; regional caseload%'!$B$85,'caseload data'!I:I),"")</f>
        <v/>
      </c>
      <c r="H88" s="167" t="str">
        <f>IFERROR(SUMIFS('caseload data'!J:J,'caseload data'!$C:$C,'divisional &amp; regional caseload%'!$B$85,'caseload data'!$D:$D,"PSO")/SUMIF('caseload data'!$C:$C,'divisional &amp; regional caseload%'!$B$85,'caseload data'!J:J),"")</f>
        <v/>
      </c>
      <c r="I88" s="167" t="str">
        <f>IFERROR(SUMIFS('caseload data'!K:K,'caseload data'!$C:$C,'divisional &amp; regional caseload%'!$B$85,'caseload data'!$D:$D,"PSO")/SUMIF('caseload data'!$C:$C,'divisional &amp; regional caseload%'!$B$85,'caseload data'!K:K),"")</f>
        <v/>
      </c>
      <c r="J88" s="167" t="str">
        <f>IFERROR(SUMIFS('caseload data'!L:L,'caseload data'!$C:$C,'divisional &amp; regional caseload%'!$B$85,'caseload data'!$D:$D,"PSO")/SUMIF('caseload data'!$C:$C,'divisional &amp; regional caseload%'!$B$85,'caseload data'!L:L),"")</f>
        <v/>
      </c>
      <c r="K88" s="167" t="str">
        <f>IFERROR(SUMIFS('caseload data'!M:M,'caseload data'!$C:$C,'divisional &amp; regional caseload%'!$B$85,'caseload data'!$D:$D,"PSO")/SUMIF('caseload data'!$C:$C,'divisional &amp; regional caseload%'!$B$85,'caseload data'!M:M),"")</f>
        <v/>
      </c>
      <c r="L88" s="167" t="str">
        <f>IFERROR(SUMIFS('caseload data'!N:N,'caseload data'!$C:$C,'divisional &amp; regional caseload%'!$B$85,'caseload data'!$D:$D,"PSO")/SUMIF('caseload data'!$C:$C,'divisional &amp; regional caseload%'!$B$85,'caseload data'!N:N),"")</f>
        <v/>
      </c>
      <c r="M88" s="167" t="str">
        <f>IFERROR(SUMIFS('caseload data'!O:O,'caseload data'!$C:$C,'divisional &amp; regional caseload%'!$B$85,'caseload data'!$D:$D,"PSO")/SUMIF('caseload data'!$C:$C,'divisional &amp; regional caseload%'!$B$85,'caseload data'!O:O),"")</f>
        <v/>
      </c>
      <c r="N88" s="167" t="str">
        <f>IFERROR(SUMIFS('caseload data'!P:P,'caseload data'!$C:$C,'divisional &amp; regional caseload%'!$B$85,'caseload data'!$D:$D,"PSO")/SUMIF('caseload data'!$C:$C,'divisional &amp; regional caseload%'!$B$85,'caseload data'!P:P),"")</f>
        <v/>
      </c>
      <c r="O88" s="167" t="str">
        <f>IFERROR(SUMIFS('caseload data'!Q:Q,'caseload data'!$C:$C,'divisional &amp; regional caseload%'!$B$85,'caseload data'!$D:$D,"PSO")/SUMIF('caseload data'!$C:$C,'divisional &amp; regional caseload%'!$B$85,'caseload data'!Q:Q),"")</f>
        <v/>
      </c>
      <c r="P88" s="167" t="str">
        <f>IFERROR(SUMIFS('caseload data'!R:R,'caseload data'!$C:$C,'divisional &amp; regional caseload%'!$B$85,'caseload data'!$D:$D,"PSO")/SUMIF('caseload data'!$C:$C,'divisional &amp; regional caseload%'!$B$85,'caseload data'!R:R),"")</f>
        <v/>
      </c>
      <c r="Q88" s="167" t="str">
        <f>IFERROR(SUMIFS('caseload data'!S:S,'caseload data'!$C:$C,'divisional &amp; regional caseload%'!$B$85,'caseload data'!$D:$D,"PSO")/SUMIF('caseload data'!$C:$C,'divisional &amp; regional caseload%'!$B$85,'caseload data'!S:S),"")</f>
        <v/>
      </c>
      <c r="R88" s="167" t="str">
        <f>IFERROR(SUMIFS('caseload data'!T:T,'caseload data'!$C:$C,'divisional &amp; regional caseload%'!$B$85,'caseload data'!$D:$D,"PSO")/SUMIF('caseload data'!$C:$C,'divisional &amp; regional caseload%'!$B$85,'caseload data'!T:T),"")</f>
        <v/>
      </c>
      <c r="T88" s="97" t="s">
        <v>1007</v>
      </c>
      <c r="U88" s="167" t="str">
        <f>IFERROR(SUMIFS('caseload data'!E:E,'caseload data'!$C:$C,'divisional &amp; regional caseload%'!$T$85,'caseload data'!$D:$D,"PSO")/SUMIF('caseload data'!$C:$C,'divisional &amp; regional caseload%'!$T$85,'caseload data'!E:E),"")</f>
        <v/>
      </c>
      <c r="V88" s="167" t="str">
        <f>IFERROR(SUMIFS('caseload data'!F:F,'caseload data'!$C:$C,'divisional &amp; regional caseload%'!$T$85,'caseload data'!$D:$D,"PSO")/SUMIF('caseload data'!$C:$C,'divisional &amp; regional caseload%'!$T$85,'caseload data'!F:F),"")</f>
        <v/>
      </c>
      <c r="W88" s="167" t="str">
        <f>IFERROR(SUMIFS('caseload data'!G:G,'caseload data'!$C:$C,'divisional &amp; regional caseload%'!$T$85,'caseload data'!$D:$D,"PSO")/SUMIF('caseload data'!$C:$C,'divisional &amp; regional caseload%'!$T$85,'caseload data'!G:G),"")</f>
        <v/>
      </c>
      <c r="X88" s="167" t="str">
        <f>IFERROR(SUMIFS('caseload data'!H:H,'caseload data'!$C:$C,'divisional &amp; regional caseload%'!$T$85,'caseload data'!$D:$D,"PSO")/SUMIF('caseload data'!$C:$C,'divisional &amp; regional caseload%'!$T$85,'caseload data'!H:H),"")</f>
        <v/>
      </c>
      <c r="Y88" s="167" t="str">
        <f>IFERROR(SUMIFS('caseload data'!I:I,'caseload data'!$C:$C,'divisional &amp; regional caseload%'!$T$85,'caseload data'!$D:$D,"PSO")/SUMIF('caseload data'!$C:$C,'divisional &amp; regional caseload%'!$T$85,'caseload data'!I:I),"")</f>
        <v/>
      </c>
      <c r="Z88" s="167" t="str">
        <f>IFERROR(SUMIFS('caseload data'!J:J,'caseload data'!$C:$C,'divisional &amp; regional caseload%'!$T$85,'caseload data'!$D:$D,"PSO")/SUMIF('caseload data'!$C:$C,'divisional &amp; regional caseload%'!$T$85,'caseload data'!J:J),"")</f>
        <v/>
      </c>
      <c r="AA88" s="167" t="str">
        <f>IFERROR(SUMIFS('caseload data'!K:K,'caseload data'!$C:$C,'divisional &amp; regional caseload%'!$T$85,'caseload data'!$D:$D,"PSO")/SUMIF('caseload data'!$C:$C,'divisional &amp; regional caseload%'!$T$85,'caseload data'!K:K),"")</f>
        <v/>
      </c>
      <c r="AB88" s="167" t="str">
        <f>IFERROR(SUMIFS('caseload data'!L:L,'caseload data'!$C:$C,'divisional &amp; regional caseload%'!$T$85,'caseload data'!$D:$D,"PSO")/SUMIF('caseload data'!$C:$C,'divisional &amp; regional caseload%'!$T$85,'caseload data'!L:L),"")</f>
        <v/>
      </c>
      <c r="AC88" s="167" t="str">
        <f>IFERROR(SUMIFS('caseload data'!M:M,'caseload data'!$C:$C,'divisional &amp; regional caseload%'!$T$85,'caseload data'!$D:$D,"PSO")/SUMIF('caseload data'!$C:$C,'divisional &amp; regional caseload%'!$T$85,'caseload data'!M:M),"")</f>
        <v/>
      </c>
      <c r="AD88" s="167" t="str">
        <f>IFERROR(SUMIFS('caseload data'!N:N,'caseload data'!$C:$C,'divisional &amp; regional caseload%'!$T$85,'caseload data'!$D:$D,"PSO")/SUMIF('caseload data'!$C:$C,'divisional &amp; regional caseload%'!$T$85,'caseload data'!N:N),"")</f>
        <v/>
      </c>
      <c r="AE88" s="167" t="str">
        <f>IFERROR(SUMIFS('caseload data'!O:O,'caseload data'!$C:$C,'divisional &amp; regional caseload%'!$T$85,'caseload data'!$D:$D,"PSO")/SUMIF('caseload data'!$C:$C,'divisional &amp; regional caseload%'!$T$85,'caseload data'!O:O),"")</f>
        <v/>
      </c>
      <c r="AF88" s="167" t="str">
        <f>IFERROR(SUMIFS('caseload data'!P:P,'caseload data'!$C:$C,'divisional &amp; regional caseload%'!$T$85,'caseload data'!$D:$D,"PSO")/SUMIF('caseload data'!$C:$C,'divisional &amp; regional caseload%'!$T$85,'caseload data'!P:P),"")</f>
        <v/>
      </c>
      <c r="AG88" s="167" t="str">
        <f>IFERROR(SUMIFS('caseload data'!Q:Q,'caseload data'!$C:$C,'divisional &amp; regional caseload%'!$T$85,'caseload data'!$D:$D,"PSO")/SUMIF('caseload data'!$C:$C,'divisional &amp; regional caseload%'!$T$85,'caseload data'!Q:Q),"")</f>
        <v/>
      </c>
      <c r="AH88" s="167" t="str">
        <f>IFERROR(SUMIFS('caseload data'!R:R,'caseload data'!$C:$C,'divisional &amp; regional caseload%'!$T$85,'caseload data'!$D:$D,"PSO")/SUMIF('caseload data'!$C:$C,'divisional &amp; regional caseload%'!$T$85,'caseload data'!R:R),"")</f>
        <v/>
      </c>
      <c r="AI88" s="167" t="str">
        <f>IFERROR(SUMIFS('caseload data'!S:S,'caseload data'!$C:$C,'divisional &amp; regional caseload%'!$T$85,'caseload data'!$D:$D,"PSO")/SUMIF('caseload data'!$C:$C,'divisional &amp; regional caseload%'!$T$85,'caseload data'!S:S),"")</f>
        <v/>
      </c>
      <c r="AJ88" s="167" t="str">
        <f>IFERROR(SUMIFS('caseload data'!T:T,'caseload data'!$C:$C,'divisional &amp; regional caseload%'!$T$85,'caseload data'!$D:$D,"PSO")/SUMIF('caseload data'!$C:$C,'divisional &amp; regional caseload%'!$T$85,'caseload data'!T:T),"")</f>
        <v/>
      </c>
    </row>
    <row r="89" spans="2:36" x14ac:dyDescent="0.15">
      <c r="B89" s="97" t="s">
        <v>1008</v>
      </c>
      <c r="C89" s="167" t="str">
        <f>IFERROR(SUMIFS('caseload data'!E:E,'caseload data'!$C:$C,'divisional &amp; regional caseload%'!$B$85,'caseload data'!$D:$D,"TPO")/SUMIF('caseload data'!$C:$C,'divisional &amp; regional caseload%'!$B$85,'caseload data'!E:E),"")</f>
        <v/>
      </c>
      <c r="D89" s="167" t="str">
        <f>IFERROR(SUMIFS('caseload data'!F:F,'caseload data'!$C:$C,'divisional &amp; regional caseload%'!$B$85,'caseload data'!$D:$D,"TPO")/SUMIF('caseload data'!$C:$C,'divisional &amp; regional caseload%'!$B$85,'caseload data'!F:F),"")</f>
        <v/>
      </c>
      <c r="E89" s="167" t="str">
        <f>IFERROR(SUMIFS('caseload data'!G:G,'caseload data'!$C:$C,'divisional &amp; regional caseload%'!$B$85,'caseload data'!$D:$D,"TPO")/SUMIF('caseload data'!$C:$C,'divisional &amp; regional caseload%'!$B$85,'caseload data'!G:G),"")</f>
        <v/>
      </c>
      <c r="F89" s="167" t="str">
        <f>IFERROR(SUMIFS('caseload data'!H:H,'caseload data'!$C:$C,'divisional &amp; regional caseload%'!$B$85,'caseload data'!$D:$D,"TPO")/SUMIF('caseload data'!$C:$C,'divisional &amp; regional caseload%'!$B$85,'caseload data'!H:H),"")</f>
        <v/>
      </c>
      <c r="G89" s="167" t="str">
        <f>IFERROR(SUMIFS('caseload data'!I:I,'caseload data'!$C:$C,'divisional &amp; regional caseload%'!$B$85,'caseload data'!$D:$D,"TPO")/SUMIF('caseload data'!$C:$C,'divisional &amp; regional caseload%'!$B$85,'caseload data'!I:I),"")</f>
        <v/>
      </c>
      <c r="H89" s="167" t="str">
        <f>IFERROR(SUMIFS('caseload data'!J:J,'caseload data'!$C:$C,'divisional &amp; regional caseload%'!$B$85,'caseload data'!$D:$D,"TPO")/SUMIF('caseload data'!$C:$C,'divisional &amp; regional caseload%'!$B$85,'caseload data'!J:J),"")</f>
        <v/>
      </c>
      <c r="I89" s="167" t="str">
        <f>IFERROR(SUMIFS('caseload data'!K:K,'caseload data'!$C:$C,'divisional &amp; regional caseload%'!$B$85,'caseload data'!$D:$D,"TPO")/SUMIF('caseload data'!$C:$C,'divisional &amp; regional caseload%'!$B$85,'caseload data'!K:K),"")</f>
        <v/>
      </c>
      <c r="J89" s="167" t="str">
        <f>IFERROR(SUMIFS('caseload data'!L:L,'caseload data'!$C:$C,'divisional &amp; regional caseload%'!$B$85,'caseload data'!$D:$D,"TPO")/SUMIF('caseload data'!$C:$C,'divisional &amp; regional caseload%'!$B$85,'caseload data'!L:L),"")</f>
        <v/>
      </c>
      <c r="K89" s="167" t="str">
        <f>IFERROR(SUMIFS('caseload data'!M:M,'caseload data'!$C:$C,'divisional &amp; regional caseload%'!$B$85,'caseload data'!$D:$D,"TPO")/SUMIF('caseload data'!$C:$C,'divisional &amp; regional caseload%'!$B$85,'caseload data'!M:M),"")</f>
        <v/>
      </c>
      <c r="L89" s="167" t="str">
        <f>IFERROR(SUMIFS('caseload data'!N:N,'caseload data'!$C:$C,'divisional &amp; regional caseload%'!$B$85,'caseload data'!$D:$D,"TPO")/SUMIF('caseload data'!$C:$C,'divisional &amp; regional caseload%'!$B$85,'caseload data'!N:N),"")</f>
        <v/>
      </c>
      <c r="M89" s="167" t="str">
        <f>IFERROR(SUMIFS('caseload data'!O:O,'caseload data'!$C:$C,'divisional &amp; regional caseload%'!$B$85,'caseload data'!$D:$D,"TPO")/SUMIF('caseload data'!$C:$C,'divisional &amp; regional caseload%'!$B$85,'caseload data'!O:O),"")</f>
        <v/>
      </c>
      <c r="N89" s="167" t="str">
        <f>IFERROR(SUMIFS('caseload data'!P:P,'caseload data'!$C:$C,'divisional &amp; regional caseload%'!$B$85,'caseload data'!$D:$D,"TPO")/SUMIF('caseload data'!$C:$C,'divisional &amp; regional caseload%'!$B$85,'caseload data'!P:P),"")</f>
        <v/>
      </c>
      <c r="O89" s="167" t="str">
        <f>IFERROR(SUMIFS('caseload data'!Q:Q,'caseload data'!$C:$C,'divisional &amp; regional caseload%'!$B$85,'caseload data'!$D:$D,"TPO")/SUMIF('caseload data'!$C:$C,'divisional &amp; regional caseload%'!$B$85,'caseload data'!Q:Q),"")</f>
        <v/>
      </c>
      <c r="P89" s="167" t="str">
        <f>IFERROR(SUMIFS('caseload data'!R:R,'caseload data'!$C:$C,'divisional &amp; regional caseload%'!$B$85,'caseload data'!$D:$D,"TPO")/SUMIF('caseload data'!$C:$C,'divisional &amp; regional caseload%'!$B$85,'caseload data'!R:R),"")</f>
        <v/>
      </c>
      <c r="Q89" s="167" t="str">
        <f>IFERROR(SUMIFS('caseload data'!S:S,'caseload data'!$C:$C,'divisional &amp; regional caseload%'!$B$85,'caseload data'!$D:$D,"TPO")/SUMIF('caseload data'!$C:$C,'divisional &amp; regional caseload%'!$B$85,'caseload data'!S:S),"")</f>
        <v/>
      </c>
      <c r="R89" s="167" t="str">
        <f>IFERROR(SUMIFS('caseload data'!T:T,'caseload data'!$C:$C,'divisional &amp; regional caseload%'!$B$85,'caseload data'!$D:$D,"TPO")/SUMIF('caseload data'!$C:$C,'divisional &amp; regional caseload%'!$B$85,'caseload data'!T:T),"")</f>
        <v/>
      </c>
      <c r="T89" s="97" t="s">
        <v>1008</v>
      </c>
      <c r="U89" s="167" t="str">
        <f>IFERROR(SUMIFS('caseload data'!E:E,'caseload data'!$C:$C,'divisional &amp; regional caseload%'!$T$85,'caseload data'!$D:$D,"TPO")/SUMIF('caseload data'!$C:$C,'divisional &amp; regional caseload%'!$T$85,'caseload data'!E:E),"")</f>
        <v/>
      </c>
      <c r="V89" s="167" t="str">
        <f>IFERROR(SUMIFS('caseload data'!F:F,'caseload data'!$C:$C,'divisional &amp; regional caseload%'!$T$85,'caseload data'!$D:$D,"TPO")/SUMIF('caseload data'!$C:$C,'divisional &amp; regional caseload%'!$T$85,'caseload data'!F:F),"")</f>
        <v/>
      </c>
      <c r="W89" s="167" t="str">
        <f>IFERROR(SUMIFS('caseload data'!G:G,'caseload data'!$C:$C,'divisional &amp; regional caseload%'!$T$85,'caseload data'!$D:$D,"TPO")/SUMIF('caseload data'!$C:$C,'divisional &amp; regional caseload%'!$T$85,'caseload data'!G:G),"")</f>
        <v/>
      </c>
      <c r="X89" s="167" t="str">
        <f>IFERROR(SUMIFS('caseload data'!H:H,'caseload data'!$C:$C,'divisional &amp; regional caseload%'!$T$85,'caseload data'!$D:$D,"TPO")/SUMIF('caseload data'!$C:$C,'divisional &amp; regional caseload%'!$T$85,'caseload data'!H:H),"")</f>
        <v/>
      </c>
      <c r="Y89" s="167" t="str">
        <f>IFERROR(SUMIFS('caseload data'!I:I,'caseload data'!$C:$C,'divisional &amp; regional caseload%'!$T$85,'caseload data'!$D:$D,"TPO")/SUMIF('caseload data'!$C:$C,'divisional &amp; regional caseload%'!$T$85,'caseload data'!I:I),"")</f>
        <v/>
      </c>
      <c r="Z89" s="167" t="str">
        <f>IFERROR(SUMIFS('caseload data'!J:J,'caseload data'!$C:$C,'divisional &amp; regional caseload%'!$T$85,'caseload data'!$D:$D,"TPO")/SUMIF('caseload data'!$C:$C,'divisional &amp; regional caseload%'!$T$85,'caseload data'!J:J),"")</f>
        <v/>
      </c>
      <c r="AA89" s="167" t="str">
        <f>IFERROR(SUMIFS('caseload data'!K:K,'caseload data'!$C:$C,'divisional &amp; regional caseload%'!$T$85,'caseload data'!$D:$D,"TPO")/SUMIF('caseload data'!$C:$C,'divisional &amp; regional caseload%'!$T$85,'caseload data'!K:K),"")</f>
        <v/>
      </c>
      <c r="AB89" s="167" t="str">
        <f>IFERROR(SUMIFS('caseload data'!L:L,'caseload data'!$C:$C,'divisional &amp; regional caseload%'!$T$85,'caseload data'!$D:$D,"TPO")/SUMIF('caseload data'!$C:$C,'divisional &amp; regional caseload%'!$T$85,'caseload data'!L:L),"")</f>
        <v/>
      </c>
      <c r="AC89" s="167" t="str">
        <f>IFERROR(SUMIFS('caseload data'!M:M,'caseload data'!$C:$C,'divisional &amp; regional caseload%'!$T$85,'caseload data'!$D:$D,"TPO")/SUMIF('caseload data'!$C:$C,'divisional &amp; regional caseload%'!$T$85,'caseload data'!M:M),"")</f>
        <v/>
      </c>
      <c r="AD89" s="167" t="str">
        <f>IFERROR(SUMIFS('caseload data'!N:N,'caseload data'!$C:$C,'divisional &amp; regional caseload%'!$T$85,'caseload data'!$D:$D,"TPO")/SUMIF('caseload data'!$C:$C,'divisional &amp; regional caseload%'!$T$85,'caseload data'!N:N),"")</f>
        <v/>
      </c>
      <c r="AE89" s="167" t="str">
        <f>IFERROR(SUMIFS('caseload data'!O:O,'caseload data'!$C:$C,'divisional &amp; regional caseload%'!$T$85,'caseload data'!$D:$D,"TPO")/SUMIF('caseload data'!$C:$C,'divisional &amp; regional caseload%'!$T$85,'caseload data'!O:O),"")</f>
        <v/>
      </c>
      <c r="AF89" s="167" t="str">
        <f>IFERROR(SUMIFS('caseload data'!P:P,'caseload data'!$C:$C,'divisional &amp; regional caseload%'!$T$85,'caseload data'!$D:$D,"TPO")/SUMIF('caseload data'!$C:$C,'divisional &amp; regional caseload%'!$T$85,'caseload data'!P:P),"")</f>
        <v/>
      </c>
      <c r="AG89" s="167" t="str">
        <f>IFERROR(SUMIFS('caseload data'!Q:Q,'caseload data'!$C:$C,'divisional &amp; regional caseload%'!$T$85,'caseload data'!$D:$D,"TPO")/SUMIF('caseload data'!$C:$C,'divisional &amp; regional caseload%'!$T$85,'caseload data'!Q:Q),"")</f>
        <v/>
      </c>
      <c r="AH89" s="167" t="str">
        <f>IFERROR(SUMIFS('caseload data'!R:R,'caseload data'!$C:$C,'divisional &amp; regional caseload%'!$T$85,'caseload data'!$D:$D,"TPO")/SUMIF('caseload data'!$C:$C,'divisional &amp; regional caseload%'!$T$85,'caseload data'!R:R),"")</f>
        <v/>
      </c>
      <c r="AI89" s="167" t="str">
        <f>IFERROR(SUMIFS('caseload data'!S:S,'caseload data'!$C:$C,'divisional &amp; regional caseload%'!$T$85,'caseload data'!$D:$D,"TPO")/SUMIF('caseload data'!$C:$C,'divisional &amp; regional caseload%'!$T$85,'caseload data'!S:S),"")</f>
        <v/>
      </c>
      <c r="AJ89" s="167" t="str">
        <f>IFERROR(SUMIFS('caseload data'!T:T,'caseload data'!$C:$C,'divisional &amp; regional caseload%'!$T$85,'caseload data'!$D:$D,"TPO")/SUMIF('caseload data'!$C:$C,'divisional &amp; regional caseload%'!$T$85,'caseload data'!T:T),"")</f>
        <v/>
      </c>
    </row>
    <row r="90" spans="2:36" x14ac:dyDescent="0.15">
      <c r="B90" s="98" t="s">
        <v>1009</v>
      </c>
      <c r="C90" s="167" t="str">
        <f>IFERROR(SUMIFS('caseload data'!E:E,'caseload data'!$C:$C,'divisional &amp; regional caseload%'!$B$85,'caseload data'!$D:$D,"SPO")/SUMIF('caseload data'!$C:$C,'divisional &amp; regional caseload%'!$B$85,'caseload data'!E:E),"")</f>
        <v/>
      </c>
      <c r="D90" s="167" t="str">
        <f>IFERROR(SUMIFS('caseload data'!F:F,'caseload data'!$C:$C,'divisional &amp; regional caseload%'!$B$85,'caseload data'!$D:$D,"SPO")/SUMIF('caseload data'!$C:$C,'divisional &amp; regional caseload%'!$B$85,'caseload data'!F:F),"")</f>
        <v/>
      </c>
      <c r="E90" s="167" t="str">
        <f>IFERROR(SUMIFS('caseload data'!G:G,'caseload data'!$C:$C,'divisional &amp; regional caseload%'!$B$85,'caseload data'!$D:$D,"SPO")/SUMIF('caseload data'!$C:$C,'divisional &amp; regional caseload%'!$B$85,'caseload data'!G:G),"")</f>
        <v/>
      </c>
      <c r="F90" s="167" t="str">
        <f>IFERROR(SUMIFS('caseload data'!H:H,'caseload data'!$C:$C,'divisional &amp; regional caseload%'!$B$85,'caseload data'!$D:$D,"SPO")/SUMIF('caseload data'!$C:$C,'divisional &amp; regional caseload%'!$B$85,'caseload data'!H:H),"")</f>
        <v/>
      </c>
      <c r="G90" s="167" t="str">
        <f>IFERROR(SUMIFS('caseload data'!I:I,'caseload data'!$C:$C,'divisional &amp; regional caseload%'!$B$85,'caseload data'!$D:$D,"SPO")/SUMIF('caseload data'!$C:$C,'divisional &amp; regional caseload%'!$B$85,'caseload data'!I:I),"")</f>
        <v/>
      </c>
      <c r="H90" s="167" t="str">
        <f>IFERROR(SUMIFS('caseload data'!J:J,'caseload data'!$C:$C,'divisional &amp; regional caseload%'!$B$85,'caseload data'!$D:$D,"SPO")/SUMIF('caseload data'!$C:$C,'divisional &amp; regional caseload%'!$B$85,'caseload data'!J:J),"")</f>
        <v/>
      </c>
      <c r="I90" s="167" t="str">
        <f>IFERROR(SUMIFS('caseload data'!K:K,'caseload data'!$C:$C,'divisional &amp; regional caseload%'!$B$85,'caseload data'!$D:$D,"SPO")/SUMIF('caseload data'!$C:$C,'divisional &amp; regional caseload%'!$B$85,'caseload data'!K:K),"")</f>
        <v/>
      </c>
      <c r="J90" s="167" t="str">
        <f>IFERROR(SUMIFS('caseload data'!L:L,'caseload data'!$C:$C,'divisional &amp; regional caseload%'!$B$85,'caseload data'!$D:$D,"SPO")/SUMIF('caseload data'!$C:$C,'divisional &amp; regional caseload%'!$B$85,'caseload data'!L:L),"")</f>
        <v/>
      </c>
      <c r="K90" s="167" t="str">
        <f>IFERROR(SUMIFS('caseload data'!M:M,'caseload data'!$C:$C,'divisional &amp; regional caseload%'!$B$85,'caseload data'!$D:$D,"SPO")/SUMIF('caseload data'!$C:$C,'divisional &amp; regional caseload%'!$B$85,'caseload data'!M:M),"")</f>
        <v/>
      </c>
      <c r="L90" s="167" t="str">
        <f>IFERROR(SUMIFS('caseload data'!N:N,'caseload data'!$C:$C,'divisional &amp; regional caseload%'!$B$85,'caseload data'!$D:$D,"SPO")/SUMIF('caseload data'!$C:$C,'divisional &amp; regional caseload%'!$B$85,'caseload data'!N:N),"")</f>
        <v/>
      </c>
      <c r="M90" s="167" t="str">
        <f>IFERROR(SUMIFS('caseload data'!O:O,'caseload data'!$C:$C,'divisional &amp; regional caseload%'!$B$85,'caseload data'!$D:$D,"SPO")/SUMIF('caseload data'!$C:$C,'divisional &amp; regional caseload%'!$B$85,'caseload data'!O:O),"")</f>
        <v/>
      </c>
      <c r="N90" s="167" t="str">
        <f>IFERROR(SUMIFS('caseload data'!P:P,'caseload data'!$C:$C,'divisional &amp; regional caseload%'!$B$85,'caseload data'!$D:$D,"SPO")/SUMIF('caseload data'!$C:$C,'divisional &amp; regional caseload%'!$B$85,'caseload data'!P:P),"")</f>
        <v/>
      </c>
      <c r="O90" s="167" t="str">
        <f>IFERROR(SUMIFS('caseload data'!Q:Q,'caseload data'!$C:$C,'divisional &amp; regional caseload%'!$B$85,'caseload data'!$D:$D,"SPO")/SUMIF('caseload data'!$C:$C,'divisional &amp; regional caseload%'!$B$85,'caseload data'!Q:Q),"")</f>
        <v/>
      </c>
      <c r="P90" s="167" t="str">
        <f>IFERROR(SUMIFS('caseload data'!R:R,'caseload data'!$C:$C,'divisional &amp; regional caseload%'!$B$85,'caseload data'!$D:$D,"SPO")/SUMIF('caseload data'!$C:$C,'divisional &amp; regional caseload%'!$B$85,'caseload data'!R:R),"")</f>
        <v/>
      </c>
      <c r="Q90" s="167" t="str">
        <f>IFERROR(SUMIFS('caseload data'!S:S,'caseload data'!$C:$C,'divisional &amp; regional caseload%'!$B$85,'caseload data'!$D:$D,"SPO")/SUMIF('caseload data'!$C:$C,'divisional &amp; regional caseload%'!$B$85,'caseload data'!S:S),"")</f>
        <v/>
      </c>
      <c r="R90" s="167" t="str">
        <f>IFERROR(SUMIFS('caseload data'!T:T,'caseload data'!$C:$C,'divisional &amp; regional caseload%'!$B$85,'caseload data'!$D:$D,"SPO")/SUMIF('caseload data'!$C:$C,'divisional &amp; regional caseload%'!$B$85,'caseload data'!T:T),"")</f>
        <v/>
      </c>
      <c r="T90" s="98" t="s">
        <v>1009</v>
      </c>
      <c r="U90" s="167" t="str">
        <f>IFERROR(SUMIFS('caseload data'!E:E,'caseload data'!$C:$C,'divisional &amp; regional caseload%'!$T$85,'caseload data'!$D:$D,"SPO")/SUMIF('caseload data'!$C:$C,'divisional &amp; regional caseload%'!$T$85,'caseload data'!E:E),"")</f>
        <v/>
      </c>
      <c r="V90" s="167" t="str">
        <f>IFERROR(SUMIFS('caseload data'!F:F,'caseload data'!$C:$C,'divisional &amp; regional caseload%'!$T$85,'caseload data'!$D:$D,"SPO")/SUMIF('caseload data'!$C:$C,'divisional &amp; regional caseload%'!$T$85,'caseload data'!F:F),"")</f>
        <v/>
      </c>
      <c r="W90" s="167" t="str">
        <f>IFERROR(SUMIFS('caseload data'!G:G,'caseload data'!$C:$C,'divisional &amp; regional caseload%'!$T$85,'caseload data'!$D:$D,"SPO")/SUMIF('caseload data'!$C:$C,'divisional &amp; regional caseload%'!$T$85,'caseload data'!G:G),"")</f>
        <v/>
      </c>
      <c r="X90" s="167" t="str">
        <f>IFERROR(SUMIFS('caseload data'!H:H,'caseload data'!$C:$C,'divisional &amp; regional caseload%'!$T$85,'caseload data'!$D:$D,"SPO")/SUMIF('caseload data'!$C:$C,'divisional &amp; regional caseload%'!$T$85,'caseload data'!H:H),"")</f>
        <v/>
      </c>
      <c r="Y90" s="167" t="str">
        <f>IFERROR(SUMIFS('caseload data'!I:I,'caseload data'!$C:$C,'divisional &amp; regional caseload%'!$T$85,'caseload data'!$D:$D,"SPO")/SUMIF('caseload data'!$C:$C,'divisional &amp; regional caseload%'!$T$85,'caseload data'!I:I),"")</f>
        <v/>
      </c>
      <c r="Z90" s="167" t="str">
        <f>IFERROR(SUMIFS('caseload data'!J:J,'caseload data'!$C:$C,'divisional &amp; regional caseload%'!$T$85,'caseload data'!$D:$D,"SPO")/SUMIF('caseload data'!$C:$C,'divisional &amp; regional caseload%'!$T$85,'caseload data'!J:J),"")</f>
        <v/>
      </c>
      <c r="AA90" s="167" t="str">
        <f>IFERROR(SUMIFS('caseload data'!K:K,'caseload data'!$C:$C,'divisional &amp; regional caseload%'!$T$85,'caseload data'!$D:$D,"SPO")/SUMIF('caseload data'!$C:$C,'divisional &amp; regional caseload%'!$T$85,'caseload data'!K:K),"")</f>
        <v/>
      </c>
      <c r="AB90" s="167" t="str">
        <f>IFERROR(SUMIFS('caseload data'!L:L,'caseload data'!$C:$C,'divisional &amp; regional caseload%'!$T$85,'caseload data'!$D:$D,"SPO")/SUMIF('caseload data'!$C:$C,'divisional &amp; regional caseload%'!$T$85,'caseload data'!L:L),"")</f>
        <v/>
      </c>
      <c r="AC90" s="167" t="str">
        <f>IFERROR(SUMIFS('caseload data'!M:M,'caseload data'!$C:$C,'divisional &amp; regional caseload%'!$T$85,'caseload data'!$D:$D,"SPO")/SUMIF('caseload data'!$C:$C,'divisional &amp; regional caseload%'!$T$85,'caseload data'!M:M),"")</f>
        <v/>
      </c>
      <c r="AD90" s="167" t="str">
        <f>IFERROR(SUMIFS('caseload data'!N:N,'caseload data'!$C:$C,'divisional &amp; regional caseload%'!$T$85,'caseload data'!$D:$D,"SPO")/SUMIF('caseload data'!$C:$C,'divisional &amp; regional caseload%'!$T$85,'caseload data'!N:N),"")</f>
        <v/>
      </c>
      <c r="AE90" s="167" t="str">
        <f>IFERROR(SUMIFS('caseload data'!O:O,'caseload data'!$C:$C,'divisional &amp; regional caseload%'!$T$85,'caseload data'!$D:$D,"SPO")/SUMIF('caseload data'!$C:$C,'divisional &amp; regional caseload%'!$T$85,'caseload data'!O:O),"")</f>
        <v/>
      </c>
      <c r="AF90" s="167" t="str">
        <f>IFERROR(SUMIFS('caseload data'!P:P,'caseload data'!$C:$C,'divisional &amp; regional caseload%'!$T$85,'caseload data'!$D:$D,"SPO")/SUMIF('caseload data'!$C:$C,'divisional &amp; regional caseload%'!$T$85,'caseload data'!P:P),"")</f>
        <v/>
      </c>
      <c r="AG90" s="167" t="str">
        <f>IFERROR(SUMIFS('caseload data'!Q:Q,'caseload data'!$C:$C,'divisional &amp; regional caseload%'!$T$85,'caseload data'!$D:$D,"SPO")/SUMIF('caseload data'!$C:$C,'divisional &amp; regional caseload%'!$T$85,'caseload data'!Q:Q),"")</f>
        <v/>
      </c>
      <c r="AH90" s="167" t="str">
        <f>IFERROR(SUMIFS('caseload data'!R:R,'caseload data'!$C:$C,'divisional &amp; regional caseload%'!$T$85,'caseload data'!$D:$D,"SPO")/SUMIF('caseload data'!$C:$C,'divisional &amp; regional caseload%'!$T$85,'caseload data'!R:R),"")</f>
        <v/>
      </c>
      <c r="AI90" s="167" t="str">
        <f>IFERROR(SUMIFS('caseload data'!S:S,'caseload data'!$C:$C,'divisional &amp; regional caseload%'!$T$85,'caseload data'!$D:$D,"SPO")/SUMIF('caseload data'!$C:$C,'divisional &amp; regional caseload%'!$T$85,'caseload data'!S:S),"")</f>
        <v/>
      </c>
      <c r="AJ90" s="167" t="str">
        <f>IFERROR(SUMIFS('caseload data'!T:T,'caseload data'!$C:$C,'divisional &amp; regional caseload%'!$T$85,'caseload data'!$D:$D,"SPO")/SUMIF('caseload data'!$C:$C,'divisional &amp; regional caseload%'!$T$85,'caseload data'!T:T),"")</f>
        <v/>
      </c>
    </row>
    <row r="92" spans="2:36" ht="23.25" customHeight="1" x14ac:dyDescent="0.15">
      <c r="B92" s="142">
        <f>HLOOKUP($B$5,Region_Table,26,0)</f>
        <v>0</v>
      </c>
      <c r="C92" s="523" t="s">
        <v>1097</v>
      </c>
      <c r="D92" s="524"/>
      <c r="E92" s="524"/>
      <c r="F92" s="524"/>
      <c r="G92" s="524"/>
      <c r="H92" s="524"/>
      <c r="I92" s="524"/>
      <c r="J92" s="524"/>
      <c r="K92" s="524"/>
      <c r="L92" s="524"/>
      <c r="M92" s="525"/>
      <c r="N92" s="525"/>
      <c r="O92" s="526"/>
      <c r="P92" s="510">
        <f>SUMIF('caseload data'!$C:$C,'divisional &amp; regional caseload%'!B92,'caseload data'!V:V)</f>
        <v>0</v>
      </c>
      <c r="Q92" s="527"/>
      <c r="R92" s="528"/>
      <c r="T92" s="142">
        <f>HLOOKUP($B$5,Region_Table,27,0)</f>
        <v>0</v>
      </c>
      <c r="U92" s="523" t="s">
        <v>1097</v>
      </c>
      <c r="V92" s="524"/>
      <c r="W92" s="524"/>
      <c r="X92" s="524"/>
      <c r="Y92" s="524"/>
      <c r="Z92" s="524"/>
      <c r="AA92" s="524"/>
      <c r="AB92" s="524"/>
      <c r="AC92" s="524"/>
      <c r="AD92" s="524"/>
      <c r="AE92" s="525"/>
      <c r="AF92" s="525"/>
      <c r="AG92" s="526"/>
      <c r="AH92" s="510">
        <f>SUMIF('caseload data'!$C:$C,'divisional &amp; regional caseload%'!T92,'caseload data'!V:V)</f>
        <v>0</v>
      </c>
      <c r="AI92" s="527"/>
      <c r="AJ92" s="528"/>
    </row>
    <row r="93" spans="2:36" x14ac:dyDescent="0.15">
      <c r="B93" s="95" t="s">
        <v>1006</v>
      </c>
      <c r="C93" s="38" t="s">
        <v>869</v>
      </c>
      <c r="D93" s="38" t="s">
        <v>870</v>
      </c>
      <c r="E93" s="38" t="s">
        <v>871</v>
      </c>
      <c r="F93" s="38" t="s">
        <v>872</v>
      </c>
      <c r="G93" s="38" t="s">
        <v>873</v>
      </c>
      <c r="H93" s="38" t="s">
        <v>874</v>
      </c>
      <c r="I93" s="38" t="s">
        <v>875</v>
      </c>
      <c r="J93" s="38" t="s">
        <v>876</v>
      </c>
      <c r="K93" s="38" t="s">
        <v>877</v>
      </c>
      <c r="L93" s="38" t="s">
        <v>878</v>
      </c>
      <c r="M93" s="38" t="s">
        <v>879</v>
      </c>
      <c r="N93" s="38" t="s">
        <v>880</v>
      </c>
      <c r="O93" s="38" t="s">
        <v>881</v>
      </c>
      <c r="P93" s="38" t="s">
        <v>882</v>
      </c>
      <c r="Q93" s="38" t="s">
        <v>883</v>
      </c>
      <c r="R93" s="38" t="s">
        <v>884</v>
      </c>
      <c r="T93" s="95" t="s">
        <v>1006</v>
      </c>
      <c r="U93" s="38" t="s">
        <v>869</v>
      </c>
      <c r="V93" s="38" t="s">
        <v>870</v>
      </c>
      <c r="W93" s="38" t="s">
        <v>871</v>
      </c>
      <c r="X93" s="38" t="s">
        <v>872</v>
      </c>
      <c r="Y93" s="38" t="s">
        <v>873</v>
      </c>
      <c r="Z93" s="38" t="s">
        <v>874</v>
      </c>
      <c r="AA93" s="38" t="s">
        <v>875</v>
      </c>
      <c r="AB93" s="38" t="s">
        <v>876</v>
      </c>
      <c r="AC93" s="38" t="s">
        <v>877</v>
      </c>
      <c r="AD93" s="38" t="s">
        <v>878</v>
      </c>
      <c r="AE93" s="38" t="s">
        <v>879</v>
      </c>
      <c r="AF93" s="38" t="s">
        <v>880</v>
      </c>
      <c r="AG93" s="38" t="s">
        <v>881</v>
      </c>
      <c r="AH93" s="38" t="s">
        <v>882</v>
      </c>
      <c r="AI93" s="38" t="s">
        <v>883</v>
      </c>
      <c r="AJ93" s="38" t="s">
        <v>884</v>
      </c>
    </row>
    <row r="94" spans="2:36" x14ac:dyDescent="0.15">
      <c r="B94" s="96" t="s">
        <v>1002</v>
      </c>
      <c r="C94" s="167" t="str">
        <f>IFERROR(SUMIFS('caseload data'!E:E,'caseload data'!$C:$C,'divisional &amp; regional caseload%'!$B$92,'caseload data'!$D:$D,"PO")/SUMIF('caseload data'!$C:$C,'divisional &amp; regional caseload%'!$B$92,'caseload data'!E:E),"")</f>
        <v/>
      </c>
      <c r="D94" s="167" t="str">
        <f>IFERROR(SUMIFS('caseload data'!F:F,'caseload data'!$C:$C,'divisional &amp; regional caseload%'!$B$92,'caseload data'!$D:$D,"PO")/SUMIF('caseload data'!$C:$C,'divisional &amp; regional caseload%'!$B$92,'caseload data'!F:F),"")</f>
        <v/>
      </c>
      <c r="E94" s="167" t="str">
        <f>IFERROR(SUMIFS('caseload data'!G:G,'caseload data'!$C:$C,'divisional &amp; regional caseload%'!$B$92,'caseload data'!$D:$D,"PO")/SUMIF('caseload data'!$C:$C,'divisional &amp; regional caseload%'!$B$92,'caseload data'!G:G),"")</f>
        <v/>
      </c>
      <c r="F94" s="167" t="str">
        <f>IFERROR(SUMIFS('caseload data'!H:H,'caseload data'!$C:$C,'divisional &amp; regional caseload%'!$B$92,'caseload data'!$D:$D,"PO")/SUMIF('caseload data'!$C:$C,'divisional &amp; regional caseload%'!$B$92,'caseload data'!H:H),"")</f>
        <v/>
      </c>
      <c r="G94" s="167" t="str">
        <f>IFERROR(SUMIFS('caseload data'!I:I,'caseload data'!$C:$C,'divisional &amp; regional caseload%'!$B$92,'caseload data'!$D:$D,"PO")/SUMIF('caseload data'!$C:$C,'divisional &amp; regional caseload%'!$B$92,'caseload data'!I:I),"")</f>
        <v/>
      </c>
      <c r="H94" s="167" t="str">
        <f>IFERROR(SUMIFS('caseload data'!J:J,'caseload data'!$C:$C,'divisional &amp; regional caseload%'!$B$92,'caseload data'!$D:$D,"PO")/SUMIF('caseload data'!$C:$C,'divisional &amp; regional caseload%'!$B$92,'caseload data'!J:J),"")</f>
        <v/>
      </c>
      <c r="I94" s="167" t="str">
        <f>IFERROR(SUMIFS('caseload data'!K:K,'caseload data'!$C:$C,'divisional &amp; regional caseload%'!$B$92,'caseload data'!$D:$D,"PO")/SUMIF('caseload data'!$C:$C,'divisional &amp; regional caseload%'!$B$92,'caseload data'!K:K),"")</f>
        <v/>
      </c>
      <c r="J94" s="167" t="str">
        <f>IFERROR(SUMIFS('caseload data'!L:L,'caseload data'!$C:$C,'divisional &amp; regional caseload%'!$B$92,'caseload data'!$D:$D,"PO")/SUMIF('caseload data'!$C:$C,'divisional &amp; regional caseload%'!$B$92,'caseload data'!L:L),"")</f>
        <v/>
      </c>
      <c r="K94" s="167" t="str">
        <f>IFERROR(SUMIFS('caseload data'!M:M,'caseload data'!$C:$C,'divisional &amp; regional caseload%'!$B$92,'caseload data'!$D:$D,"PO")/SUMIF('caseload data'!$C:$C,'divisional &amp; regional caseload%'!$B$92,'caseload data'!M:M),"")</f>
        <v/>
      </c>
      <c r="L94" s="167" t="str">
        <f>IFERROR(SUMIFS('caseload data'!N:N,'caseload data'!$C:$C,'divisional &amp; regional caseload%'!$B$92,'caseload data'!$D:$D,"PO")/SUMIF('caseload data'!$C:$C,'divisional &amp; regional caseload%'!$B$92,'caseload data'!N:N),"")</f>
        <v/>
      </c>
      <c r="M94" s="167" t="str">
        <f>IFERROR(SUMIFS('caseload data'!O:O,'caseload data'!$C:$C,'divisional &amp; regional caseload%'!$B$92,'caseload data'!$D:$D,"PO")/SUMIF('caseload data'!$C:$C,'divisional &amp; regional caseload%'!$B$92,'caseload data'!O:O),"")</f>
        <v/>
      </c>
      <c r="N94" s="167" t="str">
        <f>IFERROR(SUMIFS('caseload data'!P:P,'caseload data'!$C:$C,'divisional &amp; regional caseload%'!$B$92,'caseload data'!$D:$D,"PO")/SUMIF('caseload data'!$C:$C,'divisional &amp; regional caseload%'!$B$92,'caseload data'!P:P),"")</f>
        <v/>
      </c>
      <c r="O94" s="167" t="str">
        <f>IFERROR(SUMIFS('caseload data'!Q:Q,'caseload data'!$C:$C,'divisional &amp; regional caseload%'!$B$92,'caseload data'!$D:$D,"PO")/SUMIF('caseload data'!$C:$C,'divisional &amp; regional caseload%'!$B$92,'caseload data'!Q:Q),"")</f>
        <v/>
      </c>
      <c r="P94" s="167" t="str">
        <f>IFERROR(SUMIFS('caseload data'!R:R,'caseload data'!$C:$C,'divisional &amp; regional caseload%'!$B$92,'caseload data'!$D:$D,"PO")/SUMIF('caseload data'!$C:$C,'divisional &amp; regional caseload%'!$B$92,'caseload data'!R:R),"")</f>
        <v/>
      </c>
      <c r="Q94" s="167" t="str">
        <f>IFERROR(SUMIFS('caseload data'!S:S,'caseload data'!$C:$C,'divisional &amp; regional caseload%'!$B$92,'caseload data'!$D:$D,"PO")/SUMIF('caseload data'!$C:$C,'divisional &amp; regional caseload%'!$B$92,'caseload data'!S:S),"")</f>
        <v/>
      </c>
      <c r="R94" s="167" t="str">
        <f>IFERROR(SUMIFS('caseload data'!T:T,'caseload data'!$C:$C,'divisional &amp; regional caseload%'!$B$92,'caseload data'!$D:$D,"PO")/SUMIF('caseload data'!$C:$C,'divisional &amp; regional caseload%'!$B$92,'caseload data'!T:T),"")</f>
        <v/>
      </c>
      <c r="T94" s="96" t="s">
        <v>1002</v>
      </c>
      <c r="U94" s="167" t="str">
        <f>IFERROR(SUMIFS('caseload data'!E:E,'caseload data'!$C:$C,'divisional &amp; regional caseload%'!$T$92,'caseload data'!$D:$D,"PO")/SUMIF('caseload data'!$C:$C,'divisional &amp; regional caseload%'!$T$92,'caseload data'!E:E),"")</f>
        <v/>
      </c>
      <c r="V94" s="167" t="str">
        <f>IFERROR(SUMIFS('caseload data'!F:F,'caseload data'!$C:$C,'divisional &amp; regional caseload%'!$T$92,'caseload data'!$D:$D,"PO")/SUMIF('caseload data'!$C:$C,'divisional &amp; regional caseload%'!$T$92,'caseload data'!F:F),"")</f>
        <v/>
      </c>
      <c r="W94" s="167" t="str">
        <f>IFERROR(SUMIFS('caseload data'!G:G,'caseload data'!$C:$C,'divisional &amp; regional caseload%'!$T$92,'caseload data'!$D:$D,"PO")/SUMIF('caseload data'!$C:$C,'divisional &amp; regional caseload%'!$T$92,'caseload data'!G:G),"")</f>
        <v/>
      </c>
      <c r="X94" s="167" t="str">
        <f>IFERROR(SUMIFS('caseload data'!H:H,'caseload data'!$C:$C,'divisional &amp; regional caseload%'!$T$92,'caseload data'!$D:$D,"PO")/SUMIF('caseload data'!$C:$C,'divisional &amp; regional caseload%'!$T$92,'caseload data'!H:H),"")</f>
        <v/>
      </c>
      <c r="Y94" s="167" t="str">
        <f>IFERROR(SUMIFS('caseload data'!I:I,'caseload data'!$C:$C,'divisional &amp; regional caseload%'!$T$92,'caseload data'!$D:$D,"PO")/SUMIF('caseload data'!$C:$C,'divisional &amp; regional caseload%'!$T$92,'caseload data'!I:I),"")</f>
        <v/>
      </c>
      <c r="Z94" s="167" t="str">
        <f>IFERROR(SUMIFS('caseload data'!J:J,'caseload data'!$C:$C,'divisional &amp; regional caseload%'!$T$92,'caseload data'!$D:$D,"PO")/SUMIF('caseload data'!$C:$C,'divisional &amp; regional caseload%'!$T$92,'caseload data'!J:J),"")</f>
        <v/>
      </c>
      <c r="AA94" s="167" t="str">
        <f>IFERROR(SUMIFS('caseload data'!K:K,'caseload data'!$C:$C,'divisional &amp; regional caseload%'!$T$92,'caseload data'!$D:$D,"PO")/SUMIF('caseload data'!$C:$C,'divisional &amp; regional caseload%'!$T$92,'caseload data'!K:K),"")</f>
        <v/>
      </c>
      <c r="AB94" s="167" t="str">
        <f>IFERROR(SUMIFS('caseload data'!L:L,'caseload data'!$C:$C,'divisional &amp; regional caseload%'!$T$92,'caseload data'!$D:$D,"PO")/SUMIF('caseload data'!$C:$C,'divisional &amp; regional caseload%'!$T$92,'caseload data'!L:L),"")</f>
        <v/>
      </c>
      <c r="AC94" s="167" t="str">
        <f>IFERROR(SUMIFS('caseload data'!M:M,'caseload data'!$C:$C,'divisional &amp; regional caseload%'!$T$92,'caseload data'!$D:$D,"PO")/SUMIF('caseload data'!$C:$C,'divisional &amp; regional caseload%'!$T$92,'caseload data'!M:M),"")</f>
        <v/>
      </c>
      <c r="AD94" s="167" t="str">
        <f>IFERROR(SUMIFS('caseload data'!N:N,'caseload data'!$C:$C,'divisional &amp; regional caseload%'!$T$92,'caseload data'!$D:$D,"PO")/SUMIF('caseload data'!$C:$C,'divisional &amp; regional caseload%'!$T$92,'caseload data'!N:N),"")</f>
        <v/>
      </c>
      <c r="AE94" s="167" t="str">
        <f>IFERROR(SUMIFS('caseload data'!O:O,'caseload data'!$C:$C,'divisional &amp; regional caseload%'!$T$92,'caseload data'!$D:$D,"PO")/SUMIF('caseload data'!$C:$C,'divisional &amp; regional caseload%'!$T$92,'caseload data'!O:O),"")</f>
        <v/>
      </c>
      <c r="AF94" s="167" t="str">
        <f>IFERROR(SUMIFS('caseload data'!P:P,'caseload data'!$C:$C,'divisional &amp; regional caseload%'!$T$92,'caseload data'!$D:$D,"PO")/SUMIF('caseload data'!$C:$C,'divisional &amp; regional caseload%'!$T$92,'caseload data'!P:P),"")</f>
        <v/>
      </c>
      <c r="AG94" s="167" t="str">
        <f>IFERROR(SUMIFS('caseload data'!Q:Q,'caseload data'!$C:$C,'divisional &amp; regional caseload%'!$T$92,'caseload data'!$D:$D,"PO")/SUMIF('caseload data'!$C:$C,'divisional &amp; regional caseload%'!$T$92,'caseload data'!Q:Q),"")</f>
        <v/>
      </c>
      <c r="AH94" s="167" t="str">
        <f>IFERROR(SUMIFS('caseload data'!R:R,'caseload data'!$C:$C,'divisional &amp; regional caseload%'!$T$92,'caseload data'!$D:$D,"PO")/SUMIF('caseload data'!$C:$C,'divisional &amp; regional caseload%'!$T$92,'caseload data'!R:R),"")</f>
        <v/>
      </c>
      <c r="AI94" s="167" t="str">
        <f>IFERROR(SUMIFS('caseload data'!S:S,'caseload data'!$C:$C,'divisional &amp; regional caseload%'!$T$92,'caseload data'!$D:$D,"PO")/SUMIF('caseload data'!$C:$C,'divisional &amp; regional caseload%'!$T$92,'caseload data'!S:S),"")</f>
        <v/>
      </c>
      <c r="AJ94" s="167" t="str">
        <f>IFERROR(SUMIFS('caseload data'!T:T,'caseload data'!$C:$C,'divisional &amp; regional caseload%'!$T$92,'caseload data'!$D:$D,"PO")/SUMIF('caseload data'!$C:$C,'divisional &amp; regional caseload%'!$T$92,'caseload data'!T:T),"")</f>
        <v/>
      </c>
    </row>
    <row r="95" spans="2:36" x14ac:dyDescent="0.15">
      <c r="B95" s="97" t="s">
        <v>1007</v>
      </c>
      <c r="C95" s="167" t="str">
        <f>IFERROR(SUMIFS('caseload data'!E:E,'caseload data'!$C:$C,'divisional &amp; regional caseload%'!$B$92,'caseload data'!$D:$D,"PSO")/SUMIF('caseload data'!$C:$C,'divisional &amp; regional caseload%'!$B$92,'caseload data'!E:E),"")</f>
        <v/>
      </c>
      <c r="D95" s="167" t="str">
        <f>IFERROR(SUMIFS('caseload data'!F:F,'caseload data'!$C:$C,'divisional &amp; regional caseload%'!$B$92,'caseload data'!$D:$D,"PSO")/SUMIF('caseload data'!$C:$C,'divisional &amp; regional caseload%'!$B$92,'caseload data'!F:F),"")</f>
        <v/>
      </c>
      <c r="E95" s="167" t="str">
        <f>IFERROR(SUMIFS('caseload data'!G:G,'caseload data'!$C:$C,'divisional &amp; regional caseload%'!$B$92,'caseload data'!$D:$D,"PSO")/SUMIF('caseload data'!$C:$C,'divisional &amp; regional caseload%'!$B$92,'caseload data'!G:G),"")</f>
        <v/>
      </c>
      <c r="F95" s="167" t="str">
        <f>IFERROR(SUMIFS('caseload data'!H:H,'caseload data'!$C:$C,'divisional &amp; regional caseload%'!$B$92,'caseload data'!$D:$D,"PSO")/SUMIF('caseload data'!$C:$C,'divisional &amp; regional caseload%'!$B$92,'caseload data'!H:H),"")</f>
        <v/>
      </c>
      <c r="G95" s="167" t="str">
        <f>IFERROR(SUMIFS('caseload data'!I:I,'caseload data'!$C:$C,'divisional &amp; regional caseload%'!$B$92,'caseload data'!$D:$D,"PSO")/SUMIF('caseload data'!$C:$C,'divisional &amp; regional caseload%'!$B$92,'caseload data'!I:I),"")</f>
        <v/>
      </c>
      <c r="H95" s="167" t="str">
        <f>IFERROR(SUMIFS('caseload data'!J:J,'caseload data'!$C:$C,'divisional &amp; regional caseload%'!$B$92,'caseload data'!$D:$D,"PSO")/SUMIF('caseload data'!$C:$C,'divisional &amp; regional caseload%'!$B$92,'caseload data'!J:J),"")</f>
        <v/>
      </c>
      <c r="I95" s="167" t="str">
        <f>IFERROR(SUMIFS('caseload data'!K:K,'caseload data'!$C:$C,'divisional &amp; regional caseload%'!$B$92,'caseload data'!$D:$D,"PSO")/SUMIF('caseload data'!$C:$C,'divisional &amp; regional caseload%'!$B$92,'caseload data'!K:K),"")</f>
        <v/>
      </c>
      <c r="J95" s="167" t="str">
        <f>IFERROR(SUMIFS('caseload data'!L:L,'caseload data'!$C:$C,'divisional &amp; regional caseload%'!$B$92,'caseload data'!$D:$D,"PSO")/SUMIF('caseload data'!$C:$C,'divisional &amp; regional caseload%'!$B$92,'caseload data'!L:L),"")</f>
        <v/>
      </c>
      <c r="K95" s="167" t="str">
        <f>IFERROR(SUMIFS('caseload data'!M:M,'caseload data'!$C:$C,'divisional &amp; regional caseload%'!$B$92,'caseload data'!$D:$D,"PSO")/SUMIF('caseload data'!$C:$C,'divisional &amp; regional caseload%'!$B$92,'caseload data'!M:M),"")</f>
        <v/>
      </c>
      <c r="L95" s="167" t="str">
        <f>IFERROR(SUMIFS('caseload data'!N:N,'caseload data'!$C:$C,'divisional &amp; regional caseload%'!$B$92,'caseload data'!$D:$D,"PSO")/SUMIF('caseload data'!$C:$C,'divisional &amp; regional caseload%'!$B$92,'caseload data'!N:N),"")</f>
        <v/>
      </c>
      <c r="M95" s="167" t="str">
        <f>IFERROR(SUMIFS('caseload data'!O:O,'caseload data'!$C:$C,'divisional &amp; regional caseload%'!$B$92,'caseload data'!$D:$D,"PSO")/SUMIF('caseload data'!$C:$C,'divisional &amp; regional caseload%'!$B$92,'caseload data'!O:O),"")</f>
        <v/>
      </c>
      <c r="N95" s="167" t="str">
        <f>IFERROR(SUMIFS('caseload data'!P:P,'caseload data'!$C:$C,'divisional &amp; regional caseload%'!$B$92,'caseload data'!$D:$D,"PSO")/SUMIF('caseload data'!$C:$C,'divisional &amp; regional caseload%'!$B$92,'caseload data'!P:P),"")</f>
        <v/>
      </c>
      <c r="O95" s="167" t="str">
        <f>IFERROR(SUMIFS('caseload data'!Q:Q,'caseload data'!$C:$C,'divisional &amp; regional caseload%'!$B$92,'caseload data'!$D:$D,"PSO")/SUMIF('caseload data'!$C:$C,'divisional &amp; regional caseload%'!$B$92,'caseload data'!Q:Q),"")</f>
        <v/>
      </c>
      <c r="P95" s="167" t="str">
        <f>IFERROR(SUMIFS('caseload data'!R:R,'caseload data'!$C:$C,'divisional &amp; regional caseload%'!$B$92,'caseload data'!$D:$D,"PSO")/SUMIF('caseload data'!$C:$C,'divisional &amp; regional caseload%'!$B$92,'caseload data'!R:R),"")</f>
        <v/>
      </c>
      <c r="Q95" s="167" t="str">
        <f>IFERROR(SUMIFS('caseload data'!S:S,'caseload data'!$C:$C,'divisional &amp; regional caseload%'!$B$92,'caseload data'!$D:$D,"PSO")/SUMIF('caseload data'!$C:$C,'divisional &amp; regional caseload%'!$B$92,'caseload data'!S:S),"")</f>
        <v/>
      </c>
      <c r="R95" s="167" t="str">
        <f>IFERROR(SUMIFS('caseload data'!T:T,'caseload data'!$C:$C,'divisional &amp; regional caseload%'!$B$92,'caseload data'!$D:$D,"PSO")/SUMIF('caseload data'!$C:$C,'divisional &amp; regional caseload%'!$B$92,'caseload data'!T:T),"")</f>
        <v/>
      </c>
      <c r="T95" s="97" t="s">
        <v>1007</v>
      </c>
      <c r="U95" s="167" t="str">
        <f>IFERROR(SUMIFS('caseload data'!E:E,'caseload data'!$C:$C,'divisional &amp; regional caseload%'!$T$92,'caseload data'!$D:$D,"PSO")/SUMIF('caseload data'!$C:$C,'divisional &amp; regional caseload%'!$T$92,'caseload data'!E:E),"")</f>
        <v/>
      </c>
      <c r="V95" s="167" t="str">
        <f>IFERROR(SUMIFS('caseload data'!F:F,'caseload data'!$C:$C,'divisional &amp; regional caseload%'!$T$92,'caseload data'!$D:$D,"PSO")/SUMIF('caseload data'!$C:$C,'divisional &amp; regional caseload%'!$T$92,'caseload data'!F:F),"")</f>
        <v/>
      </c>
      <c r="W95" s="167" t="str">
        <f>IFERROR(SUMIFS('caseload data'!G:G,'caseload data'!$C:$C,'divisional &amp; regional caseload%'!$T$92,'caseload data'!$D:$D,"PSO")/SUMIF('caseload data'!$C:$C,'divisional &amp; regional caseload%'!$T$92,'caseload data'!G:G),"")</f>
        <v/>
      </c>
      <c r="X95" s="167" t="str">
        <f>IFERROR(SUMIFS('caseload data'!H:H,'caseload data'!$C:$C,'divisional &amp; regional caseload%'!$T$92,'caseload data'!$D:$D,"PSO")/SUMIF('caseload data'!$C:$C,'divisional &amp; regional caseload%'!$T$92,'caseload data'!H:H),"")</f>
        <v/>
      </c>
      <c r="Y95" s="167" t="str">
        <f>IFERROR(SUMIFS('caseload data'!I:I,'caseload data'!$C:$C,'divisional &amp; regional caseload%'!$T$92,'caseload data'!$D:$D,"PSO")/SUMIF('caseload data'!$C:$C,'divisional &amp; regional caseload%'!$T$92,'caseload data'!I:I),"")</f>
        <v/>
      </c>
      <c r="Z95" s="167" t="str">
        <f>IFERROR(SUMIFS('caseload data'!J:J,'caseload data'!$C:$C,'divisional &amp; regional caseload%'!$T$92,'caseload data'!$D:$D,"PSO")/SUMIF('caseload data'!$C:$C,'divisional &amp; regional caseload%'!$T$92,'caseload data'!J:J),"")</f>
        <v/>
      </c>
      <c r="AA95" s="167" t="str">
        <f>IFERROR(SUMIFS('caseload data'!K:K,'caseload data'!$C:$C,'divisional &amp; regional caseload%'!$T$92,'caseload data'!$D:$D,"PSO")/SUMIF('caseload data'!$C:$C,'divisional &amp; regional caseload%'!$T$92,'caseload data'!K:K),"")</f>
        <v/>
      </c>
      <c r="AB95" s="167" t="str">
        <f>IFERROR(SUMIFS('caseload data'!L:L,'caseload data'!$C:$C,'divisional &amp; regional caseload%'!$T$92,'caseload data'!$D:$D,"PSO")/SUMIF('caseload data'!$C:$C,'divisional &amp; regional caseload%'!$T$92,'caseload data'!L:L),"")</f>
        <v/>
      </c>
      <c r="AC95" s="167" t="str">
        <f>IFERROR(SUMIFS('caseload data'!M:M,'caseload data'!$C:$C,'divisional &amp; regional caseload%'!$T$92,'caseload data'!$D:$D,"PSO")/SUMIF('caseload data'!$C:$C,'divisional &amp; regional caseload%'!$T$92,'caseload data'!M:M),"")</f>
        <v/>
      </c>
      <c r="AD95" s="167" t="str">
        <f>IFERROR(SUMIFS('caseload data'!N:N,'caseload data'!$C:$C,'divisional &amp; regional caseload%'!$T$92,'caseload data'!$D:$D,"PSO")/SUMIF('caseload data'!$C:$C,'divisional &amp; regional caseload%'!$T$92,'caseload data'!N:N),"")</f>
        <v/>
      </c>
      <c r="AE95" s="167" t="str">
        <f>IFERROR(SUMIFS('caseload data'!O:O,'caseload data'!$C:$C,'divisional &amp; regional caseload%'!$T$92,'caseload data'!$D:$D,"PSO")/SUMIF('caseload data'!$C:$C,'divisional &amp; regional caseload%'!$T$92,'caseload data'!O:O),"")</f>
        <v/>
      </c>
      <c r="AF95" s="167" t="str">
        <f>IFERROR(SUMIFS('caseload data'!P:P,'caseload data'!$C:$C,'divisional &amp; regional caseload%'!$T$92,'caseload data'!$D:$D,"PSO")/SUMIF('caseload data'!$C:$C,'divisional &amp; regional caseload%'!$T$92,'caseload data'!P:P),"")</f>
        <v/>
      </c>
      <c r="AG95" s="167" t="str">
        <f>IFERROR(SUMIFS('caseload data'!Q:Q,'caseload data'!$C:$C,'divisional &amp; regional caseload%'!$T$92,'caseload data'!$D:$D,"PSO")/SUMIF('caseload data'!$C:$C,'divisional &amp; regional caseload%'!$T$92,'caseload data'!Q:Q),"")</f>
        <v/>
      </c>
      <c r="AH95" s="167" t="str">
        <f>IFERROR(SUMIFS('caseload data'!R:R,'caseload data'!$C:$C,'divisional &amp; regional caseload%'!$T$92,'caseload data'!$D:$D,"PSO")/SUMIF('caseload data'!$C:$C,'divisional &amp; regional caseload%'!$T$92,'caseload data'!R:R),"")</f>
        <v/>
      </c>
      <c r="AI95" s="167" t="str">
        <f>IFERROR(SUMIFS('caseload data'!S:S,'caseload data'!$C:$C,'divisional &amp; regional caseload%'!$T$92,'caseload data'!$D:$D,"PSO")/SUMIF('caseload data'!$C:$C,'divisional &amp; regional caseload%'!$T$92,'caseload data'!S:S),"")</f>
        <v/>
      </c>
      <c r="AJ95" s="167" t="str">
        <f>IFERROR(SUMIFS('caseload data'!T:T,'caseload data'!$C:$C,'divisional &amp; regional caseload%'!$T$92,'caseload data'!$D:$D,"PSO")/SUMIF('caseload data'!$C:$C,'divisional &amp; regional caseload%'!$T$92,'caseload data'!T:T),"")</f>
        <v/>
      </c>
    </row>
    <row r="96" spans="2:36" x14ac:dyDescent="0.15">
      <c r="B96" s="97" t="s">
        <v>1008</v>
      </c>
      <c r="C96" s="167" t="str">
        <f>IFERROR(SUMIFS('caseload data'!E:E,'caseload data'!$C:$C,'divisional &amp; regional caseload%'!$B$92,'caseload data'!$D:$D,"TPO")/SUMIF('caseload data'!$C:$C,'divisional &amp; regional caseload%'!$B$92,'caseload data'!E:E),"")</f>
        <v/>
      </c>
      <c r="D96" s="167" t="str">
        <f>IFERROR(SUMIFS('caseload data'!F:F,'caseload data'!$C:$C,'divisional &amp; regional caseload%'!$B$92,'caseload data'!$D:$D,"TPO")/SUMIF('caseload data'!$C:$C,'divisional &amp; regional caseload%'!$B$92,'caseload data'!F:F),"")</f>
        <v/>
      </c>
      <c r="E96" s="167" t="str">
        <f>IFERROR(SUMIFS('caseload data'!G:G,'caseload data'!$C:$C,'divisional &amp; regional caseload%'!$B$92,'caseload data'!$D:$D,"TPO")/SUMIF('caseload data'!$C:$C,'divisional &amp; regional caseload%'!$B$92,'caseload data'!G:G),"")</f>
        <v/>
      </c>
      <c r="F96" s="167" t="str">
        <f>IFERROR(SUMIFS('caseload data'!H:H,'caseload data'!$C:$C,'divisional &amp; regional caseload%'!$B$92,'caseload data'!$D:$D,"TPO")/SUMIF('caseload data'!$C:$C,'divisional &amp; regional caseload%'!$B$92,'caseload data'!H:H),"")</f>
        <v/>
      </c>
      <c r="G96" s="167" t="str">
        <f>IFERROR(SUMIFS('caseload data'!I:I,'caseload data'!$C:$C,'divisional &amp; regional caseload%'!$B$92,'caseload data'!$D:$D,"TPO")/SUMIF('caseload data'!$C:$C,'divisional &amp; regional caseload%'!$B$92,'caseload data'!I:I),"")</f>
        <v/>
      </c>
      <c r="H96" s="167" t="str">
        <f>IFERROR(SUMIFS('caseload data'!J:J,'caseload data'!$C:$C,'divisional &amp; regional caseload%'!$B$92,'caseload data'!$D:$D,"TPO")/SUMIF('caseload data'!$C:$C,'divisional &amp; regional caseload%'!$B$92,'caseload data'!J:J),"")</f>
        <v/>
      </c>
      <c r="I96" s="167" t="str">
        <f>IFERROR(SUMIFS('caseload data'!K:K,'caseload data'!$C:$C,'divisional &amp; regional caseload%'!$B$92,'caseload data'!$D:$D,"TPO")/SUMIF('caseload data'!$C:$C,'divisional &amp; regional caseload%'!$B$92,'caseload data'!K:K),"")</f>
        <v/>
      </c>
      <c r="J96" s="167" t="str">
        <f>IFERROR(SUMIFS('caseload data'!L:L,'caseload data'!$C:$C,'divisional &amp; regional caseload%'!$B$92,'caseload data'!$D:$D,"TPO")/SUMIF('caseload data'!$C:$C,'divisional &amp; regional caseload%'!$B$92,'caseload data'!L:L),"")</f>
        <v/>
      </c>
      <c r="K96" s="167" t="str">
        <f>IFERROR(SUMIFS('caseload data'!M:M,'caseload data'!$C:$C,'divisional &amp; regional caseload%'!$B$92,'caseload data'!$D:$D,"TPO")/SUMIF('caseload data'!$C:$C,'divisional &amp; regional caseload%'!$B$92,'caseload data'!M:M),"")</f>
        <v/>
      </c>
      <c r="L96" s="167" t="str">
        <f>IFERROR(SUMIFS('caseload data'!N:N,'caseload data'!$C:$C,'divisional &amp; regional caseload%'!$B$92,'caseload data'!$D:$D,"TPO")/SUMIF('caseload data'!$C:$C,'divisional &amp; regional caseload%'!$B$92,'caseload data'!N:N),"")</f>
        <v/>
      </c>
      <c r="M96" s="167" t="str">
        <f>IFERROR(SUMIFS('caseload data'!O:O,'caseload data'!$C:$C,'divisional &amp; regional caseload%'!$B$92,'caseload data'!$D:$D,"TPO")/SUMIF('caseload data'!$C:$C,'divisional &amp; regional caseload%'!$B$92,'caseload data'!O:O),"")</f>
        <v/>
      </c>
      <c r="N96" s="167" t="str">
        <f>IFERROR(SUMIFS('caseload data'!P:P,'caseload data'!$C:$C,'divisional &amp; regional caseload%'!$B$92,'caseload data'!$D:$D,"TPO")/SUMIF('caseload data'!$C:$C,'divisional &amp; regional caseload%'!$B$92,'caseload data'!P:P),"")</f>
        <v/>
      </c>
      <c r="O96" s="167" t="str">
        <f>IFERROR(SUMIFS('caseload data'!Q:Q,'caseload data'!$C:$C,'divisional &amp; regional caseload%'!$B$92,'caseload data'!$D:$D,"TPO")/SUMIF('caseload data'!$C:$C,'divisional &amp; regional caseload%'!$B$92,'caseload data'!Q:Q),"")</f>
        <v/>
      </c>
      <c r="P96" s="167" t="str">
        <f>IFERROR(SUMIFS('caseload data'!R:R,'caseload data'!$C:$C,'divisional &amp; regional caseload%'!$B$92,'caseload data'!$D:$D,"TPO")/SUMIF('caseload data'!$C:$C,'divisional &amp; regional caseload%'!$B$92,'caseload data'!R:R),"")</f>
        <v/>
      </c>
      <c r="Q96" s="167" t="str">
        <f>IFERROR(SUMIFS('caseload data'!S:S,'caseload data'!$C:$C,'divisional &amp; regional caseload%'!$B$92,'caseload data'!$D:$D,"TPO")/SUMIF('caseload data'!$C:$C,'divisional &amp; regional caseload%'!$B$92,'caseload data'!S:S),"")</f>
        <v/>
      </c>
      <c r="R96" s="167" t="str">
        <f>IFERROR(SUMIFS('caseload data'!T:T,'caseload data'!$C:$C,'divisional &amp; regional caseload%'!$B$92,'caseload data'!$D:$D,"TPO")/SUMIF('caseload data'!$C:$C,'divisional &amp; regional caseload%'!$B$92,'caseload data'!T:T),"")</f>
        <v/>
      </c>
      <c r="T96" s="97" t="s">
        <v>1008</v>
      </c>
      <c r="U96" s="167" t="str">
        <f>IFERROR(SUMIFS('caseload data'!E:E,'caseload data'!$C:$C,'divisional &amp; regional caseload%'!$T$92,'caseload data'!$D:$D,"TPO")/SUMIF('caseload data'!$C:$C,'divisional &amp; regional caseload%'!$T$92,'caseload data'!E:E),"")</f>
        <v/>
      </c>
      <c r="V96" s="167" t="str">
        <f>IFERROR(SUMIFS('caseload data'!F:F,'caseload data'!$C:$C,'divisional &amp; regional caseload%'!$T$92,'caseload data'!$D:$D,"TPO")/SUMIF('caseload data'!$C:$C,'divisional &amp; regional caseload%'!$T$92,'caseload data'!F:F),"")</f>
        <v/>
      </c>
      <c r="W96" s="167" t="str">
        <f>IFERROR(SUMIFS('caseload data'!G:G,'caseload data'!$C:$C,'divisional &amp; regional caseload%'!$T$92,'caseload data'!$D:$D,"TPO")/SUMIF('caseload data'!$C:$C,'divisional &amp; regional caseload%'!$T$92,'caseload data'!G:G),"")</f>
        <v/>
      </c>
      <c r="X96" s="167" t="str">
        <f>IFERROR(SUMIFS('caseload data'!H:H,'caseload data'!$C:$C,'divisional &amp; regional caseload%'!$T$92,'caseload data'!$D:$D,"TPO")/SUMIF('caseload data'!$C:$C,'divisional &amp; regional caseload%'!$T$92,'caseload data'!H:H),"")</f>
        <v/>
      </c>
      <c r="Y96" s="167" t="str">
        <f>IFERROR(SUMIFS('caseload data'!I:I,'caseload data'!$C:$C,'divisional &amp; regional caseload%'!$T$92,'caseload data'!$D:$D,"TPO")/SUMIF('caseload data'!$C:$C,'divisional &amp; regional caseload%'!$T$92,'caseload data'!I:I),"")</f>
        <v/>
      </c>
      <c r="Z96" s="167" t="str">
        <f>IFERROR(SUMIFS('caseload data'!J:J,'caseload data'!$C:$C,'divisional &amp; regional caseload%'!$T$92,'caseload data'!$D:$D,"TPO")/SUMIF('caseload data'!$C:$C,'divisional &amp; regional caseload%'!$T$92,'caseload data'!J:J),"")</f>
        <v/>
      </c>
      <c r="AA96" s="167" t="str">
        <f>IFERROR(SUMIFS('caseload data'!K:K,'caseload data'!$C:$C,'divisional &amp; regional caseload%'!$T$92,'caseload data'!$D:$D,"TPO")/SUMIF('caseload data'!$C:$C,'divisional &amp; regional caseload%'!$T$92,'caseload data'!K:K),"")</f>
        <v/>
      </c>
      <c r="AB96" s="167" t="str">
        <f>IFERROR(SUMIFS('caseload data'!L:L,'caseload data'!$C:$C,'divisional &amp; regional caseload%'!$T$92,'caseload data'!$D:$D,"TPO")/SUMIF('caseload data'!$C:$C,'divisional &amp; regional caseload%'!$T$92,'caseload data'!L:L),"")</f>
        <v/>
      </c>
      <c r="AC96" s="167" t="str">
        <f>IFERROR(SUMIFS('caseload data'!M:M,'caseload data'!$C:$C,'divisional &amp; regional caseload%'!$T$92,'caseload data'!$D:$D,"TPO")/SUMIF('caseload data'!$C:$C,'divisional &amp; regional caseload%'!$T$92,'caseload data'!M:M),"")</f>
        <v/>
      </c>
      <c r="AD96" s="167" t="str">
        <f>IFERROR(SUMIFS('caseload data'!N:N,'caseload data'!$C:$C,'divisional &amp; regional caseload%'!$T$92,'caseload data'!$D:$D,"TPO")/SUMIF('caseload data'!$C:$C,'divisional &amp; regional caseload%'!$T$92,'caseload data'!N:N),"")</f>
        <v/>
      </c>
      <c r="AE96" s="167" t="str">
        <f>IFERROR(SUMIFS('caseload data'!O:O,'caseload data'!$C:$C,'divisional &amp; regional caseload%'!$T$92,'caseload data'!$D:$D,"TPO")/SUMIF('caseload data'!$C:$C,'divisional &amp; regional caseload%'!$T$92,'caseload data'!O:O),"")</f>
        <v/>
      </c>
      <c r="AF96" s="167" t="str">
        <f>IFERROR(SUMIFS('caseload data'!P:P,'caseload data'!$C:$C,'divisional &amp; regional caseload%'!$T$92,'caseload data'!$D:$D,"TPO")/SUMIF('caseload data'!$C:$C,'divisional &amp; regional caseload%'!$T$92,'caseload data'!P:P),"")</f>
        <v/>
      </c>
      <c r="AG96" s="167" t="str">
        <f>IFERROR(SUMIFS('caseload data'!Q:Q,'caseload data'!$C:$C,'divisional &amp; regional caseload%'!$T$92,'caseload data'!$D:$D,"TPO")/SUMIF('caseload data'!$C:$C,'divisional &amp; regional caseload%'!$T$92,'caseload data'!Q:Q),"")</f>
        <v/>
      </c>
      <c r="AH96" s="167" t="str">
        <f>IFERROR(SUMIFS('caseload data'!R:R,'caseload data'!$C:$C,'divisional &amp; regional caseload%'!$T$92,'caseload data'!$D:$D,"TPO")/SUMIF('caseload data'!$C:$C,'divisional &amp; regional caseload%'!$T$92,'caseload data'!R:R),"")</f>
        <v/>
      </c>
      <c r="AI96" s="167" t="str">
        <f>IFERROR(SUMIFS('caseload data'!S:S,'caseload data'!$C:$C,'divisional &amp; regional caseload%'!$T$92,'caseload data'!$D:$D,"TPO")/SUMIF('caseload data'!$C:$C,'divisional &amp; regional caseload%'!$T$92,'caseload data'!S:S),"")</f>
        <v/>
      </c>
      <c r="AJ96" s="167" t="str">
        <f>IFERROR(SUMIFS('caseload data'!T:T,'caseload data'!$C:$C,'divisional &amp; regional caseload%'!$T$92,'caseload data'!$D:$D,"TPO")/SUMIF('caseload data'!$C:$C,'divisional &amp; regional caseload%'!$T$92,'caseload data'!T:T),"")</f>
        <v/>
      </c>
    </row>
    <row r="97" spans="2:36" x14ac:dyDescent="0.15">
      <c r="B97" s="98" t="s">
        <v>1009</v>
      </c>
      <c r="C97" s="167" t="str">
        <f>IFERROR(SUMIFS('caseload data'!E:E,'caseload data'!$C:$C,'divisional &amp; regional caseload%'!$B$92,'caseload data'!$D:$D,"SPO")/SUMIF('caseload data'!$C:$C,'divisional &amp; regional caseload%'!$B$92,'caseload data'!E:E),"")</f>
        <v/>
      </c>
      <c r="D97" s="167" t="str">
        <f>IFERROR(SUMIFS('caseload data'!F:F,'caseload data'!$C:$C,'divisional &amp; regional caseload%'!$B$92,'caseload data'!$D:$D,"SPO")/SUMIF('caseload data'!$C:$C,'divisional &amp; regional caseload%'!$B$92,'caseload data'!F:F),"")</f>
        <v/>
      </c>
      <c r="E97" s="167" t="str">
        <f>IFERROR(SUMIFS('caseload data'!G:G,'caseload data'!$C:$C,'divisional &amp; regional caseload%'!$B$92,'caseload data'!$D:$D,"SPO")/SUMIF('caseload data'!$C:$C,'divisional &amp; regional caseload%'!$B$92,'caseload data'!G:G),"")</f>
        <v/>
      </c>
      <c r="F97" s="167" t="str">
        <f>IFERROR(SUMIFS('caseload data'!H:H,'caseload data'!$C:$C,'divisional &amp; regional caseload%'!$B$92,'caseload data'!$D:$D,"SPO")/SUMIF('caseload data'!$C:$C,'divisional &amp; regional caseload%'!$B$92,'caseload data'!H:H),"")</f>
        <v/>
      </c>
      <c r="G97" s="167" t="str">
        <f>IFERROR(SUMIFS('caseload data'!I:I,'caseload data'!$C:$C,'divisional &amp; regional caseload%'!$B$92,'caseload data'!$D:$D,"SPO")/SUMIF('caseload data'!$C:$C,'divisional &amp; regional caseload%'!$B$92,'caseload data'!I:I),"")</f>
        <v/>
      </c>
      <c r="H97" s="167" t="str">
        <f>IFERROR(SUMIFS('caseload data'!J:J,'caseload data'!$C:$C,'divisional &amp; regional caseload%'!$B$92,'caseload data'!$D:$D,"SPO")/SUMIF('caseload data'!$C:$C,'divisional &amp; regional caseload%'!$B$92,'caseload data'!J:J),"")</f>
        <v/>
      </c>
      <c r="I97" s="167" t="str">
        <f>IFERROR(SUMIFS('caseload data'!K:K,'caseload data'!$C:$C,'divisional &amp; regional caseload%'!$B$92,'caseload data'!$D:$D,"SPO")/SUMIF('caseload data'!$C:$C,'divisional &amp; regional caseload%'!$B$92,'caseload data'!K:K),"")</f>
        <v/>
      </c>
      <c r="J97" s="167" t="str">
        <f>IFERROR(SUMIFS('caseload data'!L:L,'caseload data'!$C:$C,'divisional &amp; regional caseload%'!$B$92,'caseload data'!$D:$D,"SPO")/SUMIF('caseload data'!$C:$C,'divisional &amp; regional caseload%'!$B$92,'caseload data'!L:L),"")</f>
        <v/>
      </c>
      <c r="K97" s="167" t="str">
        <f>IFERROR(SUMIFS('caseload data'!M:M,'caseload data'!$C:$C,'divisional &amp; regional caseload%'!$B$92,'caseload data'!$D:$D,"SPO")/SUMIF('caseload data'!$C:$C,'divisional &amp; regional caseload%'!$B$92,'caseload data'!M:M),"")</f>
        <v/>
      </c>
      <c r="L97" s="167" t="str">
        <f>IFERROR(SUMIFS('caseload data'!N:N,'caseload data'!$C:$C,'divisional &amp; regional caseload%'!$B$92,'caseload data'!$D:$D,"SPO")/SUMIF('caseload data'!$C:$C,'divisional &amp; regional caseload%'!$B$92,'caseload data'!N:N),"")</f>
        <v/>
      </c>
      <c r="M97" s="167" t="str">
        <f>IFERROR(SUMIFS('caseload data'!O:O,'caseload data'!$C:$C,'divisional &amp; regional caseload%'!$B$92,'caseload data'!$D:$D,"SPO")/SUMIF('caseload data'!$C:$C,'divisional &amp; regional caseload%'!$B$92,'caseload data'!O:O),"")</f>
        <v/>
      </c>
      <c r="N97" s="167" t="str">
        <f>IFERROR(SUMIFS('caseload data'!P:P,'caseload data'!$C:$C,'divisional &amp; regional caseload%'!$B$92,'caseload data'!$D:$D,"SPO")/SUMIF('caseload data'!$C:$C,'divisional &amp; regional caseload%'!$B$92,'caseload data'!P:P),"")</f>
        <v/>
      </c>
      <c r="O97" s="167" t="str">
        <f>IFERROR(SUMIFS('caseload data'!Q:Q,'caseload data'!$C:$C,'divisional &amp; regional caseload%'!$B$92,'caseload data'!$D:$D,"SPO")/SUMIF('caseload data'!$C:$C,'divisional &amp; regional caseload%'!$B$92,'caseload data'!Q:Q),"")</f>
        <v/>
      </c>
      <c r="P97" s="167" t="str">
        <f>IFERROR(SUMIFS('caseload data'!R:R,'caseload data'!$C:$C,'divisional &amp; regional caseload%'!$B$92,'caseload data'!$D:$D,"SPO")/SUMIF('caseload data'!$C:$C,'divisional &amp; regional caseload%'!$B$92,'caseload data'!R:R),"")</f>
        <v/>
      </c>
      <c r="Q97" s="167" t="str">
        <f>IFERROR(SUMIFS('caseload data'!S:S,'caseload data'!$C:$C,'divisional &amp; regional caseload%'!$B$92,'caseload data'!$D:$D,"SPO")/SUMIF('caseload data'!$C:$C,'divisional &amp; regional caseload%'!$B$92,'caseload data'!S:S),"")</f>
        <v/>
      </c>
      <c r="R97" s="167" t="str">
        <f>IFERROR(SUMIFS('caseload data'!T:T,'caseload data'!$C:$C,'divisional &amp; regional caseload%'!$B$92,'caseload data'!$D:$D,"SPO")/SUMIF('caseload data'!$C:$C,'divisional &amp; regional caseload%'!$B$92,'caseload data'!T:T),"")</f>
        <v/>
      </c>
      <c r="T97" s="98" t="s">
        <v>1009</v>
      </c>
      <c r="U97" s="167" t="str">
        <f>IFERROR(SUMIFS('caseload data'!E:E,'caseload data'!$C:$C,'divisional &amp; regional caseload%'!$T$92,'caseload data'!$D:$D,"SPO")/SUMIF('caseload data'!$C:$C,'divisional &amp; regional caseload%'!$T$92,'caseload data'!E:E),"")</f>
        <v/>
      </c>
      <c r="V97" s="167" t="str">
        <f>IFERROR(SUMIFS('caseload data'!F:F,'caseload data'!$C:$C,'divisional &amp; regional caseload%'!$T$92,'caseload data'!$D:$D,"SPO")/SUMIF('caseload data'!$C:$C,'divisional &amp; regional caseload%'!$T$92,'caseload data'!F:F),"")</f>
        <v/>
      </c>
      <c r="W97" s="167" t="str">
        <f>IFERROR(SUMIFS('caseload data'!G:G,'caseload data'!$C:$C,'divisional &amp; regional caseload%'!$T$92,'caseload data'!$D:$D,"SPO")/SUMIF('caseload data'!$C:$C,'divisional &amp; regional caseload%'!$T$92,'caseload data'!G:G),"")</f>
        <v/>
      </c>
      <c r="X97" s="167" t="str">
        <f>IFERROR(SUMIFS('caseload data'!H:H,'caseload data'!$C:$C,'divisional &amp; regional caseload%'!$T$92,'caseload data'!$D:$D,"SPO")/SUMIF('caseload data'!$C:$C,'divisional &amp; regional caseload%'!$T$92,'caseload data'!H:H),"")</f>
        <v/>
      </c>
      <c r="Y97" s="167" t="str">
        <f>IFERROR(SUMIFS('caseload data'!I:I,'caseload data'!$C:$C,'divisional &amp; regional caseload%'!$T$92,'caseload data'!$D:$D,"SPO")/SUMIF('caseload data'!$C:$C,'divisional &amp; regional caseload%'!$T$92,'caseload data'!I:I),"")</f>
        <v/>
      </c>
      <c r="Z97" s="167" t="str">
        <f>IFERROR(SUMIFS('caseload data'!J:J,'caseload data'!$C:$C,'divisional &amp; regional caseload%'!$T$92,'caseload data'!$D:$D,"SPO")/SUMIF('caseload data'!$C:$C,'divisional &amp; regional caseload%'!$T$92,'caseload data'!J:J),"")</f>
        <v/>
      </c>
      <c r="AA97" s="167" t="str">
        <f>IFERROR(SUMIFS('caseload data'!K:K,'caseload data'!$C:$C,'divisional &amp; regional caseload%'!$T$92,'caseload data'!$D:$D,"SPO")/SUMIF('caseload data'!$C:$C,'divisional &amp; regional caseload%'!$T$92,'caseload data'!K:K),"")</f>
        <v/>
      </c>
      <c r="AB97" s="167" t="str">
        <f>IFERROR(SUMIFS('caseload data'!L:L,'caseload data'!$C:$C,'divisional &amp; regional caseload%'!$T$92,'caseload data'!$D:$D,"SPO")/SUMIF('caseload data'!$C:$C,'divisional &amp; regional caseload%'!$T$92,'caseload data'!L:L),"")</f>
        <v/>
      </c>
      <c r="AC97" s="167" t="str">
        <f>IFERROR(SUMIFS('caseload data'!M:M,'caseload data'!$C:$C,'divisional &amp; regional caseload%'!$T$92,'caseload data'!$D:$D,"SPO")/SUMIF('caseload data'!$C:$C,'divisional &amp; regional caseload%'!$T$92,'caseload data'!M:M),"")</f>
        <v/>
      </c>
      <c r="AD97" s="167" t="str">
        <f>IFERROR(SUMIFS('caseload data'!N:N,'caseload data'!$C:$C,'divisional &amp; regional caseload%'!$T$92,'caseload data'!$D:$D,"SPO")/SUMIF('caseload data'!$C:$C,'divisional &amp; regional caseload%'!$T$92,'caseload data'!N:N),"")</f>
        <v/>
      </c>
      <c r="AE97" s="167" t="str">
        <f>IFERROR(SUMIFS('caseload data'!O:O,'caseload data'!$C:$C,'divisional &amp; regional caseload%'!$T$92,'caseload data'!$D:$D,"SPO")/SUMIF('caseload data'!$C:$C,'divisional &amp; regional caseload%'!$T$92,'caseload data'!O:O),"")</f>
        <v/>
      </c>
      <c r="AF97" s="167" t="str">
        <f>IFERROR(SUMIFS('caseload data'!P:P,'caseload data'!$C:$C,'divisional &amp; regional caseload%'!$T$92,'caseload data'!$D:$D,"SPO")/SUMIF('caseload data'!$C:$C,'divisional &amp; regional caseload%'!$T$92,'caseload data'!P:P),"")</f>
        <v/>
      </c>
      <c r="AG97" s="167" t="str">
        <f>IFERROR(SUMIFS('caseload data'!Q:Q,'caseload data'!$C:$C,'divisional &amp; regional caseload%'!$T$92,'caseload data'!$D:$D,"SPO")/SUMIF('caseload data'!$C:$C,'divisional &amp; regional caseload%'!$T$92,'caseload data'!Q:Q),"")</f>
        <v/>
      </c>
      <c r="AH97" s="167" t="str">
        <f>IFERROR(SUMIFS('caseload data'!R:R,'caseload data'!$C:$C,'divisional &amp; regional caseload%'!$T$92,'caseload data'!$D:$D,"SPO")/SUMIF('caseload data'!$C:$C,'divisional &amp; regional caseload%'!$T$92,'caseload data'!R:R),"")</f>
        <v/>
      </c>
      <c r="AI97" s="167" t="str">
        <f>IFERROR(SUMIFS('caseload data'!S:S,'caseload data'!$C:$C,'divisional &amp; regional caseload%'!$T$92,'caseload data'!$D:$D,"SPO")/SUMIF('caseload data'!$C:$C,'divisional &amp; regional caseload%'!$T$92,'caseload data'!S:S),"")</f>
        <v/>
      </c>
      <c r="AJ97" s="167" t="str">
        <f>IFERROR(SUMIFS('caseload data'!T:T,'caseload data'!$C:$C,'divisional &amp; regional caseload%'!$T$92,'caseload data'!$D:$D,"SPO")/SUMIF('caseload data'!$C:$C,'divisional &amp; regional caseload%'!$T$92,'caseload data'!T:T),"")</f>
        <v/>
      </c>
    </row>
    <row r="99" spans="2:36" ht="24" customHeight="1" x14ac:dyDescent="0.15">
      <c r="B99" s="142">
        <f>HLOOKUP($B$5,Region_Table,28,0)</f>
        <v>0</v>
      </c>
      <c r="C99" s="523" t="s">
        <v>1097</v>
      </c>
      <c r="D99" s="524"/>
      <c r="E99" s="524"/>
      <c r="F99" s="524"/>
      <c r="G99" s="524"/>
      <c r="H99" s="524"/>
      <c r="I99" s="524"/>
      <c r="J99" s="524"/>
      <c r="K99" s="524"/>
      <c r="L99" s="524"/>
      <c r="M99" s="525"/>
      <c r="N99" s="525"/>
      <c r="O99" s="526"/>
      <c r="P99" s="510">
        <f>SUMIF('caseload data'!$C:$C,'divisional &amp; regional caseload%'!B99,'caseload data'!V:V)</f>
        <v>0</v>
      </c>
      <c r="Q99" s="527"/>
      <c r="R99" s="528"/>
      <c r="T99" s="142">
        <f>HLOOKUP($B$5,Region_Table,29,0)</f>
        <v>0</v>
      </c>
      <c r="U99" s="523" t="s">
        <v>1097</v>
      </c>
      <c r="V99" s="524"/>
      <c r="W99" s="524"/>
      <c r="X99" s="524"/>
      <c r="Y99" s="524"/>
      <c r="Z99" s="524"/>
      <c r="AA99" s="524"/>
      <c r="AB99" s="524"/>
      <c r="AC99" s="524"/>
      <c r="AD99" s="524"/>
      <c r="AE99" s="525"/>
      <c r="AF99" s="525"/>
      <c r="AG99" s="526"/>
      <c r="AH99" s="510">
        <f>SUMIF('caseload data'!$C:$C,'divisional &amp; regional caseload%'!T99,'caseload data'!V:V)</f>
        <v>0</v>
      </c>
      <c r="AI99" s="527"/>
      <c r="AJ99" s="528"/>
    </row>
    <row r="100" spans="2:36" x14ac:dyDescent="0.15">
      <c r="B100" s="95" t="s">
        <v>1006</v>
      </c>
      <c r="C100" s="38" t="s">
        <v>869</v>
      </c>
      <c r="D100" s="38" t="s">
        <v>870</v>
      </c>
      <c r="E100" s="38" t="s">
        <v>871</v>
      </c>
      <c r="F100" s="38" t="s">
        <v>872</v>
      </c>
      <c r="G100" s="38" t="s">
        <v>873</v>
      </c>
      <c r="H100" s="38" t="s">
        <v>874</v>
      </c>
      <c r="I100" s="38" t="s">
        <v>875</v>
      </c>
      <c r="J100" s="38" t="s">
        <v>876</v>
      </c>
      <c r="K100" s="38" t="s">
        <v>877</v>
      </c>
      <c r="L100" s="38" t="s">
        <v>878</v>
      </c>
      <c r="M100" s="38" t="s">
        <v>879</v>
      </c>
      <c r="N100" s="38" t="s">
        <v>880</v>
      </c>
      <c r="O100" s="38" t="s">
        <v>881</v>
      </c>
      <c r="P100" s="38" t="s">
        <v>882</v>
      </c>
      <c r="Q100" s="38" t="s">
        <v>883</v>
      </c>
      <c r="R100" s="38" t="s">
        <v>884</v>
      </c>
      <c r="T100" s="95" t="s">
        <v>1006</v>
      </c>
      <c r="U100" s="38" t="s">
        <v>869</v>
      </c>
      <c r="V100" s="38" t="s">
        <v>870</v>
      </c>
      <c r="W100" s="38" t="s">
        <v>871</v>
      </c>
      <c r="X100" s="38" t="s">
        <v>872</v>
      </c>
      <c r="Y100" s="38" t="s">
        <v>873</v>
      </c>
      <c r="Z100" s="38" t="s">
        <v>874</v>
      </c>
      <c r="AA100" s="38" t="s">
        <v>875</v>
      </c>
      <c r="AB100" s="38" t="s">
        <v>876</v>
      </c>
      <c r="AC100" s="38" t="s">
        <v>877</v>
      </c>
      <c r="AD100" s="38" t="s">
        <v>878</v>
      </c>
      <c r="AE100" s="38" t="s">
        <v>879</v>
      </c>
      <c r="AF100" s="38" t="s">
        <v>880</v>
      </c>
      <c r="AG100" s="38" t="s">
        <v>881</v>
      </c>
      <c r="AH100" s="38" t="s">
        <v>882</v>
      </c>
      <c r="AI100" s="38" t="s">
        <v>883</v>
      </c>
      <c r="AJ100" s="38" t="s">
        <v>884</v>
      </c>
    </row>
    <row r="101" spans="2:36" x14ac:dyDescent="0.15">
      <c r="B101" s="96" t="s">
        <v>1002</v>
      </c>
      <c r="C101" s="167" t="str">
        <f>IFERROR(SUMIFS('caseload data'!E:E,'caseload data'!$C:$C,'divisional &amp; regional caseload%'!$B$99,'caseload data'!$D:$D,"PO")/SUMIF('caseload data'!$C:$C,'divisional &amp; regional caseload%'!$B$99,'caseload data'!E:E),"")</f>
        <v/>
      </c>
      <c r="D101" s="167" t="str">
        <f>IFERROR(SUMIFS('caseload data'!F:F,'caseload data'!$C:$C,'divisional &amp; regional caseload%'!$B$99,'caseload data'!$D:$D,"PO")/SUMIF('caseload data'!$C:$C,'divisional &amp; regional caseload%'!$B$99,'caseload data'!F:F),"")</f>
        <v/>
      </c>
      <c r="E101" s="167" t="str">
        <f>IFERROR(SUMIFS('caseload data'!G:G,'caseload data'!$C:$C,'divisional &amp; regional caseload%'!$B$99,'caseload data'!$D:$D,"PO")/SUMIF('caseload data'!$C:$C,'divisional &amp; regional caseload%'!$B$99,'caseload data'!G:G),"")</f>
        <v/>
      </c>
      <c r="F101" s="167" t="str">
        <f>IFERROR(SUMIFS('caseload data'!H:H,'caseload data'!$C:$C,'divisional &amp; regional caseload%'!$B$99,'caseload data'!$D:$D,"PO")/SUMIF('caseload data'!$C:$C,'divisional &amp; regional caseload%'!$B$99,'caseload data'!H:H),"")</f>
        <v/>
      </c>
      <c r="G101" s="167" t="str">
        <f>IFERROR(SUMIFS('caseload data'!I:I,'caseload data'!$C:$C,'divisional &amp; regional caseload%'!$B$99,'caseload data'!$D:$D,"PO")/SUMIF('caseload data'!$C:$C,'divisional &amp; regional caseload%'!$B$99,'caseload data'!I:I),"")</f>
        <v/>
      </c>
      <c r="H101" s="167" t="str">
        <f>IFERROR(SUMIFS('caseload data'!J:J,'caseload data'!$C:$C,'divisional &amp; regional caseload%'!$B$99,'caseload data'!$D:$D,"PO")/SUMIF('caseload data'!$C:$C,'divisional &amp; regional caseload%'!$B$99,'caseload data'!J:J),"")</f>
        <v/>
      </c>
      <c r="I101" s="167" t="str">
        <f>IFERROR(SUMIFS('caseload data'!K:K,'caseload data'!$C:$C,'divisional &amp; regional caseload%'!$B$99,'caseload data'!$D:$D,"PO")/SUMIF('caseload data'!$C:$C,'divisional &amp; regional caseload%'!$B$99,'caseload data'!K:K),"")</f>
        <v/>
      </c>
      <c r="J101" s="167" t="str">
        <f>IFERROR(SUMIFS('caseload data'!L:L,'caseload data'!$C:$C,'divisional &amp; regional caseload%'!$B$99,'caseload data'!$D:$D,"PO")/SUMIF('caseload data'!$C:$C,'divisional &amp; regional caseload%'!$B$99,'caseload data'!L:L),"")</f>
        <v/>
      </c>
      <c r="K101" s="167" t="str">
        <f>IFERROR(SUMIFS('caseload data'!M:M,'caseload data'!$C:$C,'divisional &amp; regional caseload%'!$B$99,'caseload data'!$D:$D,"PO")/SUMIF('caseload data'!$C:$C,'divisional &amp; regional caseload%'!$B$99,'caseload data'!M:M),"")</f>
        <v/>
      </c>
      <c r="L101" s="167" t="str">
        <f>IFERROR(SUMIFS('caseload data'!N:N,'caseload data'!$C:$C,'divisional &amp; regional caseload%'!$B$99,'caseload data'!$D:$D,"PO")/SUMIF('caseload data'!$C:$C,'divisional &amp; regional caseload%'!$B$99,'caseload data'!N:N),"")</f>
        <v/>
      </c>
      <c r="M101" s="167" t="str">
        <f>IFERROR(SUMIFS('caseload data'!O:O,'caseload data'!$C:$C,'divisional &amp; regional caseload%'!$B$99,'caseload data'!$D:$D,"PO")/SUMIF('caseload data'!$C:$C,'divisional &amp; regional caseload%'!$B$99,'caseload data'!O:O),"")</f>
        <v/>
      </c>
      <c r="N101" s="167" t="str">
        <f>IFERROR(SUMIFS('caseload data'!P:P,'caseload data'!$C:$C,'divisional &amp; regional caseload%'!$B$99,'caseload data'!$D:$D,"PO")/SUMIF('caseload data'!$C:$C,'divisional &amp; regional caseload%'!$B$99,'caseload data'!P:P),"")</f>
        <v/>
      </c>
      <c r="O101" s="167" t="str">
        <f>IFERROR(SUMIFS('caseload data'!Q:Q,'caseload data'!$C:$C,'divisional &amp; regional caseload%'!$B$99,'caseload data'!$D:$D,"PO")/SUMIF('caseload data'!$C:$C,'divisional &amp; regional caseload%'!$B$99,'caseload data'!Q:Q),"")</f>
        <v/>
      </c>
      <c r="P101" s="167" t="str">
        <f>IFERROR(SUMIFS('caseload data'!R:R,'caseload data'!$C:$C,'divisional &amp; regional caseload%'!$B$99,'caseload data'!$D:$D,"PO")/SUMIF('caseload data'!$C:$C,'divisional &amp; regional caseload%'!$B$99,'caseload data'!R:R),"")</f>
        <v/>
      </c>
      <c r="Q101" s="167" t="str">
        <f>IFERROR(SUMIFS('caseload data'!S:S,'caseload data'!$C:$C,'divisional &amp; regional caseload%'!$B$99,'caseload data'!$D:$D,"PO")/SUMIF('caseload data'!$C:$C,'divisional &amp; regional caseload%'!$B$99,'caseload data'!S:S),"")</f>
        <v/>
      </c>
      <c r="R101" s="167" t="str">
        <f>IFERROR(SUMIFS('caseload data'!T:T,'caseload data'!$C:$C,'divisional &amp; regional caseload%'!$B$99,'caseload data'!$D:$D,"PO")/SUMIF('caseload data'!$C:$C,'divisional &amp; regional caseload%'!$B$99,'caseload data'!T:T),"")</f>
        <v/>
      </c>
      <c r="T101" s="96" t="s">
        <v>1002</v>
      </c>
      <c r="U101" s="167" t="str">
        <f>IFERROR(SUMIFS('caseload data'!E:E,'caseload data'!$C:$C,'divisional &amp; regional caseload%'!$T$99,'caseload data'!$D:$D,"PO")/SUMIF('caseload data'!$C:$C,'divisional &amp; regional caseload%'!$T$99,'caseload data'!E:E),"")</f>
        <v/>
      </c>
      <c r="V101" s="167" t="str">
        <f>IFERROR(SUMIFS('caseload data'!F:F,'caseload data'!$C:$C,'divisional &amp; regional caseload%'!$T$99,'caseload data'!$D:$D,"PO")/SUMIF('caseload data'!$C:$C,'divisional &amp; regional caseload%'!$T$99,'caseload data'!F:F),"")</f>
        <v/>
      </c>
      <c r="W101" s="167" t="str">
        <f>IFERROR(SUMIFS('caseload data'!G:G,'caseload data'!$C:$C,'divisional &amp; regional caseload%'!$T$99,'caseload data'!$D:$D,"PO")/SUMIF('caseload data'!$C:$C,'divisional &amp; regional caseload%'!$T$99,'caseload data'!G:G),"")</f>
        <v/>
      </c>
      <c r="X101" s="167" t="str">
        <f>IFERROR(SUMIFS('caseload data'!H:H,'caseload data'!$C:$C,'divisional &amp; regional caseload%'!$T$99,'caseload data'!$D:$D,"PO")/SUMIF('caseload data'!$C:$C,'divisional &amp; regional caseload%'!$T$99,'caseload data'!H:H),"")</f>
        <v/>
      </c>
      <c r="Y101" s="167" t="str">
        <f>IFERROR(SUMIFS('caseload data'!I:I,'caseload data'!$C:$C,'divisional &amp; regional caseload%'!$T$99,'caseload data'!$D:$D,"PO")/SUMIF('caseload data'!$C:$C,'divisional &amp; regional caseload%'!$T$99,'caseload data'!I:I),"")</f>
        <v/>
      </c>
      <c r="Z101" s="167" t="str">
        <f>IFERROR(SUMIFS('caseload data'!J:J,'caseload data'!$C:$C,'divisional &amp; regional caseload%'!$T$99,'caseload data'!$D:$D,"PO")/SUMIF('caseload data'!$C:$C,'divisional &amp; regional caseload%'!$T$99,'caseload data'!J:J),"")</f>
        <v/>
      </c>
      <c r="AA101" s="167" t="str">
        <f>IFERROR(SUMIFS('caseload data'!K:K,'caseload data'!$C:$C,'divisional &amp; regional caseload%'!$T$99,'caseload data'!$D:$D,"PO")/SUMIF('caseload data'!$C:$C,'divisional &amp; regional caseload%'!$T$99,'caseload data'!K:K),"")</f>
        <v/>
      </c>
      <c r="AB101" s="167" t="str">
        <f>IFERROR(SUMIFS('caseload data'!L:L,'caseload data'!$C:$C,'divisional &amp; regional caseload%'!$T$99,'caseload data'!$D:$D,"PO")/SUMIF('caseload data'!$C:$C,'divisional &amp; regional caseload%'!$T$99,'caseload data'!L:L),"")</f>
        <v/>
      </c>
      <c r="AC101" s="167" t="str">
        <f>IFERROR(SUMIFS('caseload data'!M:M,'caseload data'!$C:$C,'divisional &amp; regional caseload%'!$T$99,'caseload data'!$D:$D,"PO")/SUMIF('caseload data'!$C:$C,'divisional &amp; regional caseload%'!$T$99,'caseload data'!M:M),"")</f>
        <v/>
      </c>
      <c r="AD101" s="167" t="str">
        <f>IFERROR(SUMIFS('caseload data'!N:N,'caseload data'!$C:$C,'divisional &amp; regional caseload%'!$T$99,'caseload data'!$D:$D,"PO")/SUMIF('caseload data'!$C:$C,'divisional &amp; regional caseload%'!$T$99,'caseload data'!N:N),"")</f>
        <v/>
      </c>
      <c r="AE101" s="167" t="str">
        <f>IFERROR(SUMIFS('caseload data'!O:O,'caseload data'!$C:$C,'divisional &amp; regional caseload%'!$T$99,'caseload data'!$D:$D,"PO")/SUMIF('caseload data'!$C:$C,'divisional &amp; regional caseload%'!$T$99,'caseload data'!O:O),"")</f>
        <v/>
      </c>
      <c r="AF101" s="167" t="str">
        <f>IFERROR(SUMIFS('caseload data'!P:P,'caseload data'!$C:$C,'divisional &amp; regional caseload%'!$T$99,'caseload data'!$D:$D,"PO")/SUMIF('caseload data'!$C:$C,'divisional &amp; regional caseload%'!$T$99,'caseload data'!P:P),"")</f>
        <v/>
      </c>
      <c r="AG101" s="167" t="str">
        <f>IFERROR(SUMIFS('caseload data'!Q:Q,'caseload data'!$C:$C,'divisional &amp; regional caseload%'!$T$99,'caseload data'!$D:$D,"PO")/SUMIF('caseload data'!$C:$C,'divisional &amp; regional caseload%'!$T$99,'caseload data'!Q:Q),"")</f>
        <v/>
      </c>
      <c r="AH101" s="167" t="str">
        <f>IFERROR(SUMIFS('caseload data'!R:R,'caseload data'!$C:$C,'divisional &amp; regional caseload%'!$T$99,'caseload data'!$D:$D,"PO")/SUMIF('caseload data'!$C:$C,'divisional &amp; regional caseload%'!$T$99,'caseload data'!R:R),"")</f>
        <v/>
      </c>
      <c r="AI101" s="167" t="str">
        <f>IFERROR(SUMIFS('caseload data'!S:S,'caseload data'!$C:$C,'divisional &amp; regional caseload%'!$T$99,'caseload data'!$D:$D,"PO")/SUMIF('caseload data'!$C:$C,'divisional &amp; regional caseload%'!$T$99,'caseload data'!S:S),"")</f>
        <v/>
      </c>
      <c r="AJ101" s="167" t="str">
        <f>IFERROR(SUMIFS('caseload data'!T:T,'caseload data'!$C:$C,'divisional &amp; regional caseload%'!$T$99,'caseload data'!$D:$D,"PO")/SUMIF('caseload data'!$C:$C,'divisional &amp; regional caseload%'!$T$99,'caseload data'!T:T),"")</f>
        <v/>
      </c>
    </row>
    <row r="102" spans="2:36" x14ac:dyDescent="0.15">
      <c r="B102" s="97" t="s">
        <v>1007</v>
      </c>
      <c r="C102" s="167" t="str">
        <f>IFERROR(SUMIFS('caseload data'!E:E,'caseload data'!$C:$C,'divisional &amp; regional caseload%'!$B$99,'caseload data'!$D:$D,"PSO")/SUMIF('caseload data'!$C:$C,'divisional &amp; regional caseload%'!$B$99,'caseload data'!E:E),"")</f>
        <v/>
      </c>
      <c r="D102" s="167" t="str">
        <f>IFERROR(SUMIFS('caseload data'!F:F,'caseload data'!$C:$C,'divisional &amp; regional caseload%'!$B$99,'caseload data'!$D:$D,"PSO")/SUMIF('caseload data'!$C:$C,'divisional &amp; regional caseload%'!$B$99,'caseload data'!F:F),"")</f>
        <v/>
      </c>
      <c r="E102" s="167" t="str">
        <f>IFERROR(SUMIFS('caseload data'!G:G,'caseload data'!$C:$C,'divisional &amp; regional caseload%'!$B$99,'caseload data'!$D:$D,"PSO")/SUMIF('caseload data'!$C:$C,'divisional &amp; regional caseload%'!$B$99,'caseload data'!G:G),"")</f>
        <v/>
      </c>
      <c r="F102" s="167" t="str">
        <f>IFERROR(SUMIFS('caseload data'!H:H,'caseload data'!$C:$C,'divisional &amp; regional caseload%'!$B$99,'caseload data'!$D:$D,"PSO")/SUMIF('caseload data'!$C:$C,'divisional &amp; regional caseload%'!$B$99,'caseload data'!H:H),"")</f>
        <v/>
      </c>
      <c r="G102" s="167" t="str">
        <f>IFERROR(SUMIFS('caseload data'!I:I,'caseload data'!$C:$C,'divisional &amp; regional caseload%'!$B$99,'caseload data'!$D:$D,"PSO")/SUMIF('caseload data'!$C:$C,'divisional &amp; regional caseload%'!$B$99,'caseload data'!I:I),"")</f>
        <v/>
      </c>
      <c r="H102" s="167" t="str">
        <f>IFERROR(SUMIFS('caseload data'!J:J,'caseload data'!$C:$C,'divisional &amp; regional caseload%'!$B$99,'caseload data'!$D:$D,"PSO")/SUMIF('caseload data'!$C:$C,'divisional &amp; regional caseload%'!$B$99,'caseload data'!J:J),"")</f>
        <v/>
      </c>
      <c r="I102" s="167" t="str">
        <f>IFERROR(SUMIFS('caseload data'!K:K,'caseload data'!$C:$C,'divisional &amp; regional caseload%'!$B$99,'caseload data'!$D:$D,"PSO")/SUMIF('caseload data'!$C:$C,'divisional &amp; regional caseload%'!$B$99,'caseload data'!K:K),"")</f>
        <v/>
      </c>
      <c r="J102" s="167" t="str">
        <f>IFERROR(SUMIFS('caseload data'!L:L,'caseload data'!$C:$C,'divisional &amp; regional caseload%'!$B$99,'caseload data'!$D:$D,"PSO")/SUMIF('caseload data'!$C:$C,'divisional &amp; regional caseload%'!$B$99,'caseload data'!L:L),"")</f>
        <v/>
      </c>
      <c r="K102" s="167" t="str">
        <f>IFERROR(SUMIFS('caseload data'!M:M,'caseload data'!$C:$C,'divisional &amp; regional caseload%'!$B$99,'caseload data'!$D:$D,"PSO")/SUMIF('caseload data'!$C:$C,'divisional &amp; regional caseload%'!$B$99,'caseload data'!M:M),"")</f>
        <v/>
      </c>
      <c r="L102" s="167" t="str">
        <f>IFERROR(SUMIFS('caseload data'!N:N,'caseload data'!$C:$C,'divisional &amp; regional caseload%'!$B$99,'caseload data'!$D:$D,"PSO")/SUMIF('caseload data'!$C:$C,'divisional &amp; regional caseload%'!$B$99,'caseload data'!N:N),"")</f>
        <v/>
      </c>
      <c r="M102" s="167" t="str">
        <f>IFERROR(SUMIFS('caseload data'!O:O,'caseload data'!$C:$C,'divisional &amp; regional caseload%'!$B$99,'caseload data'!$D:$D,"PSO")/SUMIF('caseload data'!$C:$C,'divisional &amp; regional caseload%'!$B$99,'caseload data'!O:O),"")</f>
        <v/>
      </c>
      <c r="N102" s="167" t="str">
        <f>IFERROR(SUMIFS('caseload data'!P:P,'caseload data'!$C:$C,'divisional &amp; regional caseload%'!$B$99,'caseload data'!$D:$D,"PSO")/SUMIF('caseload data'!$C:$C,'divisional &amp; regional caseload%'!$B$99,'caseload data'!P:P),"")</f>
        <v/>
      </c>
      <c r="O102" s="167" t="str">
        <f>IFERROR(SUMIFS('caseload data'!Q:Q,'caseload data'!$C:$C,'divisional &amp; regional caseload%'!$B$99,'caseload data'!$D:$D,"PSO")/SUMIF('caseload data'!$C:$C,'divisional &amp; regional caseload%'!$B$99,'caseload data'!Q:Q),"")</f>
        <v/>
      </c>
      <c r="P102" s="167" t="str">
        <f>IFERROR(SUMIFS('caseload data'!R:R,'caseload data'!$C:$C,'divisional &amp; regional caseload%'!$B$99,'caseload data'!$D:$D,"PSO")/SUMIF('caseload data'!$C:$C,'divisional &amp; regional caseload%'!$B$99,'caseload data'!R:R),"")</f>
        <v/>
      </c>
      <c r="Q102" s="167" t="str">
        <f>IFERROR(SUMIFS('caseload data'!S:S,'caseload data'!$C:$C,'divisional &amp; regional caseload%'!$B$99,'caseload data'!$D:$D,"PSO")/SUMIF('caseload data'!$C:$C,'divisional &amp; regional caseload%'!$B$99,'caseload data'!S:S),"")</f>
        <v/>
      </c>
      <c r="R102" s="167" t="str">
        <f>IFERROR(SUMIFS('caseload data'!T:T,'caseload data'!$C:$C,'divisional &amp; regional caseload%'!$B$99,'caseload data'!$D:$D,"PSO")/SUMIF('caseload data'!$C:$C,'divisional &amp; regional caseload%'!$B$99,'caseload data'!T:T),"")</f>
        <v/>
      </c>
      <c r="T102" s="97" t="s">
        <v>1007</v>
      </c>
      <c r="U102" s="167" t="str">
        <f>IFERROR(SUMIFS('caseload data'!E:E,'caseload data'!$C:$C,'divisional &amp; regional caseload%'!$T$99,'caseload data'!$D:$D,"PSO")/SUMIF('caseload data'!$C:$C,'divisional &amp; regional caseload%'!$T$99,'caseload data'!E:E),"")</f>
        <v/>
      </c>
      <c r="V102" s="167" t="str">
        <f>IFERROR(SUMIFS('caseload data'!F:F,'caseload data'!$C:$C,'divisional &amp; regional caseload%'!$T$99,'caseload data'!$D:$D,"PSO")/SUMIF('caseload data'!$C:$C,'divisional &amp; regional caseload%'!$T$99,'caseload data'!F:F),"")</f>
        <v/>
      </c>
      <c r="W102" s="167" t="str">
        <f>IFERROR(SUMIFS('caseload data'!G:G,'caseload data'!$C:$C,'divisional &amp; regional caseload%'!$T$99,'caseload data'!$D:$D,"PSO")/SUMIF('caseload data'!$C:$C,'divisional &amp; regional caseload%'!$T$99,'caseload data'!G:G),"")</f>
        <v/>
      </c>
      <c r="X102" s="167" t="str">
        <f>IFERROR(SUMIFS('caseload data'!H:H,'caseload data'!$C:$C,'divisional &amp; regional caseload%'!$T$99,'caseload data'!$D:$D,"PSO")/SUMIF('caseload data'!$C:$C,'divisional &amp; regional caseload%'!$T$99,'caseload data'!H:H),"")</f>
        <v/>
      </c>
      <c r="Y102" s="167" t="str">
        <f>IFERROR(SUMIFS('caseload data'!I:I,'caseload data'!$C:$C,'divisional &amp; regional caseload%'!$T$99,'caseload data'!$D:$D,"PSO")/SUMIF('caseload data'!$C:$C,'divisional &amp; regional caseload%'!$T$99,'caseload data'!I:I),"")</f>
        <v/>
      </c>
      <c r="Z102" s="167" t="str">
        <f>IFERROR(SUMIFS('caseload data'!J:J,'caseload data'!$C:$C,'divisional &amp; regional caseload%'!$T$99,'caseload data'!$D:$D,"PSO")/SUMIF('caseload data'!$C:$C,'divisional &amp; regional caseload%'!$T$99,'caseload data'!J:J),"")</f>
        <v/>
      </c>
      <c r="AA102" s="167" t="str">
        <f>IFERROR(SUMIFS('caseload data'!K:K,'caseload data'!$C:$C,'divisional &amp; regional caseload%'!$T$99,'caseload data'!$D:$D,"PSO")/SUMIF('caseload data'!$C:$C,'divisional &amp; regional caseload%'!$T$99,'caseload data'!K:K),"")</f>
        <v/>
      </c>
      <c r="AB102" s="167" t="str">
        <f>IFERROR(SUMIFS('caseload data'!L:L,'caseload data'!$C:$C,'divisional &amp; regional caseload%'!$T$99,'caseload data'!$D:$D,"PSO")/SUMIF('caseload data'!$C:$C,'divisional &amp; regional caseload%'!$T$99,'caseload data'!L:L),"")</f>
        <v/>
      </c>
      <c r="AC102" s="167" t="str">
        <f>IFERROR(SUMIFS('caseload data'!M:M,'caseload data'!$C:$C,'divisional &amp; regional caseload%'!$T$99,'caseload data'!$D:$D,"PSO")/SUMIF('caseload data'!$C:$C,'divisional &amp; regional caseload%'!$T$99,'caseload data'!M:M),"")</f>
        <v/>
      </c>
      <c r="AD102" s="167" t="str">
        <f>IFERROR(SUMIFS('caseload data'!N:N,'caseload data'!$C:$C,'divisional &amp; regional caseload%'!$T$99,'caseload data'!$D:$D,"PSO")/SUMIF('caseload data'!$C:$C,'divisional &amp; regional caseload%'!$T$99,'caseload data'!N:N),"")</f>
        <v/>
      </c>
      <c r="AE102" s="167" t="str">
        <f>IFERROR(SUMIFS('caseload data'!O:O,'caseload data'!$C:$C,'divisional &amp; regional caseload%'!$T$99,'caseload data'!$D:$D,"PSO")/SUMIF('caseload data'!$C:$C,'divisional &amp; regional caseload%'!$T$99,'caseload data'!O:O),"")</f>
        <v/>
      </c>
      <c r="AF102" s="167" t="str">
        <f>IFERROR(SUMIFS('caseload data'!P:P,'caseload data'!$C:$C,'divisional &amp; regional caseload%'!$T$99,'caseload data'!$D:$D,"PSO")/SUMIF('caseload data'!$C:$C,'divisional &amp; regional caseload%'!$T$99,'caseload data'!P:P),"")</f>
        <v/>
      </c>
      <c r="AG102" s="167" t="str">
        <f>IFERROR(SUMIFS('caseload data'!Q:Q,'caseload data'!$C:$C,'divisional &amp; regional caseload%'!$T$99,'caseload data'!$D:$D,"PSO")/SUMIF('caseload data'!$C:$C,'divisional &amp; regional caseload%'!$T$99,'caseload data'!Q:Q),"")</f>
        <v/>
      </c>
      <c r="AH102" s="167" t="str">
        <f>IFERROR(SUMIFS('caseload data'!R:R,'caseload data'!$C:$C,'divisional &amp; regional caseload%'!$T$99,'caseload data'!$D:$D,"PSO")/SUMIF('caseload data'!$C:$C,'divisional &amp; regional caseload%'!$T$99,'caseload data'!R:R),"")</f>
        <v/>
      </c>
      <c r="AI102" s="167" t="str">
        <f>IFERROR(SUMIFS('caseload data'!S:S,'caseload data'!$C:$C,'divisional &amp; regional caseload%'!$T$99,'caseload data'!$D:$D,"PSO")/SUMIF('caseload data'!$C:$C,'divisional &amp; regional caseload%'!$T$99,'caseload data'!S:S),"")</f>
        <v/>
      </c>
      <c r="AJ102" s="167" t="str">
        <f>IFERROR(SUMIFS('caseload data'!T:T,'caseload data'!$C:$C,'divisional &amp; regional caseload%'!$T$99,'caseload data'!$D:$D,"PSO")/SUMIF('caseload data'!$C:$C,'divisional &amp; regional caseload%'!$T$99,'caseload data'!T:T),"")</f>
        <v/>
      </c>
    </row>
    <row r="103" spans="2:36" x14ac:dyDescent="0.15">
      <c r="B103" s="97" t="s">
        <v>1008</v>
      </c>
      <c r="C103" s="167" t="str">
        <f>IFERROR(SUMIFS('caseload data'!E:E,'caseload data'!$C:$C,'divisional &amp; regional caseload%'!$B$99,'caseload data'!$D:$D,"TPO")/SUMIF('caseload data'!$C:$C,'divisional &amp; regional caseload%'!$B$99,'caseload data'!E:E),"")</f>
        <v/>
      </c>
      <c r="D103" s="167" t="str">
        <f>IFERROR(SUMIFS('caseload data'!F:F,'caseload data'!$C:$C,'divisional &amp; regional caseload%'!$B$99,'caseload data'!$D:$D,"TPO")/SUMIF('caseload data'!$C:$C,'divisional &amp; regional caseload%'!$B$99,'caseload data'!F:F),"")</f>
        <v/>
      </c>
      <c r="E103" s="167" t="str">
        <f>IFERROR(SUMIFS('caseload data'!G:G,'caseload data'!$C:$C,'divisional &amp; regional caseload%'!$B$99,'caseload data'!$D:$D,"TPO")/SUMIF('caseload data'!$C:$C,'divisional &amp; regional caseload%'!$B$99,'caseload data'!G:G),"")</f>
        <v/>
      </c>
      <c r="F103" s="167" t="str">
        <f>IFERROR(SUMIFS('caseload data'!H:H,'caseload data'!$C:$C,'divisional &amp; regional caseload%'!$B$99,'caseload data'!$D:$D,"TPO")/SUMIF('caseload data'!$C:$C,'divisional &amp; regional caseload%'!$B$99,'caseload data'!H:H),"")</f>
        <v/>
      </c>
      <c r="G103" s="167" t="str">
        <f>IFERROR(SUMIFS('caseload data'!I:I,'caseload data'!$C:$C,'divisional &amp; regional caseload%'!$B$99,'caseload data'!$D:$D,"TPO")/SUMIF('caseload data'!$C:$C,'divisional &amp; regional caseload%'!$B$99,'caseload data'!I:I),"")</f>
        <v/>
      </c>
      <c r="H103" s="167" t="str">
        <f>IFERROR(SUMIFS('caseload data'!J:J,'caseload data'!$C:$C,'divisional &amp; regional caseload%'!$B$99,'caseload data'!$D:$D,"TPO")/SUMIF('caseload data'!$C:$C,'divisional &amp; regional caseload%'!$B$99,'caseload data'!J:J),"")</f>
        <v/>
      </c>
      <c r="I103" s="167" t="str">
        <f>IFERROR(SUMIFS('caseload data'!K:K,'caseload data'!$C:$C,'divisional &amp; regional caseload%'!$B$99,'caseload data'!$D:$D,"TPO")/SUMIF('caseload data'!$C:$C,'divisional &amp; regional caseload%'!$B$99,'caseload data'!K:K),"")</f>
        <v/>
      </c>
      <c r="J103" s="167" t="str">
        <f>IFERROR(SUMIFS('caseload data'!L:L,'caseload data'!$C:$C,'divisional &amp; regional caseload%'!$B$99,'caseload data'!$D:$D,"TPO")/SUMIF('caseload data'!$C:$C,'divisional &amp; regional caseload%'!$B$99,'caseload data'!L:L),"")</f>
        <v/>
      </c>
      <c r="K103" s="167" t="str">
        <f>IFERROR(SUMIFS('caseload data'!M:M,'caseload data'!$C:$C,'divisional &amp; regional caseload%'!$B$99,'caseload data'!$D:$D,"TPO")/SUMIF('caseload data'!$C:$C,'divisional &amp; regional caseload%'!$B$99,'caseload data'!M:M),"")</f>
        <v/>
      </c>
      <c r="L103" s="167" t="str">
        <f>IFERROR(SUMIFS('caseload data'!N:N,'caseload data'!$C:$C,'divisional &amp; regional caseload%'!$B$99,'caseload data'!$D:$D,"TPO")/SUMIF('caseload data'!$C:$C,'divisional &amp; regional caseload%'!$B$99,'caseload data'!N:N),"")</f>
        <v/>
      </c>
      <c r="M103" s="167" t="str">
        <f>IFERROR(SUMIFS('caseload data'!O:O,'caseload data'!$C:$C,'divisional &amp; regional caseload%'!$B$99,'caseload data'!$D:$D,"TPO")/SUMIF('caseload data'!$C:$C,'divisional &amp; regional caseload%'!$B$99,'caseload data'!O:O),"")</f>
        <v/>
      </c>
      <c r="N103" s="167" t="str">
        <f>IFERROR(SUMIFS('caseload data'!P:P,'caseload data'!$C:$C,'divisional &amp; regional caseload%'!$B$99,'caseload data'!$D:$D,"TPO")/SUMIF('caseload data'!$C:$C,'divisional &amp; regional caseload%'!$B$99,'caseload data'!P:P),"")</f>
        <v/>
      </c>
      <c r="O103" s="167" t="str">
        <f>IFERROR(SUMIFS('caseload data'!Q:Q,'caseload data'!$C:$C,'divisional &amp; regional caseload%'!$B$99,'caseload data'!$D:$D,"TPO")/SUMIF('caseload data'!$C:$C,'divisional &amp; regional caseload%'!$B$99,'caseload data'!Q:Q),"")</f>
        <v/>
      </c>
      <c r="P103" s="167" t="str">
        <f>IFERROR(SUMIFS('caseload data'!R:R,'caseload data'!$C:$C,'divisional &amp; regional caseload%'!$B$99,'caseload data'!$D:$D,"TPO")/SUMIF('caseload data'!$C:$C,'divisional &amp; regional caseload%'!$B$99,'caseload data'!R:R),"")</f>
        <v/>
      </c>
      <c r="Q103" s="167" t="str">
        <f>IFERROR(SUMIFS('caseload data'!S:S,'caseload data'!$C:$C,'divisional &amp; regional caseload%'!$B$99,'caseload data'!$D:$D,"TPO")/SUMIF('caseload data'!$C:$C,'divisional &amp; regional caseload%'!$B$99,'caseload data'!S:S),"")</f>
        <v/>
      </c>
      <c r="R103" s="167" t="str">
        <f>IFERROR(SUMIFS('caseload data'!T:T,'caseload data'!$C:$C,'divisional &amp; regional caseload%'!$B$99,'caseload data'!$D:$D,"TPO")/SUMIF('caseload data'!$C:$C,'divisional &amp; regional caseload%'!$B$99,'caseload data'!T:T),"")</f>
        <v/>
      </c>
      <c r="T103" s="97" t="s">
        <v>1008</v>
      </c>
      <c r="U103" s="167" t="str">
        <f>IFERROR(SUMIFS('caseload data'!E:E,'caseload data'!$C:$C,'divisional &amp; regional caseload%'!$T$99,'caseload data'!$D:$D,"TPO")/SUMIF('caseload data'!$C:$C,'divisional &amp; regional caseload%'!$T$99,'caseload data'!E:E),"")</f>
        <v/>
      </c>
      <c r="V103" s="167" t="str">
        <f>IFERROR(SUMIFS('caseload data'!F:F,'caseload data'!$C:$C,'divisional &amp; regional caseload%'!$T$99,'caseload data'!$D:$D,"TPO")/SUMIF('caseload data'!$C:$C,'divisional &amp; regional caseload%'!$T$99,'caseload data'!F:F),"")</f>
        <v/>
      </c>
      <c r="W103" s="167" t="str">
        <f>IFERROR(SUMIFS('caseload data'!G:G,'caseload data'!$C:$C,'divisional &amp; regional caseload%'!$T$99,'caseload data'!$D:$D,"TPO")/SUMIF('caseload data'!$C:$C,'divisional &amp; regional caseload%'!$T$99,'caseload data'!G:G),"")</f>
        <v/>
      </c>
      <c r="X103" s="167" t="str">
        <f>IFERROR(SUMIFS('caseload data'!H:H,'caseload data'!$C:$C,'divisional &amp; regional caseload%'!$T$99,'caseload data'!$D:$D,"TPO")/SUMIF('caseload data'!$C:$C,'divisional &amp; regional caseload%'!$T$99,'caseload data'!H:H),"")</f>
        <v/>
      </c>
      <c r="Y103" s="167" t="str">
        <f>IFERROR(SUMIFS('caseload data'!I:I,'caseload data'!$C:$C,'divisional &amp; regional caseload%'!$T$99,'caseload data'!$D:$D,"TPO")/SUMIF('caseload data'!$C:$C,'divisional &amp; regional caseload%'!$T$99,'caseload data'!I:I),"")</f>
        <v/>
      </c>
      <c r="Z103" s="167" t="str">
        <f>IFERROR(SUMIFS('caseload data'!J:J,'caseload data'!$C:$C,'divisional &amp; regional caseload%'!$T$99,'caseload data'!$D:$D,"TPO")/SUMIF('caseload data'!$C:$C,'divisional &amp; regional caseload%'!$T$99,'caseload data'!J:J),"")</f>
        <v/>
      </c>
      <c r="AA103" s="167" t="str">
        <f>IFERROR(SUMIFS('caseload data'!K:K,'caseload data'!$C:$C,'divisional &amp; regional caseload%'!$T$99,'caseload data'!$D:$D,"TPO")/SUMIF('caseload data'!$C:$C,'divisional &amp; regional caseload%'!$T$99,'caseload data'!K:K),"")</f>
        <v/>
      </c>
      <c r="AB103" s="167" t="str">
        <f>IFERROR(SUMIFS('caseload data'!L:L,'caseload data'!$C:$C,'divisional &amp; regional caseload%'!$T$99,'caseload data'!$D:$D,"TPO")/SUMIF('caseload data'!$C:$C,'divisional &amp; regional caseload%'!$T$99,'caseload data'!L:L),"")</f>
        <v/>
      </c>
      <c r="AC103" s="167" t="str">
        <f>IFERROR(SUMIFS('caseload data'!M:M,'caseload data'!$C:$C,'divisional &amp; regional caseload%'!$T$99,'caseload data'!$D:$D,"TPO")/SUMIF('caseload data'!$C:$C,'divisional &amp; regional caseload%'!$T$99,'caseload data'!M:M),"")</f>
        <v/>
      </c>
      <c r="AD103" s="167" t="str">
        <f>IFERROR(SUMIFS('caseload data'!N:N,'caseload data'!$C:$C,'divisional &amp; regional caseload%'!$T$99,'caseload data'!$D:$D,"TPO")/SUMIF('caseload data'!$C:$C,'divisional &amp; regional caseload%'!$T$99,'caseload data'!N:N),"")</f>
        <v/>
      </c>
      <c r="AE103" s="167" t="str">
        <f>IFERROR(SUMIFS('caseload data'!O:O,'caseload data'!$C:$C,'divisional &amp; regional caseload%'!$T$99,'caseload data'!$D:$D,"TPO")/SUMIF('caseload data'!$C:$C,'divisional &amp; regional caseload%'!$T$99,'caseload data'!O:O),"")</f>
        <v/>
      </c>
      <c r="AF103" s="167" t="str">
        <f>IFERROR(SUMIFS('caseload data'!P:P,'caseload data'!$C:$C,'divisional &amp; regional caseload%'!$T$99,'caseload data'!$D:$D,"TPO")/SUMIF('caseload data'!$C:$C,'divisional &amp; regional caseload%'!$T$99,'caseload data'!P:P),"")</f>
        <v/>
      </c>
      <c r="AG103" s="167" t="str">
        <f>IFERROR(SUMIFS('caseload data'!Q:Q,'caseload data'!$C:$C,'divisional &amp; regional caseload%'!$T$99,'caseload data'!$D:$D,"TPO")/SUMIF('caseload data'!$C:$C,'divisional &amp; regional caseload%'!$T$99,'caseload data'!Q:Q),"")</f>
        <v/>
      </c>
      <c r="AH103" s="167" t="str">
        <f>IFERROR(SUMIFS('caseload data'!R:R,'caseload data'!$C:$C,'divisional &amp; regional caseload%'!$T$99,'caseload data'!$D:$D,"TPO")/SUMIF('caseload data'!$C:$C,'divisional &amp; regional caseload%'!$T$99,'caseload data'!R:R),"")</f>
        <v/>
      </c>
      <c r="AI103" s="167" t="str">
        <f>IFERROR(SUMIFS('caseload data'!S:S,'caseload data'!$C:$C,'divisional &amp; regional caseload%'!$T$99,'caseload data'!$D:$D,"TPO")/SUMIF('caseload data'!$C:$C,'divisional &amp; regional caseload%'!$T$99,'caseload data'!S:S),"")</f>
        <v/>
      </c>
      <c r="AJ103" s="167" t="str">
        <f>IFERROR(SUMIFS('caseload data'!T:T,'caseload data'!$C:$C,'divisional &amp; regional caseload%'!$T$99,'caseload data'!$D:$D,"TPO")/SUMIF('caseload data'!$C:$C,'divisional &amp; regional caseload%'!$T$99,'caseload data'!T:T),"")</f>
        <v/>
      </c>
    </row>
    <row r="104" spans="2:36" x14ac:dyDescent="0.15">
      <c r="B104" s="98" t="s">
        <v>1009</v>
      </c>
      <c r="C104" s="167" t="str">
        <f>IFERROR(SUMIFS('caseload data'!E:E,'caseload data'!$C:$C,'divisional &amp; regional caseload%'!$B$99,'caseload data'!$D:$D,"SPO")/SUMIF('caseload data'!$C:$C,'divisional &amp; regional caseload%'!$B$99,'caseload data'!E:E),"")</f>
        <v/>
      </c>
      <c r="D104" s="167" t="str">
        <f>IFERROR(SUMIFS('caseload data'!F:F,'caseload data'!$C:$C,'divisional &amp; regional caseload%'!$B$99,'caseload data'!$D:$D,"SPO")/SUMIF('caseload data'!$C:$C,'divisional &amp; regional caseload%'!$B$99,'caseload data'!F:F),"")</f>
        <v/>
      </c>
      <c r="E104" s="167" t="str">
        <f>IFERROR(SUMIFS('caseload data'!G:G,'caseload data'!$C:$C,'divisional &amp; regional caseload%'!$B$99,'caseload data'!$D:$D,"SPO")/SUMIF('caseload data'!$C:$C,'divisional &amp; regional caseload%'!$B$99,'caseload data'!G:G),"")</f>
        <v/>
      </c>
      <c r="F104" s="167" t="str">
        <f>IFERROR(SUMIFS('caseload data'!H:H,'caseload data'!$C:$C,'divisional &amp; regional caseload%'!$B$99,'caseload data'!$D:$D,"SPO")/SUMIF('caseload data'!$C:$C,'divisional &amp; regional caseload%'!$B$99,'caseload data'!H:H),"")</f>
        <v/>
      </c>
      <c r="G104" s="167" t="str">
        <f>IFERROR(SUMIFS('caseload data'!I:I,'caseload data'!$C:$C,'divisional &amp; regional caseload%'!$B$99,'caseload data'!$D:$D,"SPO")/SUMIF('caseload data'!$C:$C,'divisional &amp; regional caseload%'!$B$99,'caseload data'!I:I),"")</f>
        <v/>
      </c>
      <c r="H104" s="167" t="str">
        <f>IFERROR(SUMIFS('caseload data'!J:J,'caseload data'!$C:$C,'divisional &amp; regional caseload%'!$B$99,'caseload data'!$D:$D,"SPO")/SUMIF('caseload data'!$C:$C,'divisional &amp; regional caseload%'!$B$99,'caseload data'!J:J),"")</f>
        <v/>
      </c>
      <c r="I104" s="167" t="str">
        <f>IFERROR(SUMIFS('caseload data'!K:K,'caseload data'!$C:$C,'divisional &amp; regional caseload%'!$B$99,'caseload data'!$D:$D,"SPO")/SUMIF('caseload data'!$C:$C,'divisional &amp; regional caseload%'!$B$99,'caseload data'!K:K),"")</f>
        <v/>
      </c>
      <c r="J104" s="167" t="str">
        <f>IFERROR(SUMIFS('caseload data'!L:L,'caseload data'!$C:$C,'divisional &amp; regional caseload%'!$B$99,'caseload data'!$D:$D,"SPO")/SUMIF('caseload data'!$C:$C,'divisional &amp; regional caseload%'!$B$99,'caseload data'!L:L),"")</f>
        <v/>
      </c>
      <c r="K104" s="167" t="str">
        <f>IFERROR(SUMIFS('caseload data'!M:M,'caseload data'!$C:$C,'divisional &amp; regional caseload%'!$B$99,'caseload data'!$D:$D,"SPO")/SUMIF('caseload data'!$C:$C,'divisional &amp; regional caseload%'!$B$99,'caseload data'!M:M),"")</f>
        <v/>
      </c>
      <c r="L104" s="167" t="str">
        <f>IFERROR(SUMIFS('caseload data'!N:N,'caseload data'!$C:$C,'divisional &amp; regional caseload%'!$B$99,'caseload data'!$D:$D,"SPO")/SUMIF('caseload data'!$C:$C,'divisional &amp; regional caseload%'!$B$99,'caseload data'!N:N),"")</f>
        <v/>
      </c>
      <c r="M104" s="167" t="str">
        <f>IFERROR(SUMIFS('caseload data'!O:O,'caseload data'!$C:$C,'divisional &amp; regional caseload%'!$B$99,'caseload data'!$D:$D,"SPO")/SUMIF('caseload data'!$C:$C,'divisional &amp; regional caseload%'!$B$99,'caseload data'!O:O),"")</f>
        <v/>
      </c>
      <c r="N104" s="167" t="str">
        <f>IFERROR(SUMIFS('caseload data'!P:P,'caseload data'!$C:$C,'divisional &amp; regional caseload%'!$B$99,'caseload data'!$D:$D,"SPO")/SUMIF('caseload data'!$C:$C,'divisional &amp; regional caseload%'!$B$99,'caseload data'!P:P),"")</f>
        <v/>
      </c>
      <c r="O104" s="167" t="str">
        <f>IFERROR(SUMIFS('caseload data'!Q:Q,'caseload data'!$C:$C,'divisional &amp; regional caseload%'!$B$99,'caseload data'!$D:$D,"SPO")/SUMIF('caseload data'!$C:$C,'divisional &amp; regional caseload%'!$B$99,'caseload data'!Q:Q),"")</f>
        <v/>
      </c>
      <c r="P104" s="167" t="str">
        <f>IFERROR(SUMIFS('caseload data'!R:R,'caseload data'!$C:$C,'divisional &amp; regional caseload%'!$B$99,'caseload data'!$D:$D,"SPO")/SUMIF('caseload data'!$C:$C,'divisional &amp; regional caseload%'!$B$99,'caseload data'!R:R),"")</f>
        <v/>
      </c>
      <c r="Q104" s="167" t="str">
        <f>IFERROR(SUMIFS('caseload data'!S:S,'caseload data'!$C:$C,'divisional &amp; regional caseload%'!$B$99,'caseload data'!$D:$D,"SPO")/SUMIF('caseload data'!$C:$C,'divisional &amp; regional caseload%'!$B$99,'caseload data'!S:S),"")</f>
        <v/>
      </c>
      <c r="R104" s="167" t="str">
        <f>IFERROR(SUMIFS('caseload data'!T:T,'caseload data'!$C:$C,'divisional &amp; regional caseload%'!$B$99,'caseload data'!$D:$D,"SPO")/SUMIF('caseload data'!$C:$C,'divisional &amp; regional caseload%'!$B$99,'caseload data'!T:T),"")</f>
        <v/>
      </c>
      <c r="T104" s="98" t="s">
        <v>1009</v>
      </c>
      <c r="U104" s="167" t="str">
        <f>IFERROR(SUMIFS('caseload data'!E:E,'caseload data'!$C:$C,'divisional &amp; regional caseload%'!$T$99,'caseload data'!$D:$D,"SPO")/SUMIF('caseload data'!$C:$C,'divisional &amp; regional caseload%'!$T$99,'caseload data'!E:E),"")</f>
        <v/>
      </c>
      <c r="V104" s="167" t="str">
        <f>IFERROR(SUMIFS('caseload data'!F:F,'caseload data'!$C:$C,'divisional &amp; regional caseload%'!$T$99,'caseload data'!$D:$D,"SPO")/SUMIF('caseload data'!$C:$C,'divisional &amp; regional caseload%'!$T$99,'caseload data'!F:F),"")</f>
        <v/>
      </c>
      <c r="W104" s="167" t="str">
        <f>IFERROR(SUMIFS('caseload data'!G:G,'caseload data'!$C:$C,'divisional &amp; regional caseload%'!$T$99,'caseload data'!$D:$D,"SPO")/SUMIF('caseload data'!$C:$C,'divisional &amp; regional caseload%'!$T$99,'caseload data'!G:G),"")</f>
        <v/>
      </c>
      <c r="X104" s="167" t="str">
        <f>IFERROR(SUMIFS('caseload data'!H:H,'caseload data'!$C:$C,'divisional &amp; regional caseload%'!$T$99,'caseload data'!$D:$D,"SPO")/SUMIF('caseload data'!$C:$C,'divisional &amp; regional caseload%'!$T$99,'caseload data'!H:H),"")</f>
        <v/>
      </c>
      <c r="Y104" s="167" t="str">
        <f>IFERROR(SUMIFS('caseload data'!I:I,'caseload data'!$C:$C,'divisional &amp; regional caseload%'!$T$99,'caseload data'!$D:$D,"SPO")/SUMIF('caseload data'!$C:$C,'divisional &amp; regional caseload%'!$T$99,'caseload data'!I:I),"")</f>
        <v/>
      </c>
      <c r="Z104" s="167" t="str">
        <f>IFERROR(SUMIFS('caseload data'!J:J,'caseload data'!$C:$C,'divisional &amp; regional caseload%'!$T$99,'caseload data'!$D:$D,"SPO")/SUMIF('caseload data'!$C:$C,'divisional &amp; regional caseload%'!$T$99,'caseload data'!J:J),"")</f>
        <v/>
      </c>
      <c r="AA104" s="167" t="str">
        <f>IFERROR(SUMIFS('caseload data'!K:K,'caseload data'!$C:$C,'divisional &amp; regional caseload%'!$T$99,'caseload data'!$D:$D,"SPO")/SUMIF('caseload data'!$C:$C,'divisional &amp; regional caseload%'!$T$99,'caseload data'!K:K),"")</f>
        <v/>
      </c>
      <c r="AB104" s="167" t="str">
        <f>IFERROR(SUMIFS('caseload data'!L:L,'caseload data'!$C:$C,'divisional &amp; regional caseload%'!$T$99,'caseload data'!$D:$D,"SPO")/SUMIF('caseload data'!$C:$C,'divisional &amp; regional caseload%'!$T$99,'caseload data'!L:L),"")</f>
        <v/>
      </c>
      <c r="AC104" s="167" t="str">
        <f>IFERROR(SUMIFS('caseload data'!M:M,'caseload data'!$C:$C,'divisional &amp; regional caseload%'!$T$99,'caseload data'!$D:$D,"SPO")/SUMIF('caseload data'!$C:$C,'divisional &amp; regional caseload%'!$T$99,'caseload data'!M:M),"")</f>
        <v/>
      </c>
      <c r="AD104" s="167" t="str">
        <f>IFERROR(SUMIFS('caseload data'!N:N,'caseload data'!$C:$C,'divisional &amp; regional caseload%'!$T$99,'caseload data'!$D:$D,"SPO")/SUMIF('caseload data'!$C:$C,'divisional &amp; regional caseload%'!$T$99,'caseload data'!N:N),"")</f>
        <v/>
      </c>
      <c r="AE104" s="167" t="str">
        <f>IFERROR(SUMIFS('caseload data'!O:O,'caseload data'!$C:$C,'divisional &amp; regional caseload%'!$T$99,'caseload data'!$D:$D,"SPO")/SUMIF('caseload data'!$C:$C,'divisional &amp; regional caseload%'!$T$99,'caseload data'!O:O),"")</f>
        <v/>
      </c>
      <c r="AF104" s="167" t="str">
        <f>IFERROR(SUMIFS('caseload data'!P:P,'caseload data'!$C:$C,'divisional &amp; regional caseload%'!$T$99,'caseload data'!$D:$D,"SPO")/SUMIF('caseload data'!$C:$C,'divisional &amp; regional caseload%'!$T$99,'caseload data'!P:P),"")</f>
        <v/>
      </c>
      <c r="AG104" s="167" t="str">
        <f>IFERROR(SUMIFS('caseload data'!Q:Q,'caseload data'!$C:$C,'divisional &amp; regional caseload%'!$T$99,'caseload data'!$D:$D,"SPO")/SUMIF('caseload data'!$C:$C,'divisional &amp; regional caseload%'!$T$99,'caseload data'!Q:Q),"")</f>
        <v/>
      </c>
      <c r="AH104" s="167" t="str">
        <f>IFERROR(SUMIFS('caseload data'!R:R,'caseload data'!$C:$C,'divisional &amp; regional caseload%'!$T$99,'caseload data'!$D:$D,"SPO")/SUMIF('caseload data'!$C:$C,'divisional &amp; regional caseload%'!$T$99,'caseload data'!R:R),"")</f>
        <v/>
      </c>
      <c r="AI104" s="167" t="str">
        <f>IFERROR(SUMIFS('caseload data'!S:S,'caseload data'!$C:$C,'divisional &amp; regional caseload%'!$T$99,'caseload data'!$D:$D,"SPO")/SUMIF('caseload data'!$C:$C,'divisional &amp; regional caseload%'!$T$99,'caseload data'!S:S),"")</f>
        <v/>
      </c>
      <c r="AJ104" s="167" t="str">
        <f>IFERROR(SUMIFS('caseload data'!T:T,'caseload data'!$C:$C,'divisional &amp; regional caseload%'!$T$99,'caseload data'!$D:$D,"SPO")/SUMIF('caseload data'!$C:$C,'divisional &amp; regional caseload%'!$T$99,'caseload data'!T:T),"")</f>
        <v/>
      </c>
    </row>
  </sheetData>
  <mergeCells count="58">
    <mergeCell ref="C85:O85"/>
    <mergeCell ref="P85:R85"/>
    <mergeCell ref="C92:O92"/>
    <mergeCell ref="P92:R92"/>
    <mergeCell ref="C99:O99"/>
    <mergeCell ref="P99:R99"/>
    <mergeCell ref="U85:AG85"/>
    <mergeCell ref="AH85:AJ85"/>
    <mergeCell ref="U92:AG92"/>
    <mergeCell ref="AH92:AJ92"/>
    <mergeCell ref="U99:AG99"/>
    <mergeCell ref="AH99:AJ99"/>
    <mergeCell ref="C71:O71"/>
    <mergeCell ref="P71:R71"/>
    <mergeCell ref="U71:AG71"/>
    <mergeCell ref="AH71:AJ71"/>
    <mergeCell ref="C78:O78"/>
    <mergeCell ref="P78:R78"/>
    <mergeCell ref="U78:AG78"/>
    <mergeCell ref="AH78:AJ78"/>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heetViews>
  <sheetFormatPr baseColWidth="10" defaultColWidth="8.83203125" defaultRowHeight="14" x14ac:dyDescent="0.15"/>
  <cols>
    <col min="1" max="1" width="36.5" style="8"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531" t="s">
        <v>1102</v>
      </c>
      <c r="C1" s="480"/>
      <c r="D1" s="480"/>
      <c r="E1" s="480"/>
      <c r="F1" s="480"/>
      <c r="G1" s="480"/>
      <c r="H1" s="480"/>
      <c r="I1" s="480"/>
      <c r="J1" s="480"/>
      <c r="K1" s="480"/>
      <c r="L1" s="257"/>
      <c r="M1" s="257"/>
      <c r="N1" s="257"/>
      <c r="O1" s="257"/>
      <c r="P1" s="257"/>
      <c r="Q1" s="257"/>
      <c r="R1" s="257"/>
      <c r="S1" s="257"/>
      <c r="T1" s="257"/>
      <c r="U1" s="257"/>
      <c r="V1" s="257"/>
      <c r="W1" s="257"/>
      <c r="X1" s="257"/>
      <c r="Y1" s="257"/>
      <c r="Z1" s="257"/>
    </row>
    <row r="2" spans="1:26" ht="42" customHeight="1" x14ac:dyDescent="0.15">
      <c r="A2"/>
      <c r="B2" s="532"/>
      <c r="C2" s="424"/>
      <c r="D2" s="424"/>
      <c r="E2" s="424"/>
      <c r="F2" s="424"/>
      <c r="G2" s="424"/>
      <c r="H2" s="424"/>
      <c r="I2" s="424"/>
      <c r="J2" s="424"/>
      <c r="K2" s="424"/>
      <c r="L2" s="258"/>
      <c r="M2" s="258"/>
      <c r="N2" s="258"/>
      <c r="O2" s="258"/>
      <c r="P2" s="258"/>
      <c r="Q2" s="258"/>
      <c r="R2" s="258"/>
      <c r="S2" s="258"/>
      <c r="T2" s="258"/>
      <c r="U2" s="258"/>
      <c r="V2" s="258"/>
      <c r="W2" s="258"/>
      <c r="X2" s="258"/>
      <c r="Y2" s="258"/>
      <c r="Z2" s="258"/>
    </row>
    <row r="3" spans="1:26" ht="58.5" customHeight="1" x14ac:dyDescent="0.15">
      <c r="A3"/>
      <c r="B3" s="189" t="s">
        <v>940</v>
      </c>
    </row>
    <row r="4" spans="1:26" ht="33" customHeight="1" x14ac:dyDescent="0.2">
      <c r="A4" s="10"/>
      <c r="B4" s="242" t="s">
        <v>17</v>
      </c>
      <c r="C4" s="2"/>
      <c r="D4" s="2"/>
      <c r="E4" s="2"/>
      <c r="F4" s="2"/>
      <c r="G4" s="2"/>
      <c r="H4" s="2"/>
      <c r="I4" s="2"/>
      <c r="J4" s="2"/>
      <c r="K4" s="2"/>
      <c r="L4" s="2"/>
      <c r="M4" s="2"/>
      <c r="N4" s="2"/>
      <c r="O4" s="2"/>
      <c r="P4" s="2"/>
      <c r="Q4" s="2"/>
      <c r="R4" s="2"/>
      <c r="S4" s="2"/>
      <c r="T4" s="2"/>
      <c r="U4" s="2"/>
      <c r="V4" s="2"/>
      <c r="W4" s="1"/>
    </row>
    <row r="5" spans="1:26" ht="16" x14ac:dyDescent="0.2">
      <c r="A5" s="10"/>
      <c r="B5" s="1"/>
      <c r="C5" s="2"/>
      <c r="D5" s="2"/>
      <c r="E5" s="2"/>
      <c r="F5" s="2"/>
      <c r="G5" s="2"/>
      <c r="H5" s="2"/>
      <c r="I5" s="2"/>
      <c r="J5" s="2"/>
      <c r="K5" s="2"/>
      <c r="L5" s="2"/>
      <c r="M5" s="2"/>
      <c r="N5" s="2"/>
      <c r="O5" s="2"/>
      <c r="P5" s="2"/>
      <c r="Q5" s="2"/>
      <c r="R5" s="2"/>
      <c r="S5" s="2"/>
      <c r="T5" s="2"/>
      <c r="U5" s="2"/>
      <c r="V5" s="2"/>
      <c r="W5" s="1"/>
    </row>
    <row r="6" spans="1:26" ht="105" customHeight="1" x14ac:dyDescent="0.15">
      <c r="A6" s="14"/>
      <c r="B6" s="219" t="s">
        <v>1103</v>
      </c>
      <c r="C6" s="219" t="s">
        <v>1104</v>
      </c>
      <c r="D6" s="219" t="s">
        <v>1105</v>
      </c>
      <c r="E6" s="219" t="s">
        <v>1106</v>
      </c>
      <c r="F6" s="153"/>
      <c r="G6" s="219" t="s">
        <v>946</v>
      </c>
      <c r="H6" s="219" t="s">
        <v>947</v>
      </c>
      <c r="I6" s="153"/>
      <c r="J6" s="219" t="s">
        <v>948</v>
      </c>
      <c r="K6" s="219" t="s">
        <v>949</v>
      </c>
    </row>
    <row r="7" spans="1:26" ht="16" x14ac:dyDescent="0.15">
      <c r="A7" s="11"/>
      <c r="B7" s="154" t="s">
        <v>1025</v>
      </c>
      <c r="C7" s="155" t="e">
        <f>SUM((SUMIF('capacity data'!E:E,"PO",'capacity data'!G:G))-SUMIF('capacity data'!E:E,"PO",'capacity data'!H:H))/SUMIF('capacity data'!E:E,"PO",'capacity data'!G:G)</f>
        <v>#DIV/0!</v>
      </c>
      <c r="D7" s="156" t="e">
        <f>SUM((SUMIF('capacity data'!E:E,"PSO",'capacity data'!G:G))-SUMIF('capacity data'!E:E,"PSO",'capacity data'!H:H))/SUMIF('capacity data'!E:E,"PSO",'capacity data'!G:G)</f>
        <v>#DIV/0!</v>
      </c>
      <c r="E7" s="156" t="e">
        <f>SUM((SUMIF('capacity data'!E:E,"TPO",'capacity data'!G:G))-SUMIF('capacity data'!E:E,"TPO",'capacity data'!H:H))/SUMIF('capacity data'!E:E,"TPO",'capacity data'!G:G)</f>
        <v>#DIV/0!</v>
      </c>
      <c r="F7" s="153"/>
      <c r="G7" s="203" t="e">
        <f>SUMIF('capacity data'!$E:$E,"PSO",'capacity data'!$L:$L)/SUM(SUMIF('capacity data'!$E:$E,"PSO",'capacity data'!$G:$G)-SUMIF('capacity data'!$E:$E,"PSO",'capacity data'!$H:$H))</f>
        <v>#DIV/0!</v>
      </c>
      <c r="H7" s="203" t="e">
        <f>SUMIF('capacity data'!$E:$E,"PSO",'capacity data'!$L:$L)/SUMIF('capacity data'!$E:$E,"PSO",'capacity data'!$G:$G)</f>
        <v>#DIV/0!</v>
      </c>
      <c r="I7" s="153"/>
      <c r="J7" s="204" t="e">
        <f>SUMIF('capacity data'!$E:$E,"TPO",'capacity data'!$L:$L)/SUM(SUMIF('capacity data'!$E:$E,"TPO",'capacity data'!$G:$G)-SUMIF('capacity data'!$E:$E,"TPO",'capacity data'!$H:$H))</f>
        <v>#DIV/0!</v>
      </c>
      <c r="K7" s="204" t="e">
        <f>SUMIF('capacity data'!$E:$E,"TPO",'capacity data'!$L:$L)/SUMIF('capacity data'!$E:$E,"TPO",'capacity data'!$G:$G)</f>
        <v>#DIV/0!</v>
      </c>
    </row>
    <row r="8" spans="1:26" ht="16" x14ac:dyDescent="0.2">
      <c r="A8" s="10"/>
      <c r="B8" s="62" t="str">
        <f>HLOOKUP($B$4,Region_Table,2,0)</f>
        <v>All East Midlands Region</v>
      </c>
      <c r="C8" s="67"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7"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7"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3"/>
      <c r="G8" s="211" t="str">
        <f>IFERROR(SUMIFS('capacity data'!$L:$L,'capacity data'!$B:$B,B8,'capacity data'!$E:$E,"PSO")/SUM((SUMIFS('capacity data'!$G:$G,'capacity data'!$E:$E,"PSO",'capacity data'!$B:$B,B8))-SUMIFS('capacity data'!$H:$H,'capacity data'!$E:$E,"PSO",'capacity data'!$B:$B,B8)),"")</f>
        <v/>
      </c>
      <c r="H8" s="211" t="str">
        <f>IFERROR(SUMIFS('capacity data'!$L:$L,'capacity data'!$B:$B,B8,'capacity data'!$E:$E,"PSO")/SUMIFS('capacity data'!$G:$G,'capacity data'!$E:$E,"PSO",'capacity data'!$B:$B,B8),"")</f>
        <v/>
      </c>
      <c r="I8" s="153"/>
      <c r="J8" s="66" t="str">
        <f>IFERROR(SUMIFS('capacity data'!$L:$L,'capacity data'!$B:$B,B8,'capacity data'!$E:$E,"TPO")/SUM((SUMIFS('capacity data'!$G:$G,'capacity data'!$E:$E,"TPO",'capacity data'!$B:$B,B8))-SUMIFS('capacity data'!$H:$H,'capacity data'!$E:$E,"TPO",'capacity data'!$B:$B,B8)),"")</f>
        <v/>
      </c>
      <c r="K8" s="66" t="str">
        <f>IFERROR(SUMIFS('capacity data'!$L:$L,'capacity data'!$B:$B,B8,'capacity data'!$E:$E,"TPO")/SUMIFS('capacity data'!$G:$G,'capacity data'!$E:$E,"TPO",'capacity data'!$B:$B,B8),"")</f>
        <v/>
      </c>
    </row>
    <row r="9" spans="1:26" ht="16" x14ac:dyDescent="0.2">
      <c r="A9" s="10"/>
      <c r="B9" s="62" t="str">
        <f>HLOOKUP($B$4,Region_Table,3,0)</f>
        <v>Derby City - N53</v>
      </c>
      <c r="C9" s="67"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7"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7"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3"/>
      <c r="G9" s="211" t="str">
        <f>IFERROR(SUMIFS('capacity data'!$L:$L,'capacity data'!$B:$B,B9,'capacity data'!$E:$E,"PSO")/SUM((SUMIFS('capacity data'!$G:$G,'capacity data'!$E:$E,"PSO",'capacity data'!$B:$B,B9))-SUMIFS('capacity data'!$H:$H,'capacity data'!$E:$E,"PSO",'capacity data'!$B:$B,B9)),"")</f>
        <v/>
      </c>
      <c r="H9" s="211" t="str">
        <f>IFERROR(SUMIFS('capacity data'!$L:$L,'capacity data'!$B:$B,B9,'capacity data'!$E:$E,"PSO")/SUMIFS('capacity data'!$G:$G,'capacity data'!$E:$E,"PSO",'capacity data'!$B:$B,B9),"")</f>
        <v/>
      </c>
      <c r="I9" s="153"/>
      <c r="J9" s="66" t="str">
        <f>IFERROR(SUMIFS('capacity data'!$L:$L,'capacity data'!$B:$B,B9,'capacity data'!$E:$E,"TPO")/SUM((SUMIFS('capacity data'!$G:$G,'capacity data'!$E:$E,"TPO",'capacity data'!$B:$B,B9))-SUMIFS('capacity data'!$H:$H,'capacity data'!$E:$E,"TPO",'capacity data'!$B:$B,B9)),"")</f>
        <v/>
      </c>
      <c r="K9" s="66" t="str">
        <f>IFERROR(SUMIFS('capacity data'!$L:$L,'capacity data'!$B:$B,B9,'capacity data'!$E:$E,"TPO")/SUMIFS('capacity data'!$G:$G,'capacity data'!$E:$E,"TPO",'capacity data'!$B:$B,B9),"")</f>
        <v/>
      </c>
    </row>
    <row r="10" spans="1:26" ht="16" x14ac:dyDescent="0.2">
      <c r="A10" s="10"/>
      <c r="B10" s="62" t="str">
        <f>HLOOKUP($B$4,Region_Table,4,0)</f>
        <v>Derbyshire - N53</v>
      </c>
      <c r="C10" s="67"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7"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7"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8"/>
      <c r="G10" s="211" t="str">
        <f>IFERROR(SUMIFS('capacity data'!$L:$L,'capacity data'!$B:$B,B10,'capacity data'!$E:$E,"PSO")/SUM((SUMIFS('capacity data'!$G:$G,'capacity data'!$E:$E,"PSO",'capacity data'!$B:$B,B10))-SUMIFS('capacity data'!$H:$H,'capacity data'!$E:$E,"PSO",'capacity data'!$B:$B,B10)),"")</f>
        <v/>
      </c>
      <c r="H10" s="211" t="str">
        <f>IFERROR(SUMIFS('capacity data'!$L:$L,'capacity data'!$B:$B,B10,'capacity data'!$E:$E,"PSO")/SUMIFS('capacity data'!$G:$G,'capacity data'!$E:$E,"PSO",'capacity data'!$B:$B,B10),"")</f>
        <v/>
      </c>
      <c r="I10" s="153"/>
      <c r="J10" s="66" t="str">
        <f>IFERROR(SUMIFS('capacity data'!$L:$L,'capacity data'!$B:$B,B10,'capacity data'!$E:$E,"TPO")/SUM((SUMIFS('capacity data'!$G:$G,'capacity data'!$E:$E,"TPO",'capacity data'!$B:$B,B10))-SUMIFS('capacity data'!$H:$H,'capacity data'!$E:$E,"TPO",'capacity data'!$B:$B,B10)),"")</f>
        <v/>
      </c>
      <c r="K10" s="66" t="str">
        <f>IFERROR(SUMIFS('capacity data'!$L:$L,'capacity data'!$B:$B,B10,'capacity data'!$E:$E,"TPO")/SUMIFS('capacity data'!$G:$G,'capacity data'!$E:$E,"TPO",'capacity data'!$B:$B,B10),"")</f>
        <v/>
      </c>
    </row>
    <row r="11" spans="1:26" ht="16" x14ac:dyDescent="0.2">
      <c r="A11" s="10"/>
      <c r="B11" s="62" t="str">
        <f>HLOOKUP($B$4,Region_Table,5,0)</f>
        <v>Leicester, Leicestershire and Rutland</v>
      </c>
      <c r="C11" s="67"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7"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7"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3"/>
      <c r="G11" s="211" t="str">
        <f>IFERROR(SUMIFS('capacity data'!$L:$L,'capacity data'!$B:$B,B11,'capacity data'!$E:$E,"PSO")/SUM((SUMIFS('capacity data'!$G:$G,'capacity data'!$E:$E,"PSO",'capacity data'!$B:$B,B11))-SUMIFS('capacity data'!$H:$H,'capacity data'!$E:$E,"PSO",'capacity data'!$B:$B,B11)),"")</f>
        <v/>
      </c>
      <c r="H11" s="211" t="str">
        <f>IFERROR(SUMIFS('capacity data'!$L:$L,'capacity data'!$B:$B,B11,'capacity data'!$E:$E,"PSO")/SUMIFS('capacity data'!$G:$G,'capacity data'!$E:$E,"PSO",'capacity data'!$B:$B,B11),"")</f>
        <v/>
      </c>
      <c r="I11" s="153"/>
      <c r="J11" s="66" t="str">
        <f>IFERROR(SUMIFS('capacity data'!$L:$L,'capacity data'!$B:$B,B11,'capacity data'!$E:$E,"TPO")/SUM((SUMIFS('capacity data'!$G:$G,'capacity data'!$E:$E,"TPO",'capacity data'!$B:$B,B11))-SUMIFS('capacity data'!$H:$H,'capacity data'!$E:$E,"TPO",'capacity data'!$B:$B,B11)),"")</f>
        <v/>
      </c>
      <c r="K11" s="66" t="str">
        <f>IFERROR(SUMIFS('capacity data'!$L:$L,'capacity data'!$B:$B,B11,'capacity data'!$E:$E,"TPO")/SUMIFS('capacity data'!$G:$G,'capacity data'!$E:$E,"TPO",'capacity data'!$B:$B,B11),"")</f>
        <v/>
      </c>
    </row>
    <row r="12" spans="1:26" ht="16" x14ac:dyDescent="0.2">
      <c r="A12" s="10"/>
      <c r="B12" s="62" t="str">
        <f>HLOOKUP($B$4,Region_Table,6,0)</f>
        <v>Lincolnshire East and West - N53</v>
      </c>
      <c r="C12" s="67"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7"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7"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3"/>
      <c r="G12" s="211" t="str">
        <f>IFERROR(SUMIFS('capacity data'!$L:$L,'capacity data'!$B:$B,B12,'capacity data'!$E:$E,"PSO")/SUM((SUMIFS('capacity data'!$G:$G,'capacity data'!$E:$E,"PSO",'capacity data'!$B:$B,B12))-SUMIFS('capacity data'!$H:$H,'capacity data'!$E:$E,"PSO",'capacity data'!$B:$B,B12)),"")</f>
        <v/>
      </c>
      <c r="H12" s="211" t="str">
        <f>IFERROR(SUMIFS('capacity data'!$L:$L,'capacity data'!$B:$B,B12,'capacity data'!$E:$E,"PSO")/SUMIFS('capacity data'!$G:$G,'capacity data'!$E:$E,"PSO",'capacity data'!$B:$B,B12),"")</f>
        <v/>
      </c>
      <c r="I12" s="153"/>
      <c r="J12" s="66" t="str">
        <f>IFERROR(SUMIFS('capacity data'!$L:$L,'capacity data'!$B:$B,B12,'capacity data'!$E:$E,"TPO")/SUM((SUMIFS('capacity data'!$G:$G,'capacity data'!$E:$E,"TPO",'capacity data'!$B:$B,B12))-SUMIFS('capacity data'!$H:$H,'capacity data'!$E:$E,"TPO",'capacity data'!$B:$B,B12)),"")</f>
        <v/>
      </c>
      <c r="K12" s="66" t="str">
        <f>IFERROR(SUMIFS('capacity data'!$L:$L,'capacity data'!$B:$B,B12,'capacity data'!$E:$E,"TPO")/SUMIFS('capacity data'!$G:$G,'capacity data'!$E:$E,"TPO",'capacity data'!$B:$B,B12),"")</f>
        <v/>
      </c>
    </row>
    <row r="13" spans="1:26" ht="16" x14ac:dyDescent="0.2">
      <c r="A13" s="10"/>
      <c r="B13" s="62" t="str">
        <f>HLOOKUP($B$4,Region_Table,7,0)</f>
        <v>Nottingham City</v>
      </c>
      <c r="C13" s="67"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7"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7"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3"/>
      <c r="G13" s="211" t="str">
        <f>IFERROR(SUMIFS('capacity data'!$L:$L,'capacity data'!$B:$B,B13,'capacity data'!$E:$E,"PSO")/SUM((SUMIFS('capacity data'!$G:$G,'capacity data'!$E:$E,"PSO",'capacity data'!$B:$B,B13))-SUMIFS('capacity data'!$H:$H,'capacity data'!$E:$E,"PSO",'capacity data'!$B:$B,B13)),"")</f>
        <v/>
      </c>
      <c r="H13" s="211" t="str">
        <f>IFERROR(SUMIFS('capacity data'!$L:$L,'capacity data'!$B:$B,B13,'capacity data'!$E:$E,"PSO")/SUMIFS('capacity data'!$G:$G,'capacity data'!$E:$E,"PSO",'capacity data'!$B:$B,B13),"")</f>
        <v/>
      </c>
      <c r="I13" s="153"/>
      <c r="J13" s="66" t="str">
        <f>IFERROR(SUMIFS('capacity data'!$L:$L,'capacity data'!$B:$B,B13,'capacity data'!$E:$E,"TPO")/SUM((SUMIFS('capacity data'!$G:$G,'capacity data'!$E:$E,"TPO",'capacity data'!$B:$B,B13))-SUMIFS('capacity data'!$H:$H,'capacity data'!$E:$E,"TPO",'capacity data'!$B:$B,B13)),"")</f>
        <v/>
      </c>
      <c r="K13" s="66" t="str">
        <f>IFERROR(SUMIFS('capacity data'!$L:$L,'capacity data'!$B:$B,B13,'capacity data'!$E:$E,"TPO")/SUMIFS('capacity data'!$G:$G,'capacity data'!$E:$E,"TPO",'capacity data'!$B:$B,B13),"")</f>
        <v/>
      </c>
    </row>
    <row r="14" spans="1:26" ht="16" x14ac:dyDescent="0.2">
      <c r="A14" s="10"/>
      <c r="B14" s="62" t="str">
        <f>HLOOKUP($B$4,Region_Table,8,0)</f>
        <v>Nottinghamshire - N53</v>
      </c>
      <c r="C14" s="67"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7"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7"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3"/>
      <c r="G14" s="211" t="str">
        <f>IFERROR(SUMIFS('capacity data'!$L:$L,'capacity data'!$B:$B,B14,'capacity data'!$E:$E,"PSO")/SUM((SUMIFS('capacity data'!$G:$G,'capacity data'!$E:$E,"PSO",'capacity data'!$B:$B,B14))-SUMIFS('capacity data'!$H:$H,'capacity data'!$E:$E,"PSO",'capacity data'!$B:$B,B14)),"")</f>
        <v/>
      </c>
      <c r="H14" s="211" t="str">
        <f>IFERROR(SUMIFS('capacity data'!$L:$L,'capacity data'!$B:$B,B14,'capacity data'!$E:$E,"PSO")/SUMIFS('capacity data'!$G:$G,'capacity data'!$E:$E,"PSO",'capacity data'!$B:$B,B14),"")</f>
        <v/>
      </c>
      <c r="I14" s="153"/>
      <c r="J14" s="66" t="str">
        <f>IFERROR(SUMIFS('capacity data'!$L:$L,'capacity data'!$B:$B,B14,'capacity data'!$E:$E,"TPO")/SUM((SUMIFS('capacity data'!$G:$G,'capacity data'!$E:$E,"TPO",'capacity data'!$B:$B,B14))-SUMIFS('capacity data'!$H:$H,'capacity data'!$E:$E,"TPO",'capacity data'!$B:$B,B14)),"")</f>
        <v/>
      </c>
      <c r="K14" s="66" t="str">
        <f>IFERROR(SUMIFS('capacity data'!$L:$L,'capacity data'!$B:$B,B14,'capacity data'!$E:$E,"TPO")/SUMIFS('capacity data'!$G:$G,'capacity data'!$E:$E,"TPO",'capacity data'!$B:$B,B14),"")</f>
        <v/>
      </c>
    </row>
    <row r="15" spans="1:26" ht="16" x14ac:dyDescent="0.2">
      <c r="A15" s="10"/>
      <c r="B15" s="62" t="str">
        <f>HLOOKUP($B$4,Region_Table,9,0)</f>
        <v>Unpaid Work and Attendance Centres - N53</v>
      </c>
      <c r="C15" s="67"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7"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7"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3"/>
      <c r="G15" s="211" t="str">
        <f>IFERROR(SUMIFS('capacity data'!$L:$L,'capacity data'!$B:$B,B15,'capacity data'!$E:$E,"PSO")/SUM((SUMIFS('capacity data'!$G:$G,'capacity data'!$E:$E,"PSO",'capacity data'!$B:$B,B15))-SUMIFS('capacity data'!$H:$H,'capacity data'!$E:$E,"PSO",'capacity data'!$B:$B,B15)),"")</f>
        <v/>
      </c>
      <c r="H15" s="211" t="str">
        <f>IFERROR(SUMIFS('capacity data'!$L:$L,'capacity data'!$B:$B,B15,'capacity data'!$E:$E,"PSO")/SUMIFS('capacity data'!$G:$G,'capacity data'!$E:$E,"PSO",'capacity data'!$B:$B,B15),"")</f>
        <v/>
      </c>
      <c r="I15" s="153"/>
      <c r="J15" s="66" t="str">
        <f>IFERROR(SUMIFS('capacity data'!$L:$L,'capacity data'!$B:$B,B15,'capacity data'!$E:$E,"TPO")/SUM((SUMIFS('capacity data'!$G:$G,'capacity data'!$E:$E,"TPO",'capacity data'!$B:$B,B15))-SUMIFS('capacity data'!$H:$H,'capacity data'!$E:$E,"TPO",'capacity data'!$B:$B,B15)),"")</f>
        <v/>
      </c>
      <c r="K15" s="66" t="str">
        <f>IFERROR(SUMIFS('capacity data'!$L:$L,'capacity data'!$B:$B,B15,'capacity data'!$E:$E,"TPO")/SUMIFS('capacity data'!$G:$G,'capacity data'!$E:$E,"TPO",'capacity data'!$B:$B,B15),"")</f>
        <v/>
      </c>
    </row>
    <row r="16" spans="1:26" ht="16" x14ac:dyDescent="0.2">
      <c r="A16" s="10"/>
      <c r="B16" s="62">
        <f>HLOOKUP($B$4,Region_Table,10,0)</f>
        <v>0</v>
      </c>
      <c r="C16" s="67"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7"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7"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3"/>
      <c r="G16" s="211" t="str">
        <f>IFERROR(SUMIFS('capacity data'!$L:$L,'capacity data'!$B:$B,B16,'capacity data'!$E:$E,"PSO")/SUM((SUMIFS('capacity data'!$G:$G,'capacity data'!$E:$E,"PSO",'capacity data'!$B:$B,B16))-SUMIFS('capacity data'!$H:$H,'capacity data'!$E:$E,"PSO",'capacity data'!$B:$B,B16)),"")</f>
        <v/>
      </c>
      <c r="H16" s="211" t="str">
        <f>IFERROR(SUMIFS('capacity data'!$L:$L,'capacity data'!$B:$B,B16,'capacity data'!$E:$E,"PSO")/SUMIFS('capacity data'!$G:$G,'capacity data'!$E:$E,"PSO",'capacity data'!$B:$B,B16),"")</f>
        <v/>
      </c>
      <c r="I16" s="153"/>
      <c r="J16" s="66" t="str">
        <f>IFERROR(SUMIFS('capacity data'!$L:$L,'capacity data'!$B:$B,B16,'capacity data'!$E:$E,"TPO")/SUM((SUMIFS('capacity data'!$G:$G,'capacity data'!$E:$E,"TPO",'capacity data'!$B:$B,B16))-SUMIFS('capacity data'!$H:$H,'capacity data'!$E:$E,"TPO",'capacity data'!$B:$B,B16)),"")</f>
        <v/>
      </c>
      <c r="K16" s="66" t="str">
        <f>IFERROR(SUMIFS('capacity data'!$L:$L,'capacity data'!$B:$B,B16,'capacity data'!$E:$E,"TPO")/SUMIFS('capacity data'!$G:$G,'capacity data'!$E:$E,"TPO",'capacity data'!$B:$B,B16),"")</f>
        <v/>
      </c>
    </row>
    <row r="17" spans="1:11" ht="16" x14ac:dyDescent="0.2">
      <c r="A17" s="12" t="s">
        <v>21</v>
      </c>
      <c r="B17" s="62">
        <f>HLOOKUP($B$4,Region_Table,11,0)</f>
        <v>0</v>
      </c>
      <c r="C17" s="67"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7"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7"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3"/>
      <c r="G17" s="211" t="str">
        <f>IFERROR(SUMIFS('capacity data'!$L:$L,'capacity data'!$B:$B,B17,'capacity data'!$E:$E,"PSO")/SUM((SUMIFS('capacity data'!$G:$G,'capacity data'!$E:$E,"PSO",'capacity data'!$B:$B,B17))-SUMIFS('capacity data'!$H:$H,'capacity data'!$E:$E,"PSO",'capacity data'!$B:$B,B17)),"")</f>
        <v/>
      </c>
      <c r="H17" s="211" t="str">
        <f>IFERROR(SUMIFS('capacity data'!$L:$L,'capacity data'!$B:$B,B17,'capacity data'!$E:$E,"PSO")/SUMIFS('capacity data'!$G:$G,'capacity data'!$E:$E,"PSO",'capacity data'!$B:$B,B17),"")</f>
        <v/>
      </c>
      <c r="I17" s="153"/>
      <c r="J17" s="66" t="str">
        <f>IFERROR(SUMIFS('capacity data'!$L:$L,'capacity data'!$B:$B,B17,'capacity data'!$E:$E,"TPO")/SUM((SUMIFS('capacity data'!$G:$G,'capacity data'!$E:$E,"TPO",'capacity data'!$B:$B,B17))-SUMIFS('capacity data'!$H:$H,'capacity data'!$E:$E,"TPO",'capacity data'!$B:$B,B17)),"")</f>
        <v/>
      </c>
      <c r="K17" s="66" t="str">
        <f>IFERROR(SUMIFS('capacity data'!$L:$L,'capacity data'!$B:$B,B17,'capacity data'!$E:$E,"TPO")/SUMIFS('capacity data'!$G:$G,'capacity data'!$E:$E,"TPO",'capacity data'!$B:$B,B17),"")</f>
        <v/>
      </c>
    </row>
    <row r="18" spans="1:11" ht="16" x14ac:dyDescent="0.2">
      <c r="A18" s="12" t="s">
        <v>1107</v>
      </c>
      <c r="B18" s="62">
        <f>HLOOKUP($B$4,Region_Table,12,0)</f>
        <v>0</v>
      </c>
      <c r="C18" s="67"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7"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7"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3"/>
      <c r="G18" s="211" t="str">
        <f>IFERROR(SUMIFS('capacity data'!$L:$L,'capacity data'!$B:$B,B18,'capacity data'!$E:$E,"PSO")/SUM((SUMIFS('capacity data'!$G:$G,'capacity data'!$E:$E,"PSO",'capacity data'!$B:$B,B18))-SUMIFS('capacity data'!$H:$H,'capacity data'!$E:$E,"PSO",'capacity data'!$B:$B,B18)),"")</f>
        <v/>
      </c>
      <c r="H18" s="211" t="str">
        <f>IFERROR(SUMIFS('capacity data'!$L:$L,'capacity data'!$B:$B,B18,'capacity data'!$E:$E,"PSO")/SUMIFS('capacity data'!$G:$G,'capacity data'!$E:$E,"PSO",'capacity data'!$B:$B,B18),"")</f>
        <v/>
      </c>
      <c r="I18" s="153"/>
      <c r="J18" s="66" t="str">
        <f>IFERROR(SUMIFS('capacity data'!$L:$L,'capacity data'!$B:$B,B18,'capacity data'!$E:$E,"TPO")/SUM((SUMIFS('capacity data'!$G:$G,'capacity data'!$E:$E,"TPO",'capacity data'!$B:$B,B18))-SUMIFS('capacity data'!$H:$H,'capacity data'!$E:$E,"TPO",'capacity data'!$B:$B,B18)),"")</f>
        <v/>
      </c>
      <c r="K18" s="66" t="str">
        <f>IFERROR(SUMIFS('capacity data'!$L:$L,'capacity data'!$B:$B,B18,'capacity data'!$E:$E,"TPO")/SUMIFS('capacity data'!$G:$G,'capacity data'!$E:$E,"TPO",'capacity data'!$B:$B,B18),"")</f>
        <v/>
      </c>
    </row>
    <row r="19" spans="1:11" ht="16" x14ac:dyDescent="0.2">
      <c r="A19" s="12" t="s">
        <v>1108</v>
      </c>
      <c r="B19" s="62">
        <f>HLOOKUP($B$4,Region_Table,13,0)</f>
        <v>0</v>
      </c>
      <c r="C19" s="67"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7"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7"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3"/>
      <c r="G19" s="211" t="str">
        <f>IFERROR(SUMIFS('capacity data'!$L:$L,'capacity data'!$B:$B,B19,'capacity data'!$E:$E,"PSO")/SUM((SUMIFS('capacity data'!$G:$G,'capacity data'!$E:$E,"PSO",'capacity data'!$B:$B,B19))-SUMIFS('capacity data'!$H:$H,'capacity data'!$E:$E,"PSO",'capacity data'!$B:$B,B19)),"")</f>
        <v/>
      </c>
      <c r="H19" s="211" t="str">
        <f>IFERROR(SUMIFS('capacity data'!$L:$L,'capacity data'!$B:$B,B19,'capacity data'!$E:$E,"PSO")/SUMIFS('capacity data'!$G:$G,'capacity data'!$E:$E,"PSO",'capacity data'!$B:$B,B19),"")</f>
        <v/>
      </c>
      <c r="I19" s="153"/>
      <c r="J19" s="66" t="str">
        <f>IFERROR(SUMIFS('capacity data'!$L:$L,'capacity data'!$B:$B,B19,'capacity data'!$E:$E,"TPO")/SUM((SUMIFS('capacity data'!$G:$G,'capacity data'!$E:$E,"TPO",'capacity data'!$B:$B,B19))-SUMIFS('capacity data'!$H:$H,'capacity data'!$E:$E,"TPO",'capacity data'!$B:$B,B19)),"")</f>
        <v/>
      </c>
      <c r="K19" s="66" t="str">
        <f>IFERROR(SUMIFS('capacity data'!$L:$L,'capacity data'!$B:$B,B19,'capacity data'!$E:$E,"TPO")/SUMIFS('capacity data'!$G:$G,'capacity data'!$E:$E,"TPO",'capacity data'!$B:$B,B19),"")</f>
        <v/>
      </c>
    </row>
    <row r="20" spans="1:11" ht="16" x14ac:dyDescent="0.2">
      <c r="A20" s="12" t="s">
        <v>1109</v>
      </c>
      <c r="B20" s="62">
        <f>HLOOKUP($B$4,Region_Table,14,0)</f>
        <v>0</v>
      </c>
      <c r="C20" s="67"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7"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7"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3"/>
      <c r="G20" s="211" t="str">
        <f>IFERROR(SUMIFS('capacity data'!$L:$L,'capacity data'!$B:$B,B20,'capacity data'!$E:$E,"PSO")/SUM((SUMIFS('capacity data'!$G:$G,'capacity data'!$E:$E,"PSO",'capacity data'!$B:$B,B20))-SUMIFS('capacity data'!$H:$H,'capacity data'!$E:$E,"PSO",'capacity data'!$B:$B,B20)),"")</f>
        <v/>
      </c>
      <c r="H20" s="211" t="str">
        <f>IFERROR(SUMIFS('capacity data'!$L:$L,'capacity data'!$B:$B,B20,'capacity data'!$E:$E,"PSO")/SUMIFS('capacity data'!$G:$G,'capacity data'!$E:$E,"PSO",'capacity data'!$B:$B,B20),"")</f>
        <v/>
      </c>
      <c r="I20" s="153"/>
      <c r="J20" s="66" t="str">
        <f>IFERROR(SUMIFS('capacity data'!$L:$L,'capacity data'!$B:$B,B20,'capacity data'!$E:$E,"TPO")/SUM((SUMIFS('capacity data'!$G:$G,'capacity data'!$E:$E,"TPO",'capacity data'!$B:$B,B20))-SUMIFS('capacity data'!$H:$H,'capacity data'!$E:$E,"TPO",'capacity data'!$B:$B,B20)),"")</f>
        <v/>
      </c>
      <c r="K20" s="66" t="str">
        <f>IFERROR(SUMIFS('capacity data'!$L:$L,'capacity data'!$B:$B,B20,'capacity data'!$E:$E,"TPO")/SUMIFS('capacity data'!$G:$G,'capacity data'!$E:$E,"TPO",'capacity data'!$B:$B,B20),"")</f>
        <v/>
      </c>
    </row>
    <row r="21" spans="1:11" ht="16" x14ac:dyDescent="0.2">
      <c r="A21" s="12" t="s">
        <v>1110</v>
      </c>
      <c r="B21" s="62">
        <f>HLOOKUP($B$4,Region_Table,15,0)</f>
        <v>0</v>
      </c>
      <c r="C21" s="67"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7"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7"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3"/>
      <c r="G21" s="211" t="str">
        <f>IFERROR(SUMIFS('capacity data'!$L:$L,'capacity data'!$B:$B,B21,'capacity data'!$E:$E,"PSO")/SUM((SUMIFS('capacity data'!$G:$G,'capacity data'!$E:$E,"PSO",'capacity data'!$B:$B,B21))-SUMIFS('capacity data'!$H:$H,'capacity data'!$E:$E,"PSO",'capacity data'!$B:$B,B21)),"")</f>
        <v/>
      </c>
      <c r="H21" s="211" t="str">
        <f>IFERROR(SUMIFS('capacity data'!$L:$L,'capacity data'!$B:$B,B21,'capacity data'!$E:$E,"PSO")/SUMIFS('capacity data'!$G:$G,'capacity data'!$E:$E,"PSO",'capacity data'!$B:$B,B21),"")</f>
        <v/>
      </c>
      <c r="I21" s="153"/>
      <c r="J21" s="66" t="str">
        <f>IFERROR(SUMIFS('capacity data'!$L:$L,'capacity data'!$B:$B,B21,'capacity data'!$E:$E,"TPO")/SUM((SUMIFS('capacity data'!$G:$G,'capacity data'!$E:$E,"TPO",'capacity data'!$B:$B,B21))-SUMIFS('capacity data'!$H:$H,'capacity data'!$E:$E,"TPO",'capacity data'!$B:$B,B21)),"")</f>
        <v/>
      </c>
      <c r="K21" s="66" t="str">
        <f>IFERROR(SUMIFS('capacity data'!$L:$L,'capacity data'!$B:$B,B21,'capacity data'!$E:$E,"TPO")/SUMIFS('capacity data'!$G:$G,'capacity data'!$E:$E,"TPO",'capacity data'!$B:$B,B21),"")</f>
        <v/>
      </c>
    </row>
    <row r="22" spans="1:11" ht="16" x14ac:dyDescent="0.2">
      <c r="A22" s="12" t="s">
        <v>1111</v>
      </c>
      <c r="B22" s="62">
        <f>HLOOKUP($B$4,Region_Table,16,0)</f>
        <v>0</v>
      </c>
      <c r="C22" s="67"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7"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7"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3"/>
      <c r="G22" s="211" t="str">
        <f>IFERROR(SUMIFS('capacity data'!$L:$L,'capacity data'!$B:$B,B22,'capacity data'!$E:$E,"PSO")/SUM((SUMIFS('capacity data'!$G:$G,'capacity data'!$E:$E,"PSO",'capacity data'!$B:$B,B22))-SUMIFS('capacity data'!$H:$H,'capacity data'!$E:$E,"PSO",'capacity data'!$B:$B,B22)),"")</f>
        <v/>
      </c>
      <c r="H22" s="211" t="str">
        <f>IFERROR(SUMIFS('capacity data'!$L:$L,'capacity data'!$B:$B,B22,'capacity data'!$E:$E,"PSO")/SUMIFS('capacity data'!$G:$G,'capacity data'!$E:$E,"PSO",'capacity data'!$B:$B,B22),"")</f>
        <v/>
      </c>
      <c r="I22" s="153"/>
      <c r="J22" s="66" t="str">
        <f>IFERROR(SUMIFS('capacity data'!$L:$L,'capacity data'!$B:$B,B22,'capacity data'!$E:$E,"TPO")/SUM((SUMIFS('capacity data'!$G:$G,'capacity data'!$E:$E,"TPO",'capacity data'!$B:$B,B22))-SUMIFS('capacity data'!$H:$H,'capacity data'!$E:$E,"TPO",'capacity data'!$B:$B,B22)),"")</f>
        <v/>
      </c>
      <c r="K22" s="66" t="str">
        <f>IFERROR(SUMIFS('capacity data'!$L:$L,'capacity data'!$B:$B,B22,'capacity data'!$E:$E,"TPO")/SUMIFS('capacity data'!$G:$G,'capacity data'!$E:$E,"TPO",'capacity data'!$B:$B,B22),"")</f>
        <v/>
      </c>
    </row>
    <row r="23" spans="1:11" ht="16" customHeight="1" x14ac:dyDescent="0.2">
      <c r="A23" s="12" t="s">
        <v>26</v>
      </c>
      <c r="B23" s="62">
        <f>HLOOKUP($B$4,Region_Table,17,0)</f>
        <v>0</v>
      </c>
      <c r="C23" s="67"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7"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7"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3"/>
      <c r="G23" s="211" t="str">
        <f>IFERROR(SUMIFS('capacity data'!$L:$L,'capacity data'!$B:$B,B23,'capacity data'!$E:$E,"PSO")/SUM((SUMIFS('capacity data'!$G:$G,'capacity data'!$E:$E,"PSO",'capacity data'!$B:$B,B23))-SUMIFS('capacity data'!$H:$H,'capacity data'!$E:$E,"PSO",'capacity data'!$B:$B,B23)),"")</f>
        <v/>
      </c>
      <c r="H23" s="211" t="str">
        <f>IFERROR(SUMIFS('capacity data'!$L:$L,'capacity data'!$B:$B,B23,'capacity data'!$E:$E,"PSO")/SUMIFS('capacity data'!$G:$G,'capacity data'!$E:$E,"PSO",'capacity data'!$B:$B,B23),"")</f>
        <v/>
      </c>
      <c r="I23" s="153"/>
      <c r="J23" s="66" t="str">
        <f>IFERROR(SUMIFS('capacity data'!$L:$L,'capacity data'!$B:$B,B23,'capacity data'!$E:$E,"TPO")/SUM((SUMIFS('capacity data'!$G:$G,'capacity data'!$E:$E,"TPO",'capacity data'!$B:$B,B23))-SUMIFS('capacity data'!$H:$H,'capacity data'!$E:$E,"TPO",'capacity data'!$B:$B,B23)),"")</f>
        <v/>
      </c>
      <c r="K23" s="66" t="str">
        <f>IFERROR(SUMIFS('capacity data'!$L:$L,'capacity data'!$B:$B,B23,'capacity data'!$E:$E,"TPO")/SUMIFS('capacity data'!$G:$G,'capacity data'!$E:$E,"TPO",'capacity data'!$B:$B,B23),"")</f>
        <v/>
      </c>
    </row>
    <row r="24" spans="1:11" ht="16" x14ac:dyDescent="0.2">
      <c r="A24" s="221"/>
      <c r="B24" s="62">
        <f>HLOOKUP($B$4,Region_Table,18,0)</f>
        <v>0</v>
      </c>
      <c r="C24" s="67"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7"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7"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3"/>
      <c r="G24" s="211" t="str">
        <f>IFERROR(SUMIFS('capacity data'!$L:$L,'capacity data'!$B:$B,B24,'capacity data'!$E:$E,"PSO")/SUM((SUMIFS('capacity data'!$G:$G,'capacity data'!$E:$E,"PSO",'capacity data'!$B:$B,B24))-SUMIFS('capacity data'!$H:$H,'capacity data'!$E:$E,"PSO",'capacity data'!$B:$B,B24)),"")</f>
        <v/>
      </c>
      <c r="H24" s="211" t="str">
        <f>IFERROR(SUMIFS('capacity data'!$L:$L,'capacity data'!$B:$B,B24,'capacity data'!$E:$E,"PSO")/SUMIFS('capacity data'!$G:$G,'capacity data'!$E:$E,"PSO",'capacity data'!$B:$B,B24),"")</f>
        <v/>
      </c>
      <c r="I24" s="153"/>
      <c r="J24" s="66" t="str">
        <f>IFERROR(SUMIFS('capacity data'!$L:$L,'capacity data'!$B:$B,B24,'capacity data'!$E:$E,"TPO")/SUM((SUMIFS('capacity data'!$G:$G,'capacity data'!$E:$E,"TPO",'capacity data'!$B:$B,B24))-SUMIFS('capacity data'!$H:$H,'capacity data'!$E:$E,"TPO",'capacity data'!$B:$B,B24)),"")</f>
        <v/>
      </c>
      <c r="K24" s="66" t="str">
        <f>IFERROR(SUMIFS('capacity data'!$L:$L,'capacity data'!$B:$B,B24,'capacity data'!$E:$E,"TPO")/SUMIFS('capacity data'!$G:$G,'capacity data'!$E:$E,"TPO",'capacity data'!$B:$B,B24),"")</f>
        <v/>
      </c>
    </row>
    <row r="25" spans="1:11" ht="16" x14ac:dyDescent="0.2">
      <c r="A25" s="221"/>
      <c r="B25" s="62">
        <f>HLOOKUP($B$4,Region_Table,19,0)</f>
        <v>0</v>
      </c>
      <c r="C25" s="67"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7"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7"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3"/>
      <c r="G25" s="211" t="str">
        <f>IFERROR(SUMIFS('capacity data'!$L:$L,'capacity data'!$B:$B,B25,'capacity data'!$E:$E,"PSO")/SUM((SUMIFS('capacity data'!$G:$G,'capacity data'!$E:$E,"PSO",'capacity data'!$B:$B,B25))-SUMIFS('capacity data'!$H:$H,'capacity data'!$E:$E,"PSO",'capacity data'!$B:$B,B25)),"")</f>
        <v/>
      </c>
      <c r="H25" s="211" t="str">
        <f>IFERROR(SUMIFS('capacity data'!$L:$L,'capacity data'!$B:$B,B25,'capacity data'!$E:$E,"PSO")/SUMIFS('capacity data'!$G:$G,'capacity data'!$E:$E,"PSO",'capacity data'!$B:$B,B25),"")</f>
        <v/>
      </c>
      <c r="I25" s="153"/>
      <c r="J25" s="66" t="str">
        <f>IFERROR(SUMIFS('capacity data'!$L:$L,'capacity data'!$B:$B,B25,'capacity data'!$E:$E,"TPO")/SUM((SUMIFS('capacity data'!$G:$G,'capacity data'!$E:$E,"TPO",'capacity data'!$B:$B,B25))-SUMIFS('capacity data'!$H:$H,'capacity data'!$E:$E,"TPO",'capacity data'!$B:$B,B25)),"")</f>
        <v/>
      </c>
      <c r="K25" s="66" t="str">
        <f>IFERROR(SUMIFS('capacity data'!$L:$L,'capacity data'!$B:$B,B25,'capacity data'!$E:$E,"TPO")/SUMIFS('capacity data'!$G:$G,'capacity data'!$E:$E,"TPO",'capacity data'!$B:$B,B25),"")</f>
        <v/>
      </c>
    </row>
    <row r="26" spans="1:11" ht="16" x14ac:dyDescent="0.2">
      <c r="A26" s="221"/>
      <c r="B26" s="62">
        <f>HLOOKUP($B$4,Region_Table,20,0)</f>
        <v>0</v>
      </c>
      <c r="C26" s="67"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7"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7"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3"/>
      <c r="G26" s="211" t="str">
        <f>IFERROR(SUMIFS('capacity data'!$L:$L,'capacity data'!$B:$B,B26,'capacity data'!$E:$E,"PSO")/SUM((SUMIFS('capacity data'!$G:$G,'capacity data'!$E:$E,"PSO",'capacity data'!$B:$B,B26))-SUMIFS('capacity data'!$H:$H,'capacity data'!$E:$E,"PSO",'capacity data'!$B:$B,B26)),"")</f>
        <v/>
      </c>
      <c r="H26" s="211" t="str">
        <f>IFERROR(SUMIFS('capacity data'!$L:$L,'capacity data'!$B:$B,B26,'capacity data'!$E:$E,"PSO")/SUMIFS('capacity data'!$G:$G,'capacity data'!$E:$E,"PSO",'capacity data'!$B:$B,B26),"")</f>
        <v/>
      </c>
      <c r="I26" s="153"/>
      <c r="J26" s="66" t="str">
        <f>IFERROR(SUMIFS('capacity data'!$L:$L,'capacity data'!$B:$B,B26,'capacity data'!$E:$E,"TPO")/SUM((SUMIFS('capacity data'!$G:$G,'capacity data'!$E:$E,"TPO",'capacity data'!$B:$B,B26))-SUMIFS('capacity data'!$H:$H,'capacity data'!$E:$E,"TPO",'capacity data'!$B:$B,B26)),"")</f>
        <v/>
      </c>
      <c r="K26" s="66" t="str">
        <f>IFERROR(SUMIFS('capacity data'!$L:$L,'capacity data'!$B:$B,B26,'capacity data'!$E:$E,"TPO")/SUMIFS('capacity data'!$G:$G,'capacity data'!$E:$E,"TPO",'capacity data'!$B:$B,B26),"")</f>
        <v/>
      </c>
    </row>
    <row r="27" spans="1:11" ht="16" x14ac:dyDescent="0.2">
      <c r="A27" s="221"/>
      <c r="B27" s="62">
        <f>HLOOKUP($B$4,Region_Table,21,0)</f>
        <v>0</v>
      </c>
      <c r="C27" s="67"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7"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7"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3"/>
      <c r="G27" s="211" t="str">
        <f>IFERROR(SUMIFS('capacity data'!$L:$L,'capacity data'!$B:$B,B27,'capacity data'!$E:$E,"PSO")/SUM((SUMIFS('capacity data'!$G:$G,'capacity data'!$E:$E,"PSO",'capacity data'!$B:$B,B27))-SUMIFS('capacity data'!$H:$H,'capacity data'!$E:$E,"PSO",'capacity data'!$B:$B,B27)),"")</f>
        <v/>
      </c>
      <c r="H27" s="211" t="str">
        <f>IFERROR(SUMIFS('capacity data'!$L:$L,'capacity data'!$B:$B,B27,'capacity data'!$E:$E,"PSO")/SUMIFS('capacity data'!$G:$G,'capacity data'!$E:$E,"PSO",'capacity data'!$B:$B,B27),"")</f>
        <v/>
      </c>
      <c r="I27" s="153"/>
      <c r="J27" s="66" t="str">
        <f>IFERROR(SUMIFS('capacity data'!$L:$L,'capacity data'!$B:$B,B27,'capacity data'!$E:$E,"TPO")/SUM((SUMIFS('capacity data'!$G:$G,'capacity data'!$E:$E,"TPO",'capacity data'!$B:$B,B27))-SUMIFS('capacity data'!$H:$H,'capacity data'!$E:$E,"TPO",'capacity data'!$B:$B,B27)),"")</f>
        <v/>
      </c>
      <c r="K27" s="66" t="str">
        <f>IFERROR(SUMIFS('capacity data'!$L:$L,'capacity data'!$B:$B,B27,'capacity data'!$E:$E,"TPO")/SUMIFS('capacity data'!$G:$G,'capacity data'!$E:$E,"TPO",'capacity data'!$B:$B,B27),"")</f>
        <v/>
      </c>
    </row>
    <row r="28" spans="1:11" ht="16" x14ac:dyDescent="0.2">
      <c r="A28" s="221"/>
      <c r="B28" s="62">
        <f>HLOOKUP($B$4,Region_Table,22,0)</f>
        <v>0</v>
      </c>
      <c r="C28" s="67"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7"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7"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3"/>
      <c r="G28" s="211" t="str">
        <f>IFERROR(SUMIFS('capacity data'!$L:$L,'capacity data'!$B:$B,B28,'capacity data'!$E:$E,"PSO")/SUM((SUMIFS('capacity data'!$G:$G,'capacity data'!$E:$E,"PSO",'capacity data'!$B:$B,B28))-SUMIFS('capacity data'!$H:$H,'capacity data'!$E:$E,"PSO",'capacity data'!$B:$B,B28)),"")</f>
        <v/>
      </c>
      <c r="H28" s="211" t="str">
        <f>IFERROR(SUMIFS('capacity data'!$L:$L,'capacity data'!$B:$B,B28,'capacity data'!$E:$E,"PSO")/SUMIFS('capacity data'!$G:$G,'capacity data'!$E:$E,"PSO",'capacity data'!$B:$B,B28),"")</f>
        <v/>
      </c>
      <c r="I28" s="153"/>
      <c r="J28" s="66" t="str">
        <f>IFERROR(SUMIFS('capacity data'!$L:$L,'capacity data'!$B:$B,B28,'capacity data'!$E:$E,"TPO")/SUM((SUMIFS('capacity data'!$G:$G,'capacity data'!$E:$E,"TPO",'capacity data'!$B:$B,B28))-SUMIFS('capacity data'!$H:$H,'capacity data'!$E:$E,"TPO",'capacity data'!$B:$B,B28)),"")</f>
        <v/>
      </c>
      <c r="K28" s="66" t="str">
        <f>IFERROR(SUMIFS('capacity data'!$L:$L,'capacity data'!$B:$B,B28,'capacity data'!$E:$E,"TPO")/SUMIFS('capacity data'!$G:$G,'capacity data'!$E:$E,"TPO",'capacity data'!$B:$B,B28),"")</f>
        <v/>
      </c>
    </row>
    <row r="29" spans="1:11" ht="16" x14ac:dyDescent="0.2">
      <c r="A29" s="221"/>
      <c r="B29" s="62">
        <f>HLOOKUP($B$4,Region_Table,23,0)</f>
        <v>0</v>
      </c>
      <c r="C29" s="67"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7"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7"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3"/>
      <c r="G29" s="211" t="str">
        <f>IFERROR(SUMIFS('capacity data'!$L:$L,'capacity data'!$B:$B,B29,'capacity data'!$E:$E,"PSO")/SUM((SUMIFS('capacity data'!$G:$G,'capacity data'!$E:$E,"PSO",'capacity data'!$B:$B,B29))-SUMIFS('capacity data'!$H:$H,'capacity data'!$E:$E,"PSO",'capacity data'!$B:$B,B29)),"")</f>
        <v/>
      </c>
      <c r="H29" s="211" t="str">
        <f>IFERROR(SUMIFS('capacity data'!$L:$L,'capacity data'!$B:$B,B29,'capacity data'!$E:$E,"PSO")/SUMIFS('capacity data'!$G:$G,'capacity data'!$E:$E,"PSO",'capacity data'!$B:$B,B29),"")</f>
        <v/>
      </c>
      <c r="I29" s="153"/>
      <c r="J29" s="66" t="str">
        <f>IFERROR(SUMIFS('capacity data'!$L:$L,'capacity data'!$B:$B,B29,'capacity data'!$E:$E,"TPO")/SUM((SUMIFS('capacity data'!$G:$G,'capacity data'!$E:$E,"TPO",'capacity data'!$B:$B,B29))-SUMIFS('capacity data'!$H:$H,'capacity data'!$E:$E,"TPO",'capacity data'!$B:$B,B29)),"")</f>
        <v/>
      </c>
      <c r="K29" s="66" t="str">
        <f>IFERROR(SUMIFS('capacity data'!$L:$L,'capacity data'!$B:$B,B29,'capacity data'!$E:$E,"TPO")/SUMIFS('capacity data'!$G:$G,'capacity data'!$E:$E,"TPO",'capacity data'!$B:$B,B29),"")</f>
        <v/>
      </c>
    </row>
    <row r="30" spans="1:11" ht="16" x14ac:dyDescent="0.2">
      <c r="A30" s="221"/>
      <c r="B30" s="62">
        <f>HLOOKUP($B$4,Region_Table,24,0)</f>
        <v>0</v>
      </c>
      <c r="C30" s="67"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7"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7"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3"/>
      <c r="G30" s="211" t="str">
        <f>IFERROR(SUMIFS('capacity data'!$L:$L,'capacity data'!$B:$B,B30,'capacity data'!$E:$E,"PSO")/SUM((SUMIFS('capacity data'!$G:$G,'capacity data'!$E:$E,"PSO",'capacity data'!$B:$B,B30))-SUMIFS('capacity data'!$H:$H,'capacity data'!$E:$E,"PSO",'capacity data'!$B:$B,B30)),"")</f>
        <v/>
      </c>
      <c r="H30" s="211" t="str">
        <f>IFERROR(SUMIFS('capacity data'!$L:$L,'capacity data'!$B:$B,B30,'capacity data'!$E:$E,"PSO")/SUMIFS('capacity data'!$G:$G,'capacity data'!$E:$E,"PSO",'capacity data'!$B:$B,B30),"")</f>
        <v/>
      </c>
      <c r="I30" s="153"/>
      <c r="J30" s="66" t="str">
        <f>IFERROR(SUMIFS('capacity data'!$L:$L,'capacity data'!$B:$B,B30,'capacity data'!$E:$E,"TPO")/SUM((SUMIFS('capacity data'!$G:$G,'capacity data'!$E:$E,"TPO",'capacity data'!$B:$B,B30))-SUMIFS('capacity data'!$H:$H,'capacity data'!$E:$E,"TPO",'capacity data'!$B:$B,B30)),"")</f>
        <v/>
      </c>
      <c r="K30" s="66" t="str">
        <f>IFERROR(SUMIFS('capacity data'!$L:$L,'capacity data'!$B:$B,B30,'capacity data'!$E:$E,"TPO")/SUMIFS('capacity data'!$G:$G,'capacity data'!$E:$E,"TPO",'capacity data'!$B:$B,B30),"")</f>
        <v/>
      </c>
    </row>
    <row r="31" spans="1:11" ht="16" x14ac:dyDescent="0.2">
      <c r="A31" s="221"/>
      <c r="B31" s="62">
        <f>HLOOKUP($B$4,Region_Table,25,0)</f>
        <v>0</v>
      </c>
      <c r="C31" s="67"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7"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7"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3"/>
      <c r="G31" s="211" t="str">
        <f>IFERROR(SUMIFS('capacity data'!$L:$L,'capacity data'!$B:$B,B31,'capacity data'!$E:$E,"PSO")/SUM((SUMIFS('capacity data'!$G:$G,'capacity data'!$E:$E,"PSO",'capacity data'!$B:$B,B31))-SUMIFS('capacity data'!$H:$H,'capacity data'!$E:$E,"PSO",'capacity data'!$B:$B,B31)),"")</f>
        <v/>
      </c>
      <c r="H31" s="211" t="str">
        <f>IFERROR(SUMIFS('capacity data'!$L:$L,'capacity data'!$B:$B,B31,'capacity data'!$E:$E,"PSO")/SUMIFS('capacity data'!$G:$G,'capacity data'!$E:$E,"PSO",'capacity data'!$B:$B,B31),"")</f>
        <v/>
      </c>
      <c r="I31" s="153"/>
      <c r="J31" s="66" t="str">
        <f>IFERROR(SUMIFS('capacity data'!$L:$L,'capacity data'!$B:$B,B31,'capacity data'!$E:$E,"TPO")/SUM((SUMIFS('capacity data'!$G:$G,'capacity data'!$E:$E,"TPO",'capacity data'!$B:$B,B31))-SUMIFS('capacity data'!$H:$H,'capacity data'!$E:$E,"TPO",'capacity data'!$B:$B,B31)),"")</f>
        <v/>
      </c>
      <c r="K31" s="66" t="str">
        <f>IFERROR(SUMIFS('capacity data'!$L:$L,'capacity data'!$B:$B,B31,'capacity data'!$E:$E,"TPO")/SUMIFS('capacity data'!$G:$G,'capacity data'!$E:$E,"TPO",'capacity data'!$B:$B,B31),"")</f>
        <v/>
      </c>
    </row>
    <row r="32" spans="1:11" ht="16" x14ac:dyDescent="0.2">
      <c r="A32" s="221"/>
      <c r="B32" s="62">
        <f>HLOOKUP($B$4,Region_Table,26,0)</f>
        <v>0</v>
      </c>
      <c r="C32" s="67"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7"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7"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3"/>
      <c r="G32" s="211" t="str">
        <f>IFERROR(SUMIFS('capacity data'!$L:$L,'capacity data'!$B:$B,B32,'capacity data'!$E:$E,"PSO")/SUM((SUMIFS('capacity data'!$G:$G,'capacity data'!$E:$E,"PSO",'capacity data'!$B:$B,B32))-SUMIFS('capacity data'!$H:$H,'capacity data'!$E:$E,"PSO",'capacity data'!$B:$B,B32)),"")</f>
        <v/>
      </c>
      <c r="H32" s="211" t="str">
        <f>IFERROR(SUMIFS('capacity data'!$L:$L,'capacity data'!$B:$B,B32,'capacity data'!$E:$E,"PSO")/SUMIFS('capacity data'!$G:$G,'capacity data'!$E:$E,"PSO",'capacity data'!$B:$B,B32),"")</f>
        <v/>
      </c>
      <c r="I32" s="153"/>
      <c r="J32" s="66" t="str">
        <f>IFERROR(SUMIFS('capacity data'!$L:$L,'capacity data'!$B:$B,B32,'capacity data'!$E:$E,"TPO")/SUM((SUMIFS('capacity data'!$G:$G,'capacity data'!$E:$E,"TPO",'capacity data'!$B:$B,B32))-SUMIFS('capacity data'!$H:$H,'capacity data'!$E:$E,"TPO",'capacity data'!$B:$B,B32)),"")</f>
        <v/>
      </c>
      <c r="K32" s="66" t="str">
        <f>IFERROR(SUMIFS('capacity data'!$L:$L,'capacity data'!$B:$B,B32,'capacity data'!$E:$E,"TPO")/SUMIFS('capacity data'!$G:$G,'capacity data'!$E:$E,"TPO",'capacity data'!$B:$B,B32),"")</f>
        <v/>
      </c>
    </row>
    <row r="33" spans="1:23" ht="16" x14ac:dyDescent="0.2">
      <c r="A33" s="221"/>
      <c r="B33" s="62">
        <f>HLOOKUP($B$4,Region_Table,27,0)</f>
        <v>0</v>
      </c>
      <c r="C33" s="67"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7"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7"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3"/>
      <c r="G33" s="211" t="str">
        <f>IFERROR(SUMIFS('capacity data'!$L:$L,'capacity data'!$B:$B,B33,'capacity data'!$E:$E,"PSO")/SUM((SUMIFS('capacity data'!$G:$G,'capacity data'!$E:$E,"PSO",'capacity data'!$B:$B,B33))-SUMIFS('capacity data'!$H:$H,'capacity data'!$E:$E,"PSO",'capacity data'!$B:$B,B33)),"")</f>
        <v/>
      </c>
      <c r="H33" s="211" t="str">
        <f>IFERROR(SUMIFS('capacity data'!$L:$L,'capacity data'!$B:$B,B33,'capacity data'!$E:$E,"PSO")/SUMIFS('capacity data'!$G:$G,'capacity data'!$E:$E,"PSO",'capacity data'!$B:$B,B33),"")</f>
        <v/>
      </c>
      <c r="I33" s="153"/>
      <c r="J33" s="66" t="str">
        <f>IFERROR(SUMIFS('capacity data'!$L:$L,'capacity data'!$B:$B,B33,'capacity data'!$E:$E,"TPO")/SUM((SUMIFS('capacity data'!$G:$G,'capacity data'!$E:$E,"TPO",'capacity data'!$B:$B,B33))-SUMIFS('capacity data'!$H:$H,'capacity data'!$E:$E,"TPO",'capacity data'!$B:$B,B33)),"")</f>
        <v/>
      </c>
      <c r="K33" s="66" t="str">
        <f>IFERROR(SUMIFS('capacity data'!$L:$L,'capacity data'!$B:$B,B33,'capacity data'!$E:$E,"TPO")/SUMIFS('capacity data'!$G:$G,'capacity data'!$E:$E,"TPO",'capacity data'!$B:$B,B33),"")</f>
        <v/>
      </c>
    </row>
    <row r="34" spans="1:23" ht="16" x14ac:dyDescent="0.2">
      <c r="A34" s="221"/>
      <c r="B34" s="62">
        <f>HLOOKUP($B$4,Region_Table,28,0)</f>
        <v>0</v>
      </c>
      <c r="C34" s="67"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7"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7"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3"/>
      <c r="G34" s="211" t="str">
        <f>IFERROR(SUMIFS('capacity data'!$L:$L,'capacity data'!$B:$B,B34,'capacity data'!$E:$E,"PSO")/SUM((SUMIFS('capacity data'!$G:$G,'capacity data'!$E:$E,"PSO",'capacity data'!$B:$B,B34))-SUMIFS('capacity data'!$H:$H,'capacity data'!$E:$E,"PSO",'capacity data'!$B:$B,B34)),"")</f>
        <v/>
      </c>
      <c r="H34" s="211" t="str">
        <f>IFERROR(SUMIFS('capacity data'!$L:$L,'capacity data'!$B:$B,B34,'capacity data'!$E:$E,"PSO")/SUMIFS('capacity data'!$G:$G,'capacity data'!$E:$E,"PSO",'capacity data'!$B:$B,B34),"")</f>
        <v/>
      </c>
      <c r="I34" s="153"/>
      <c r="J34" s="66" t="str">
        <f>IFERROR(SUMIFS('capacity data'!$L:$L,'capacity data'!$B:$B,B34,'capacity data'!$E:$E,"TPO")/SUM((SUMIFS('capacity data'!$G:$G,'capacity data'!$E:$E,"TPO",'capacity data'!$B:$B,B34))-SUMIFS('capacity data'!$H:$H,'capacity data'!$E:$E,"TPO",'capacity data'!$B:$B,B34)),"")</f>
        <v/>
      </c>
      <c r="K34" s="66" t="str">
        <f>IFERROR(SUMIFS('capacity data'!$L:$L,'capacity data'!$B:$B,B34,'capacity data'!$E:$E,"TPO")/SUMIFS('capacity data'!$G:$G,'capacity data'!$E:$E,"TPO",'capacity data'!$B:$B,B34),"")</f>
        <v/>
      </c>
    </row>
    <row r="35" spans="1:23" ht="52.5" customHeight="1" x14ac:dyDescent="0.2">
      <c r="A35" s="10"/>
      <c r="B35" s="1"/>
      <c r="C35" s="2"/>
      <c r="D35" s="2"/>
      <c r="E35" s="2"/>
      <c r="F35" s="2"/>
      <c r="G35" s="2"/>
      <c r="H35" s="2"/>
      <c r="I35" s="2"/>
      <c r="J35" s="2"/>
      <c r="K35" s="2"/>
      <c r="L35" s="2"/>
      <c r="M35" s="2"/>
      <c r="N35" s="2"/>
      <c r="O35" s="2"/>
      <c r="P35" s="2"/>
      <c r="Q35" s="2"/>
      <c r="R35" s="2"/>
      <c r="S35" s="2"/>
      <c r="T35" s="2"/>
      <c r="U35" s="2"/>
      <c r="V35" s="2"/>
      <c r="W35" s="1"/>
    </row>
    <row r="36" spans="1:23" ht="84" x14ac:dyDescent="0.2">
      <c r="A36" s="10"/>
      <c r="B36" s="219" t="s">
        <v>1103</v>
      </c>
      <c r="C36" s="157" t="s">
        <v>1112</v>
      </c>
      <c r="D36" s="157" t="s">
        <v>1113</v>
      </c>
      <c r="E36" s="157" t="s">
        <v>1114</v>
      </c>
      <c r="F36" s="157" t="s">
        <v>1115</v>
      </c>
      <c r="G36" s="157" t="s">
        <v>1116</v>
      </c>
      <c r="H36" s="157" t="s">
        <v>1117</v>
      </c>
      <c r="I36" s="157" t="s">
        <v>1118</v>
      </c>
      <c r="J36" s="158" t="s">
        <v>1119</v>
      </c>
      <c r="K36" s="157" t="s">
        <v>1120</v>
      </c>
      <c r="L36" s="157" t="s">
        <v>1121</v>
      </c>
      <c r="M36" s="157" t="s">
        <v>1122</v>
      </c>
      <c r="N36" s="2"/>
      <c r="O36" s="2"/>
      <c r="P36" s="2"/>
      <c r="Q36" s="2"/>
      <c r="R36" s="2"/>
      <c r="S36" s="2"/>
      <c r="T36" s="2"/>
      <c r="U36" s="2"/>
      <c r="V36" s="2"/>
      <c r="W36" s="1"/>
    </row>
    <row r="37" spans="1:23" ht="16" x14ac:dyDescent="0.2">
      <c r="A37" s="10"/>
      <c r="B37" s="154" t="s">
        <v>1025</v>
      </c>
      <c r="C37" s="159">
        <f>COUNTIF('capacity data'!E:E,"PO")</f>
        <v>0</v>
      </c>
      <c r="D37" s="159">
        <f>COUNTIFS('capacity data'!E:E,"PO",'capacity data'!F:F,"&gt;110%")</f>
        <v>0</v>
      </c>
      <c r="E37" s="160" t="str">
        <f>IFERROR((D37/C37),"0")</f>
        <v>0</v>
      </c>
      <c r="F37" s="159">
        <f>COUNTIF('capacity data'!E:E,"PSO")</f>
        <v>0</v>
      </c>
      <c r="G37" s="159">
        <f>COUNTIFS('capacity data'!E:E,"PSO",'capacity data'!F:F,"&gt;110%")</f>
        <v>0</v>
      </c>
      <c r="H37" s="160" t="str">
        <f>IFERROR((G37/F37),"")</f>
        <v/>
      </c>
      <c r="I37" s="159">
        <f>COUNTIFS('capacity data'!E:E,"PSO",'capacity data'!F:F,"&lt;90%")</f>
        <v>0</v>
      </c>
      <c r="J37" s="160" t="str">
        <f>IFERROR((I37/F37),"")</f>
        <v/>
      </c>
      <c r="K37" s="159">
        <f>COUNTIF('capacity data'!E:E,"TPO")</f>
        <v>0</v>
      </c>
      <c r="L37" s="159">
        <f>COUNTIFS('capacity data'!E:E,"TPO",'capacity data'!F:F,"&gt;110%")</f>
        <v>0</v>
      </c>
      <c r="M37" s="160" t="str">
        <f>IFERROR((L37/K37),"")</f>
        <v/>
      </c>
      <c r="N37" s="2"/>
      <c r="O37" s="2"/>
      <c r="P37" s="2"/>
      <c r="Q37" s="2"/>
      <c r="R37" s="2"/>
      <c r="S37" s="2"/>
      <c r="T37" s="2"/>
      <c r="U37" s="2"/>
      <c r="V37" s="2"/>
      <c r="W37" s="1"/>
    </row>
    <row r="38" spans="1:23" ht="16" x14ac:dyDescent="0.2">
      <c r="A38" s="10"/>
      <c r="B38" s="62" t="str">
        <f>HLOOKUP($B$4,Region_Table,2,0)</f>
        <v>All East Midlands Region</v>
      </c>
      <c r="C38" s="75">
        <f>COUNTIFS('capacity data'!$B:$B,'cluster capacity, unallocateds'!B38,'capacity data'!$E:$E,"PO")</f>
        <v>0</v>
      </c>
      <c r="D38" s="75">
        <f>COUNTIFS('capacity data'!$B:$B,'cluster capacity, unallocateds'!B38,'capacity data'!$E:$E,"PO",'capacity data'!$F:$F,"&gt;110%")</f>
        <v>0</v>
      </c>
      <c r="E38" s="66" t="str">
        <f t="shared" ref="E38:E56" si="0">IFERROR((D38/C38),"")</f>
        <v/>
      </c>
      <c r="F38" s="75">
        <f>COUNTIFS('capacity data'!$B:$B,'cluster capacity, unallocateds'!B38,'capacity data'!$E:$E,"PSO")</f>
        <v>0</v>
      </c>
      <c r="G38" s="75">
        <f>COUNTIFS('capacity data'!$B:$B,'cluster capacity, unallocateds'!B38,'capacity data'!$E:$E,"PSO",'capacity data'!$F:$F,"&gt;110%")</f>
        <v>0</v>
      </c>
      <c r="H38" s="66" t="str">
        <f t="shared" ref="H38:H56" si="1">IFERROR((G38/F38),"")</f>
        <v/>
      </c>
      <c r="I38" s="75">
        <f>COUNTIFS('capacity data'!$B:$B,'cluster capacity, unallocateds'!B38,'capacity data'!$E:$E,"PSO",'capacity data'!$F:$F,"&lt;90%")</f>
        <v>0</v>
      </c>
      <c r="J38" s="66" t="str">
        <f t="shared" ref="J38:J56" si="2">IFERROR((I38/F38),"")</f>
        <v/>
      </c>
      <c r="K38" s="75">
        <f>COUNTIFS('capacity data'!$B:$B,'cluster capacity, unallocateds'!B38,'capacity data'!$E:$E,"TPO")</f>
        <v>0</v>
      </c>
      <c r="L38" s="75">
        <f>COUNTIFS('capacity data'!$B:$B,'cluster capacity, unallocateds'!B38,'capacity data'!$E:$E,"TPO",'capacity data'!$F:$F,"&gt;110%")</f>
        <v>0</v>
      </c>
      <c r="M38" s="66" t="str">
        <f t="shared" ref="M38:M56" si="3">IFERROR((L38/K38),"")</f>
        <v/>
      </c>
      <c r="N38" s="2"/>
      <c r="O38" s="2"/>
      <c r="P38" s="2"/>
      <c r="Q38" s="2"/>
      <c r="R38" s="2"/>
      <c r="S38" s="2"/>
      <c r="T38" s="2"/>
      <c r="U38" s="2"/>
      <c r="V38" s="2"/>
      <c r="W38" s="1"/>
    </row>
    <row r="39" spans="1:23" ht="16" x14ac:dyDescent="0.2">
      <c r="A39" s="10"/>
      <c r="B39" s="62" t="str">
        <f>HLOOKUP($B$4,Region_Table,3,0)</f>
        <v>Derby City - N53</v>
      </c>
      <c r="C39" s="75">
        <f>COUNTIFS('capacity data'!$B:$B,'cluster capacity, unallocateds'!B39,'capacity data'!$E:$E,"PO")</f>
        <v>0</v>
      </c>
      <c r="D39" s="75">
        <f>COUNTIFS('capacity data'!$B:$B,'cluster capacity, unallocateds'!B39,'capacity data'!$E:$E,"PO",'capacity data'!$F:$F,"&gt;110%")</f>
        <v>0</v>
      </c>
      <c r="E39" s="66" t="str">
        <f t="shared" si="0"/>
        <v/>
      </c>
      <c r="F39" s="75">
        <f>COUNTIFS('capacity data'!$B:$B,'cluster capacity, unallocateds'!B39,'capacity data'!$E:$E,"PSO")</f>
        <v>0</v>
      </c>
      <c r="G39" s="75">
        <f>COUNTIFS('capacity data'!$B:$B,'cluster capacity, unallocateds'!B39,'capacity data'!$E:$E,"PSO",'capacity data'!$F:$F,"&gt;110%")</f>
        <v>0</v>
      </c>
      <c r="H39" s="66" t="str">
        <f t="shared" si="1"/>
        <v/>
      </c>
      <c r="I39" s="75">
        <f>COUNTIFS('capacity data'!$B:$B,'cluster capacity, unallocateds'!B39,'capacity data'!$E:$E,"PSO",'capacity data'!$F:$F,"&lt;90%")</f>
        <v>0</v>
      </c>
      <c r="J39" s="66" t="str">
        <f t="shared" si="2"/>
        <v/>
      </c>
      <c r="K39" s="75">
        <f>COUNTIFS('capacity data'!$B:$B,'cluster capacity, unallocateds'!B39,'capacity data'!$E:$E,"TPO")</f>
        <v>0</v>
      </c>
      <c r="L39" s="75">
        <f>COUNTIFS('capacity data'!$B:$B,'cluster capacity, unallocateds'!B39,'capacity data'!$E:$E,"TPO",'capacity data'!$F:$F,"&gt;110%")</f>
        <v>0</v>
      </c>
      <c r="M39" s="66" t="str">
        <f t="shared" si="3"/>
        <v/>
      </c>
      <c r="N39" s="2"/>
      <c r="O39" s="2"/>
      <c r="P39" s="2"/>
      <c r="Q39" s="2"/>
      <c r="R39" s="2"/>
      <c r="S39" s="2"/>
      <c r="T39" s="2"/>
      <c r="U39" s="2"/>
      <c r="V39" s="2"/>
      <c r="W39" s="1"/>
    </row>
    <row r="40" spans="1:23" ht="16" x14ac:dyDescent="0.2">
      <c r="A40" s="10"/>
      <c r="B40" s="62" t="str">
        <f>HLOOKUP($B$4,Region_Table,4,0)</f>
        <v>Derbyshire - N53</v>
      </c>
      <c r="C40" s="75">
        <f>COUNTIFS('capacity data'!$B:$B,'cluster capacity, unallocateds'!B40,'capacity data'!$E:$E,"PO")</f>
        <v>0</v>
      </c>
      <c r="D40" s="75">
        <f>COUNTIFS('capacity data'!$B:$B,'cluster capacity, unallocateds'!B40,'capacity data'!$E:$E,"PO",'capacity data'!$F:$F,"&gt;110%")</f>
        <v>0</v>
      </c>
      <c r="E40" s="66" t="str">
        <f t="shared" si="0"/>
        <v/>
      </c>
      <c r="F40" s="75">
        <f>COUNTIFS('capacity data'!$B:$B,'cluster capacity, unallocateds'!B40,'capacity data'!$E:$E,"PSO")</f>
        <v>0</v>
      </c>
      <c r="G40" s="75">
        <f>COUNTIFS('capacity data'!$B:$B,'cluster capacity, unallocateds'!B40,'capacity data'!$E:$E,"PSO",'capacity data'!$F:$F,"&gt;110%")</f>
        <v>0</v>
      </c>
      <c r="H40" s="66" t="str">
        <f t="shared" si="1"/>
        <v/>
      </c>
      <c r="I40" s="75">
        <f>COUNTIFS('capacity data'!$B:$B,'cluster capacity, unallocateds'!B40,'capacity data'!$E:$E,"PSO",'capacity data'!$F:$F,"&lt;90%")</f>
        <v>0</v>
      </c>
      <c r="J40" s="66" t="str">
        <f t="shared" si="2"/>
        <v/>
      </c>
      <c r="K40" s="75">
        <f>COUNTIFS('capacity data'!$B:$B,'cluster capacity, unallocateds'!B40,'capacity data'!$E:$E,"TPO")</f>
        <v>0</v>
      </c>
      <c r="L40" s="75">
        <f>COUNTIFS('capacity data'!$B:$B,'cluster capacity, unallocateds'!B40,'capacity data'!$E:$E,"TPO",'capacity data'!$F:$F,"&gt;110%")</f>
        <v>0</v>
      </c>
      <c r="M40" s="66" t="str">
        <f t="shared" si="3"/>
        <v/>
      </c>
      <c r="N40" s="2"/>
      <c r="O40" s="2"/>
      <c r="P40" s="2"/>
      <c r="Q40" s="2"/>
      <c r="R40" s="2"/>
      <c r="S40" s="2"/>
      <c r="T40" s="2"/>
      <c r="U40" s="2"/>
      <c r="V40" s="2"/>
      <c r="W40" s="1"/>
    </row>
    <row r="41" spans="1:23" ht="16" x14ac:dyDescent="0.2">
      <c r="A41" s="10"/>
      <c r="B41" s="62" t="str">
        <f>HLOOKUP($B$4,Region_Table,5,0)</f>
        <v>Leicester, Leicestershire and Rutland</v>
      </c>
      <c r="C41" s="75">
        <f>COUNTIFS('capacity data'!$B:$B,'cluster capacity, unallocateds'!B41,'capacity data'!$E:$E,"PO")</f>
        <v>0</v>
      </c>
      <c r="D41" s="75">
        <f>COUNTIFS('capacity data'!$B:$B,'cluster capacity, unallocateds'!B41,'capacity data'!$E:$E,"PO",'capacity data'!$F:$F,"&gt;110%")</f>
        <v>0</v>
      </c>
      <c r="E41" s="66" t="str">
        <f t="shared" si="0"/>
        <v/>
      </c>
      <c r="F41" s="75">
        <f>COUNTIFS('capacity data'!$B:$B,'cluster capacity, unallocateds'!B41,'capacity data'!$E:$E,"PSO")</f>
        <v>0</v>
      </c>
      <c r="G41" s="75">
        <f>COUNTIFS('capacity data'!$B:$B,'cluster capacity, unallocateds'!B41,'capacity data'!$E:$E,"PSO",'capacity data'!$F:$F,"&gt;110%")</f>
        <v>0</v>
      </c>
      <c r="H41" s="66" t="str">
        <f t="shared" si="1"/>
        <v/>
      </c>
      <c r="I41" s="75">
        <f>COUNTIFS('capacity data'!$B:$B,'cluster capacity, unallocateds'!B41,'capacity data'!$E:$E,"PSO",'capacity data'!$F:$F,"&lt;90%")</f>
        <v>0</v>
      </c>
      <c r="J41" s="66" t="str">
        <f t="shared" si="2"/>
        <v/>
      </c>
      <c r="K41" s="75">
        <f>COUNTIFS('capacity data'!$B:$B,'cluster capacity, unallocateds'!B41,'capacity data'!$E:$E,"TPO")</f>
        <v>0</v>
      </c>
      <c r="L41" s="75">
        <f>COUNTIFS('capacity data'!$B:$B,'cluster capacity, unallocateds'!B41,'capacity data'!$E:$E,"TPO",'capacity data'!$F:$F,"&gt;110%")</f>
        <v>0</v>
      </c>
      <c r="M41" s="66" t="str">
        <f t="shared" si="3"/>
        <v/>
      </c>
      <c r="N41" s="2"/>
      <c r="O41" s="2"/>
      <c r="P41" s="2"/>
      <c r="Q41" s="2"/>
      <c r="R41" s="2"/>
      <c r="S41" s="2"/>
      <c r="T41" s="2"/>
      <c r="U41" s="2"/>
      <c r="V41" s="2"/>
      <c r="W41" s="1"/>
    </row>
    <row r="42" spans="1:23" ht="16" x14ac:dyDescent="0.2">
      <c r="A42" s="10"/>
      <c r="B42" s="62" t="str">
        <f>HLOOKUP($B$4,Region_Table,6,0)</f>
        <v>Lincolnshire East and West - N53</v>
      </c>
      <c r="C42" s="75">
        <f>COUNTIFS('capacity data'!$B:$B,'cluster capacity, unallocateds'!B42,'capacity data'!$E:$E,"PO")</f>
        <v>0</v>
      </c>
      <c r="D42" s="75">
        <f>COUNTIFS('capacity data'!$B:$B,'cluster capacity, unallocateds'!B42,'capacity data'!$E:$E,"PO",'capacity data'!$F:$F,"&gt;110%")</f>
        <v>0</v>
      </c>
      <c r="E42" s="66" t="str">
        <f t="shared" si="0"/>
        <v/>
      </c>
      <c r="F42" s="75">
        <f>COUNTIFS('capacity data'!$B:$B,'cluster capacity, unallocateds'!B42,'capacity data'!$E:$E,"PSO")</f>
        <v>0</v>
      </c>
      <c r="G42" s="75">
        <f>COUNTIFS('capacity data'!$B:$B,'cluster capacity, unallocateds'!B42,'capacity data'!$E:$E,"PSO",'capacity data'!$F:$F,"&gt;110%")</f>
        <v>0</v>
      </c>
      <c r="H42" s="66" t="str">
        <f t="shared" si="1"/>
        <v/>
      </c>
      <c r="I42" s="75">
        <f>COUNTIFS('capacity data'!$B:$B,'cluster capacity, unallocateds'!B42,'capacity data'!$E:$E,"PSO",'capacity data'!$F:$F,"&lt;90%")</f>
        <v>0</v>
      </c>
      <c r="J42" s="66" t="str">
        <f t="shared" si="2"/>
        <v/>
      </c>
      <c r="K42" s="75">
        <f>COUNTIFS('capacity data'!$B:$B,'cluster capacity, unallocateds'!B42,'capacity data'!$E:$E,"TPO")</f>
        <v>0</v>
      </c>
      <c r="L42" s="75">
        <f>COUNTIFS('capacity data'!$B:$B,'cluster capacity, unallocateds'!B42,'capacity data'!$E:$E,"TPO",'capacity data'!$F:$F,"&gt;110%")</f>
        <v>0</v>
      </c>
      <c r="M42" s="66" t="str">
        <f t="shared" si="3"/>
        <v/>
      </c>
      <c r="N42" s="2"/>
      <c r="O42" s="2"/>
      <c r="P42" s="2"/>
      <c r="Q42" s="2"/>
      <c r="R42" s="2"/>
      <c r="S42" s="2"/>
      <c r="T42" s="2"/>
      <c r="U42" s="2"/>
      <c r="V42" s="2"/>
      <c r="W42" s="1"/>
    </row>
    <row r="43" spans="1:23" ht="16" x14ac:dyDescent="0.2">
      <c r="A43" s="10"/>
      <c r="B43" s="62" t="str">
        <f>HLOOKUP($B$4,Region_Table,7,0)</f>
        <v>Nottingham City</v>
      </c>
      <c r="C43" s="75">
        <f>COUNTIFS('capacity data'!$B:$B,'cluster capacity, unallocateds'!B43,'capacity data'!$E:$E,"PO")</f>
        <v>0</v>
      </c>
      <c r="D43" s="75">
        <f>COUNTIFS('capacity data'!$B:$B,'cluster capacity, unallocateds'!B43,'capacity data'!$E:$E,"PO",'capacity data'!$F:$F,"&gt;110%")</f>
        <v>0</v>
      </c>
      <c r="E43" s="66" t="str">
        <f t="shared" si="0"/>
        <v/>
      </c>
      <c r="F43" s="75">
        <f>COUNTIFS('capacity data'!$B:$B,'cluster capacity, unallocateds'!B43,'capacity data'!$E:$E,"PSO")</f>
        <v>0</v>
      </c>
      <c r="G43" s="75">
        <f>COUNTIFS('capacity data'!$B:$B,'cluster capacity, unallocateds'!B43,'capacity data'!$E:$E,"PSO",'capacity data'!$F:$F,"&gt;110%")</f>
        <v>0</v>
      </c>
      <c r="H43" s="66" t="str">
        <f t="shared" si="1"/>
        <v/>
      </c>
      <c r="I43" s="75">
        <f>COUNTIFS('capacity data'!$B:$B,'cluster capacity, unallocateds'!B43,'capacity data'!$E:$E,"PSO",'capacity data'!$F:$F,"&lt;90%")</f>
        <v>0</v>
      </c>
      <c r="J43" s="66" t="str">
        <f t="shared" si="2"/>
        <v/>
      </c>
      <c r="K43" s="75">
        <f>COUNTIFS('capacity data'!$B:$B,'cluster capacity, unallocateds'!B43,'capacity data'!$E:$E,"TPO")</f>
        <v>0</v>
      </c>
      <c r="L43" s="75">
        <f>COUNTIFS('capacity data'!$B:$B,'cluster capacity, unallocateds'!B43,'capacity data'!$E:$E,"TPO",'capacity data'!$F:$F,"&gt;110%")</f>
        <v>0</v>
      </c>
      <c r="M43" s="66" t="str">
        <f t="shared" si="3"/>
        <v/>
      </c>
      <c r="N43" s="2"/>
      <c r="O43" s="2"/>
      <c r="P43" s="2"/>
      <c r="Q43" s="2"/>
      <c r="R43" s="2"/>
      <c r="S43" s="2"/>
      <c r="T43" s="2"/>
      <c r="U43" s="2"/>
      <c r="V43" s="2"/>
      <c r="W43" s="1"/>
    </row>
    <row r="44" spans="1:23" ht="16" x14ac:dyDescent="0.2">
      <c r="A44" s="10"/>
      <c r="B44" s="62" t="str">
        <f>HLOOKUP($B$4,Region_Table,8,0)</f>
        <v>Nottinghamshire - N53</v>
      </c>
      <c r="C44" s="75">
        <f>COUNTIFS('capacity data'!$B:$B,'cluster capacity, unallocateds'!B44,'capacity data'!$E:$E,"PO")</f>
        <v>0</v>
      </c>
      <c r="D44" s="75">
        <f>COUNTIFS('capacity data'!$B:$B,'cluster capacity, unallocateds'!B44,'capacity data'!$E:$E,"PO",'capacity data'!$F:$F,"&gt;110%")</f>
        <v>0</v>
      </c>
      <c r="E44" s="66" t="str">
        <f t="shared" si="0"/>
        <v/>
      </c>
      <c r="F44" s="75">
        <f>COUNTIFS('capacity data'!$B:$B,'cluster capacity, unallocateds'!B44,'capacity data'!$E:$E,"PSO")</f>
        <v>0</v>
      </c>
      <c r="G44" s="75">
        <f>COUNTIFS('capacity data'!$B:$B,'cluster capacity, unallocateds'!B44,'capacity data'!$E:$E,"PSO",'capacity data'!$F:$F,"&gt;110%")</f>
        <v>0</v>
      </c>
      <c r="H44" s="66" t="str">
        <f t="shared" si="1"/>
        <v/>
      </c>
      <c r="I44" s="75">
        <f>COUNTIFS('capacity data'!$B:$B,'cluster capacity, unallocateds'!B44,'capacity data'!$E:$E,"PSO",'capacity data'!$F:$F,"&lt;90%")</f>
        <v>0</v>
      </c>
      <c r="J44" s="66" t="str">
        <f t="shared" si="2"/>
        <v/>
      </c>
      <c r="K44" s="75">
        <f>COUNTIFS('capacity data'!$B:$B,'cluster capacity, unallocateds'!B44,'capacity data'!$E:$E,"TPO")</f>
        <v>0</v>
      </c>
      <c r="L44" s="75">
        <f>COUNTIFS('capacity data'!$B:$B,'cluster capacity, unallocateds'!B44,'capacity data'!$E:$E,"TPO",'capacity data'!$F:$F,"&gt;110%")</f>
        <v>0</v>
      </c>
      <c r="M44" s="66" t="str">
        <f t="shared" si="3"/>
        <v/>
      </c>
      <c r="N44" s="2"/>
      <c r="O44" s="2"/>
      <c r="P44" s="2"/>
      <c r="Q44" s="2"/>
      <c r="R44" s="2"/>
      <c r="S44" s="2"/>
      <c r="T44" s="2"/>
      <c r="U44" s="2"/>
      <c r="V44" s="2"/>
      <c r="W44" s="1"/>
    </row>
    <row r="45" spans="1:23" ht="16" x14ac:dyDescent="0.2">
      <c r="A45" s="10"/>
      <c r="B45" s="62" t="str">
        <f>HLOOKUP($B$4,Region_Table,9,0)</f>
        <v>Unpaid Work and Attendance Centres - N53</v>
      </c>
      <c r="C45" s="75">
        <f>COUNTIFS('capacity data'!$B:$B,'cluster capacity, unallocateds'!B45,'capacity data'!$E:$E,"PO")</f>
        <v>0</v>
      </c>
      <c r="D45" s="75">
        <f>COUNTIFS('capacity data'!$B:$B,'cluster capacity, unallocateds'!B45,'capacity data'!$E:$E,"PO",'capacity data'!$F:$F,"&gt;110%")</f>
        <v>0</v>
      </c>
      <c r="E45" s="66" t="str">
        <f t="shared" si="0"/>
        <v/>
      </c>
      <c r="F45" s="75">
        <f>COUNTIFS('capacity data'!$B:$B,'cluster capacity, unallocateds'!B45,'capacity data'!$E:$E,"PSO")</f>
        <v>0</v>
      </c>
      <c r="G45" s="75">
        <f>COUNTIFS('capacity data'!$B:$B,'cluster capacity, unallocateds'!B45,'capacity data'!$E:$E,"PSO",'capacity data'!$F:$F,"&gt;110%")</f>
        <v>0</v>
      </c>
      <c r="H45" s="66" t="str">
        <f t="shared" si="1"/>
        <v/>
      </c>
      <c r="I45" s="75">
        <f>COUNTIFS('capacity data'!$B:$B,'cluster capacity, unallocateds'!B45,'capacity data'!$E:$E,"PSO",'capacity data'!$F:$F,"&lt;90%")</f>
        <v>0</v>
      </c>
      <c r="J45" s="66" t="str">
        <f t="shared" si="2"/>
        <v/>
      </c>
      <c r="K45" s="75">
        <f>COUNTIFS('capacity data'!$B:$B,'cluster capacity, unallocateds'!B45,'capacity data'!$E:$E,"TPO")</f>
        <v>0</v>
      </c>
      <c r="L45" s="75">
        <f>COUNTIFS('capacity data'!$B:$B,'cluster capacity, unallocateds'!B45,'capacity data'!$E:$E,"TPO",'capacity data'!$F:$F,"&gt;110%")</f>
        <v>0</v>
      </c>
      <c r="M45" s="66" t="str">
        <f t="shared" si="3"/>
        <v/>
      </c>
      <c r="N45" s="2"/>
      <c r="O45" s="2"/>
      <c r="P45" s="2"/>
      <c r="Q45" s="2"/>
      <c r="R45" s="2"/>
      <c r="S45" s="2"/>
      <c r="T45" s="2"/>
      <c r="U45" s="2"/>
      <c r="V45" s="2"/>
      <c r="W45" s="1"/>
    </row>
    <row r="46" spans="1:23" ht="16" x14ac:dyDescent="0.2">
      <c r="A46" s="10"/>
      <c r="B46" s="62">
        <f>HLOOKUP($B$4,Region_Table,10,0)</f>
        <v>0</v>
      </c>
      <c r="C46" s="75">
        <f>COUNTIFS('capacity data'!$B:$B,'cluster capacity, unallocateds'!B46,'capacity data'!$E:$E,"PO")</f>
        <v>0</v>
      </c>
      <c r="D46" s="75">
        <f>COUNTIFS('capacity data'!$B:$B,'cluster capacity, unallocateds'!B46,'capacity data'!$E:$E,"PO",'capacity data'!$F:$F,"&gt;110%")</f>
        <v>0</v>
      </c>
      <c r="E46" s="66" t="str">
        <f t="shared" si="0"/>
        <v/>
      </c>
      <c r="F46" s="75">
        <f>COUNTIFS('capacity data'!$B:$B,'cluster capacity, unallocateds'!B46,'capacity data'!$E:$E,"PSO")</f>
        <v>0</v>
      </c>
      <c r="G46" s="75">
        <f>COUNTIFS('capacity data'!$B:$B,'cluster capacity, unallocateds'!B46,'capacity data'!$E:$E,"PSO",'capacity data'!$F:$F,"&gt;110%")</f>
        <v>0</v>
      </c>
      <c r="H46" s="66" t="str">
        <f t="shared" si="1"/>
        <v/>
      </c>
      <c r="I46" s="75">
        <f>COUNTIFS('capacity data'!$B:$B,'cluster capacity, unallocateds'!B46,'capacity data'!$E:$E,"PSO",'capacity data'!$F:$F,"&lt;90%")</f>
        <v>0</v>
      </c>
      <c r="J46" s="66" t="str">
        <f t="shared" si="2"/>
        <v/>
      </c>
      <c r="K46" s="75">
        <f>COUNTIFS('capacity data'!$B:$B,'cluster capacity, unallocateds'!B46,'capacity data'!$E:$E,"TPO")</f>
        <v>0</v>
      </c>
      <c r="L46" s="75">
        <f>COUNTIFS('capacity data'!$B:$B,'cluster capacity, unallocateds'!B46,'capacity data'!$E:$E,"TPO",'capacity data'!$F:$F,"&gt;110%")</f>
        <v>0</v>
      </c>
      <c r="M46" s="66" t="str">
        <f t="shared" si="3"/>
        <v/>
      </c>
      <c r="N46" s="2"/>
      <c r="O46" s="2"/>
      <c r="P46" s="2"/>
      <c r="Q46" s="2"/>
      <c r="R46" s="2"/>
      <c r="S46" s="2"/>
      <c r="T46" s="2"/>
      <c r="U46" s="2"/>
      <c r="V46" s="2"/>
      <c r="W46" s="1"/>
    </row>
    <row r="47" spans="1:23" ht="16" x14ac:dyDescent="0.2">
      <c r="A47" s="10"/>
      <c r="B47" s="62">
        <f>HLOOKUP($B$4,Region_Table,11,0)</f>
        <v>0</v>
      </c>
      <c r="C47" s="75">
        <f>COUNTIFS('capacity data'!$B:$B,'cluster capacity, unallocateds'!B47,'capacity data'!$E:$E,"PO")</f>
        <v>0</v>
      </c>
      <c r="D47" s="75">
        <f>COUNTIFS('capacity data'!$B:$B,'cluster capacity, unallocateds'!B47,'capacity data'!$E:$E,"PO",'capacity data'!$F:$F,"&gt;110%")</f>
        <v>0</v>
      </c>
      <c r="E47" s="66" t="str">
        <f t="shared" si="0"/>
        <v/>
      </c>
      <c r="F47" s="75">
        <f>COUNTIFS('capacity data'!$B:$B,'cluster capacity, unallocateds'!B47,'capacity data'!$E:$E,"PSO")</f>
        <v>0</v>
      </c>
      <c r="G47" s="75">
        <f>COUNTIFS('capacity data'!$B:$B,'cluster capacity, unallocateds'!B47,'capacity data'!$E:$E,"PSO",'capacity data'!$F:$F,"&gt;110%")</f>
        <v>0</v>
      </c>
      <c r="H47" s="66" t="str">
        <f t="shared" si="1"/>
        <v/>
      </c>
      <c r="I47" s="75">
        <f>COUNTIFS('capacity data'!$B:$B,'cluster capacity, unallocateds'!B47,'capacity data'!$E:$E,"PSO",'capacity data'!$F:$F,"&lt;90%")</f>
        <v>0</v>
      </c>
      <c r="J47" s="66" t="str">
        <f t="shared" si="2"/>
        <v/>
      </c>
      <c r="K47" s="75">
        <f>COUNTIFS('capacity data'!$B:$B,'cluster capacity, unallocateds'!B47,'capacity data'!$E:$E,"TPO")</f>
        <v>0</v>
      </c>
      <c r="L47" s="75">
        <f>COUNTIFS('capacity data'!$B:$B,'cluster capacity, unallocateds'!B47,'capacity data'!$E:$E,"TPO",'capacity data'!$F:$F,"&gt;110%")</f>
        <v>0</v>
      </c>
      <c r="M47" s="66" t="str">
        <f t="shared" si="3"/>
        <v/>
      </c>
      <c r="N47" s="2"/>
      <c r="O47" s="2"/>
      <c r="P47" s="2"/>
      <c r="Q47" s="2"/>
      <c r="R47" s="2"/>
      <c r="S47" s="2"/>
      <c r="T47" s="2"/>
      <c r="U47" s="2"/>
      <c r="V47" s="2"/>
      <c r="W47" s="1"/>
    </row>
    <row r="48" spans="1:23" ht="16" x14ac:dyDescent="0.2">
      <c r="A48" s="10"/>
      <c r="B48" s="62">
        <f>HLOOKUP($B$4,Region_Table,12,0)</f>
        <v>0</v>
      </c>
      <c r="C48" s="75">
        <f>COUNTIFS('capacity data'!$B:$B,'cluster capacity, unallocateds'!B48,'capacity data'!$E:$E,"PO")</f>
        <v>0</v>
      </c>
      <c r="D48" s="75">
        <f>COUNTIFS('capacity data'!$B:$B,'cluster capacity, unallocateds'!B48,'capacity data'!$E:$E,"PO",'capacity data'!$F:$F,"&gt;110%")</f>
        <v>0</v>
      </c>
      <c r="E48" s="66" t="str">
        <f t="shared" si="0"/>
        <v/>
      </c>
      <c r="F48" s="75">
        <f>COUNTIFS('capacity data'!$B:$B,'cluster capacity, unallocateds'!B48,'capacity data'!$E:$E,"PSO")</f>
        <v>0</v>
      </c>
      <c r="G48" s="75">
        <f>COUNTIFS('capacity data'!$B:$B,'cluster capacity, unallocateds'!B48,'capacity data'!$E:$E,"PSO",'capacity data'!$F:$F,"&gt;110%")</f>
        <v>0</v>
      </c>
      <c r="H48" s="66" t="str">
        <f t="shared" si="1"/>
        <v/>
      </c>
      <c r="I48" s="75">
        <f>COUNTIFS('capacity data'!$B:$B,'cluster capacity, unallocateds'!B48,'capacity data'!$E:$E,"PSO",'capacity data'!$F:$F,"&lt;90%")</f>
        <v>0</v>
      </c>
      <c r="J48" s="66" t="str">
        <f t="shared" si="2"/>
        <v/>
      </c>
      <c r="K48" s="75">
        <f>COUNTIFS('capacity data'!$B:$B,'cluster capacity, unallocateds'!B48,'capacity data'!$E:$E,"TPO")</f>
        <v>0</v>
      </c>
      <c r="L48" s="75">
        <f>COUNTIFS('capacity data'!$B:$B,'cluster capacity, unallocateds'!B48,'capacity data'!$E:$E,"TPO",'capacity data'!$F:$F,"&gt;110%")</f>
        <v>0</v>
      </c>
      <c r="M48" s="66" t="str">
        <f t="shared" si="3"/>
        <v/>
      </c>
      <c r="N48" s="2"/>
      <c r="O48" s="2"/>
      <c r="P48" s="2"/>
      <c r="Q48" s="2"/>
      <c r="R48" s="2"/>
      <c r="S48" s="2"/>
      <c r="T48" s="2"/>
      <c r="U48" s="2"/>
      <c r="V48" s="2"/>
      <c r="W48" s="1"/>
    </row>
    <row r="49" spans="1:23" ht="16" x14ac:dyDescent="0.2">
      <c r="A49" s="10"/>
      <c r="B49" s="62">
        <f>HLOOKUP($B$4,Region_Table,13,0)</f>
        <v>0</v>
      </c>
      <c r="C49" s="75">
        <f>COUNTIFS('capacity data'!$B:$B,'cluster capacity, unallocateds'!B49,'capacity data'!$E:$E,"PO")</f>
        <v>0</v>
      </c>
      <c r="D49" s="75">
        <f>COUNTIFS('capacity data'!$B:$B,'cluster capacity, unallocateds'!B49,'capacity data'!$E:$E,"PO",'capacity data'!$F:$F,"&gt;110%")</f>
        <v>0</v>
      </c>
      <c r="E49" s="66" t="str">
        <f t="shared" si="0"/>
        <v/>
      </c>
      <c r="F49" s="75">
        <f>COUNTIFS('capacity data'!$B:$B,'cluster capacity, unallocateds'!B49,'capacity data'!$E:$E,"PSO")</f>
        <v>0</v>
      </c>
      <c r="G49" s="75">
        <f>COUNTIFS('capacity data'!$B:$B,'cluster capacity, unallocateds'!B49,'capacity data'!$E:$E,"PSO",'capacity data'!$F:$F,"&gt;110%")</f>
        <v>0</v>
      </c>
      <c r="H49" s="66" t="str">
        <f t="shared" si="1"/>
        <v/>
      </c>
      <c r="I49" s="75">
        <f>COUNTIFS('capacity data'!$B:$B,'cluster capacity, unallocateds'!B49,'capacity data'!$E:$E,"PSO",'capacity data'!$F:$F,"&lt;90%")</f>
        <v>0</v>
      </c>
      <c r="J49" s="66" t="str">
        <f t="shared" si="2"/>
        <v/>
      </c>
      <c r="K49" s="75">
        <f>COUNTIFS('capacity data'!$B:$B,'cluster capacity, unallocateds'!B49,'capacity data'!$E:$E,"TPO")</f>
        <v>0</v>
      </c>
      <c r="L49" s="75">
        <f>COUNTIFS('capacity data'!$B:$B,'cluster capacity, unallocateds'!B49,'capacity data'!$E:$E,"TPO",'capacity data'!$F:$F,"&gt;110%")</f>
        <v>0</v>
      </c>
      <c r="M49" s="66" t="str">
        <f t="shared" si="3"/>
        <v/>
      </c>
      <c r="N49" s="2"/>
      <c r="O49" s="2"/>
      <c r="P49" s="2"/>
      <c r="Q49" s="2"/>
      <c r="R49" s="2"/>
      <c r="S49" s="2"/>
      <c r="T49" s="2"/>
      <c r="U49" s="2"/>
      <c r="V49" s="2"/>
      <c r="W49" s="1"/>
    </row>
    <row r="50" spans="1:23" ht="16" x14ac:dyDescent="0.2">
      <c r="A50" s="10"/>
      <c r="B50" s="62">
        <f>HLOOKUP($B$4,Region_Table,14,0)</f>
        <v>0</v>
      </c>
      <c r="C50" s="75">
        <f>COUNTIFS('capacity data'!$B:$B,'cluster capacity, unallocateds'!B50,'capacity data'!$E:$E,"PO")</f>
        <v>0</v>
      </c>
      <c r="D50" s="75">
        <f>COUNTIFS('capacity data'!$B:$B,'cluster capacity, unallocateds'!B50,'capacity data'!$E:$E,"PO",'capacity data'!$F:$F,"&gt;110%")</f>
        <v>0</v>
      </c>
      <c r="E50" s="66" t="str">
        <f t="shared" si="0"/>
        <v/>
      </c>
      <c r="F50" s="75">
        <f>COUNTIFS('capacity data'!$B:$B,'cluster capacity, unallocateds'!B50,'capacity data'!$E:$E,"PSO")</f>
        <v>0</v>
      </c>
      <c r="G50" s="75">
        <f>COUNTIFS('capacity data'!$B:$B,'cluster capacity, unallocateds'!B50,'capacity data'!$E:$E,"PSO",'capacity data'!$F:$F,"&gt;110%")</f>
        <v>0</v>
      </c>
      <c r="H50" s="66" t="str">
        <f t="shared" si="1"/>
        <v/>
      </c>
      <c r="I50" s="75">
        <f>COUNTIFS('capacity data'!$B:$B,'cluster capacity, unallocateds'!B50,'capacity data'!$E:$E,"PSO",'capacity data'!$F:$F,"&lt;90%")</f>
        <v>0</v>
      </c>
      <c r="J50" s="66" t="str">
        <f t="shared" si="2"/>
        <v/>
      </c>
      <c r="K50" s="75">
        <f>COUNTIFS('capacity data'!$B:$B,'cluster capacity, unallocateds'!B50,'capacity data'!$E:$E,"TPO")</f>
        <v>0</v>
      </c>
      <c r="L50" s="75">
        <f>COUNTIFS('capacity data'!$B:$B,'cluster capacity, unallocateds'!B50,'capacity data'!$E:$E,"TPO",'capacity data'!$F:$F,"&gt;110%")</f>
        <v>0</v>
      </c>
      <c r="M50" s="66" t="str">
        <f t="shared" si="3"/>
        <v/>
      </c>
      <c r="N50" s="2"/>
      <c r="O50" s="2"/>
      <c r="P50" s="2"/>
      <c r="Q50" s="2"/>
      <c r="R50" s="2"/>
      <c r="S50" s="2"/>
      <c r="T50" s="2"/>
      <c r="U50" s="2"/>
      <c r="V50" s="2"/>
      <c r="W50" s="1"/>
    </row>
    <row r="51" spans="1:23" ht="16" x14ac:dyDescent="0.2">
      <c r="A51" s="10"/>
      <c r="B51" s="62">
        <f>HLOOKUP($B$4,Region_Table,15,0)</f>
        <v>0</v>
      </c>
      <c r="C51" s="75">
        <f>COUNTIFS('capacity data'!$B:$B,'cluster capacity, unallocateds'!B51,'capacity data'!$E:$E,"PO")</f>
        <v>0</v>
      </c>
      <c r="D51" s="75">
        <f>COUNTIFS('capacity data'!$B:$B,'cluster capacity, unallocateds'!B51,'capacity data'!$E:$E,"PO",'capacity data'!$F:$F,"&gt;110%")</f>
        <v>0</v>
      </c>
      <c r="E51" s="66" t="str">
        <f t="shared" si="0"/>
        <v/>
      </c>
      <c r="F51" s="75">
        <f>COUNTIFS('capacity data'!$B:$B,'cluster capacity, unallocateds'!B51,'capacity data'!$E:$E,"PSO")</f>
        <v>0</v>
      </c>
      <c r="G51" s="75">
        <f>COUNTIFS('capacity data'!$B:$B,'cluster capacity, unallocateds'!B51,'capacity data'!$E:$E,"PSO",'capacity data'!$F:$F,"&gt;110%")</f>
        <v>0</v>
      </c>
      <c r="H51" s="66" t="str">
        <f t="shared" si="1"/>
        <v/>
      </c>
      <c r="I51" s="75">
        <f>COUNTIFS('capacity data'!$B:$B,'cluster capacity, unallocateds'!B51,'capacity data'!$E:$E,"PSO",'capacity data'!$F:$F,"&lt;90%")</f>
        <v>0</v>
      </c>
      <c r="J51" s="66" t="str">
        <f t="shared" si="2"/>
        <v/>
      </c>
      <c r="K51" s="75">
        <f>COUNTIFS('capacity data'!$B:$B,'cluster capacity, unallocateds'!B51,'capacity data'!$E:$E,"TPO")</f>
        <v>0</v>
      </c>
      <c r="L51" s="75">
        <f>COUNTIFS('capacity data'!$B:$B,'cluster capacity, unallocateds'!B51,'capacity data'!$E:$E,"TPO",'capacity data'!$F:$F,"&gt;110%")</f>
        <v>0</v>
      </c>
      <c r="M51" s="66" t="str">
        <f t="shared" si="3"/>
        <v/>
      </c>
      <c r="N51" s="2"/>
      <c r="O51" s="2"/>
      <c r="P51" s="2"/>
      <c r="Q51" s="2"/>
      <c r="R51" s="2"/>
      <c r="S51" s="2"/>
      <c r="T51" s="2"/>
      <c r="U51" s="2"/>
      <c r="V51" s="2"/>
      <c r="W51" s="1"/>
    </row>
    <row r="52" spans="1:23" ht="16" x14ac:dyDescent="0.2">
      <c r="A52" s="10"/>
      <c r="B52" s="62">
        <f>HLOOKUP($B$4,Region_Table,16,0)</f>
        <v>0</v>
      </c>
      <c r="C52" s="75">
        <f>COUNTIFS('capacity data'!$B:$B,'cluster capacity, unallocateds'!B52,'capacity data'!$E:$E,"PO")</f>
        <v>0</v>
      </c>
      <c r="D52" s="75">
        <f>COUNTIFS('capacity data'!$B:$B,'cluster capacity, unallocateds'!B52,'capacity data'!$E:$E,"PO",'capacity data'!$F:$F,"&gt;110%")</f>
        <v>0</v>
      </c>
      <c r="E52" s="66" t="str">
        <f t="shared" si="0"/>
        <v/>
      </c>
      <c r="F52" s="75">
        <f>COUNTIFS('capacity data'!$B:$B,'cluster capacity, unallocateds'!B52,'capacity data'!$E:$E,"PSO")</f>
        <v>0</v>
      </c>
      <c r="G52" s="75">
        <f>COUNTIFS('capacity data'!$B:$B,'cluster capacity, unallocateds'!B52,'capacity data'!$E:$E,"PSO",'capacity data'!$F:$F,"&gt;110%")</f>
        <v>0</v>
      </c>
      <c r="H52" s="66" t="str">
        <f t="shared" si="1"/>
        <v/>
      </c>
      <c r="I52" s="75">
        <f>COUNTIFS('capacity data'!$B:$B,'cluster capacity, unallocateds'!B52,'capacity data'!$E:$E,"PSO",'capacity data'!$F:$F,"&lt;90%")</f>
        <v>0</v>
      </c>
      <c r="J52" s="66" t="str">
        <f t="shared" si="2"/>
        <v/>
      </c>
      <c r="K52" s="75">
        <f>COUNTIFS('capacity data'!$B:$B,'cluster capacity, unallocateds'!B52,'capacity data'!$E:$E,"TPO")</f>
        <v>0</v>
      </c>
      <c r="L52" s="75">
        <f>COUNTIFS('capacity data'!$B:$B,'cluster capacity, unallocateds'!B52,'capacity data'!$E:$E,"TPO",'capacity data'!$F:$F,"&gt;110%")</f>
        <v>0</v>
      </c>
      <c r="M52" s="66" t="str">
        <f t="shared" si="3"/>
        <v/>
      </c>
      <c r="N52" s="2"/>
      <c r="O52" s="2"/>
      <c r="P52" s="2"/>
      <c r="Q52" s="2"/>
      <c r="R52" s="2"/>
      <c r="S52" s="2"/>
      <c r="T52" s="2"/>
      <c r="U52" s="2"/>
      <c r="V52" s="2"/>
      <c r="W52" s="1"/>
    </row>
    <row r="53" spans="1:23" ht="16" x14ac:dyDescent="0.2">
      <c r="A53" s="10"/>
      <c r="B53" s="62">
        <f>HLOOKUP($B$4,Region_Table,17,0)</f>
        <v>0</v>
      </c>
      <c r="C53" s="75">
        <f>COUNTIFS('capacity data'!$B:$B,'cluster capacity, unallocateds'!B53,'capacity data'!$E:$E,"PO")</f>
        <v>0</v>
      </c>
      <c r="D53" s="75">
        <f>COUNTIFS('capacity data'!$B:$B,'cluster capacity, unallocateds'!B53,'capacity data'!$E:$E,"PO",'capacity data'!$F:$F,"&gt;110%")</f>
        <v>0</v>
      </c>
      <c r="E53" s="66" t="str">
        <f t="shared" si="0"/>
        <v/>
      </c>
      <c r="F53" s="75">
        <f>COUNTIFS('capacity data'!$B:$B,'cluster capacity, unallocateds'!B53,'capacity data'!$E:$E,"PSO")</f>
        <v>0</v>
      </c>
      <c r="G53" s="75">
        <f>COUNTIFS('capacity data'!$B:$B,'cluster capacity, unallocateds'!B53,'capacity data'!$E:$E,"PSO",'capacity data'!$F:$F,"&gt;110%")</f>
        <v>0</v>
      </c>
      <c r="H53" s="66" t="str">
        <f t="shared" si="1"/>
        <v/>
      </c>
      <c r="I53" s="75">
        <f>COUNTIFS('capacity data'!$B:$B,'cluster capacity, unallocateds'!B53,'capacity data'!$E:$E,"PSO",'capacity data'!$F:$F,"&lt;90%")</f>
        <v>0</v>
      </c>
      <c r="J53" s="66" t="str">
        <f t="shared" si="2"/>
        <v/>
      </c>
      <c r="K53" s="75">
        <f>COUNTIFS('capacity data'!$B:$B,'cluster capacity, unallocateds'!B53,'capacity data'!$E:$E,"TPO")</f>
        <v>0</v>
      </c>
      <c r="L53" s="75">
        <f>COUNTIFS('capacity data'!$B:$B,'cluster capacity, unallocateds'!B53,'capacity data'!$E:$E,"TPO",'capacity data'!$F:$F,"&gt;110%")</f>
        <v>0</v>
      </c>
      <c r="M53" s="66" t="str">
        <f t="shared" si="3"/>
        <v/>
      </c>
      <c r="N53" s="2"/>
      <c r="O53" s="2"/>
      <c r="P53" s="2"/>
      <c r="Q53" s="2"/>
      <c r="R53" s="2"/>
      <c r="S53" s="2"/>
      <c r="T53" s="2"/>
      <c r="U53" s="2"/>
      <c r="V53" s="2"/>
      <c r="W53" s="1"/>
    </row>
    <row r="54" spans="1:23" ht="16" x14ac:dyDescent="0.2">
      <c r="A54" s="10"/>
      <c r="B54" s="62">
        <f>HLOOKUP($B$4,Region_Table,18,0)</f>
        <v>0</v>
      </c>
      <c r="C54" s="75">
        <f>COUNTIFS('capacity data'!$B:$B,'cluster capacity, unallocateds'!B54,'capacity data'!$E:$E,"PO")</f>
        <v>0</v>
      </c>
      <c r="D54" s="75">
        <f>COUNTIFS('capacity data'!$B:$B,'cluster capacity, unallocateds'!B54,'capacity data'!$E:$E,"PO",'capacity data'!$F:$F,"&gt;110%")</f>
        <v>0</v>
      </c>
      <c r="E54" s="66" t="str">
        <f t="shared" si="0"/>
        <v/>
      </c>
      <c r="F54" s="75">
        <f>COUNTIFS('capacity data'!$B:$B,'cluster capacity, unallocateds'!B54,'capacity data'!$E:$E,"PSO")</f>
        <v>0</v>
      </c>
      <c r="G54" s="75">
        <f>COUNTIFS('capacity data'!$B:$B,'cluster capacity, unallocateds'!B54,'capacity data'!$E:$E,"PSO",'capacity data'!$F:$F,"&gt;110%")</f>
        <v>0</v>
      </c>
      <c r="H54" s="66" t="str">
        <f t="shared" si="1"/>
        <v/>
      </c>
      <c r="I54" s="75">
        <f>COUNTIFS('capacity data'!$B:$B,'cluster capacity, unallocateds'!B54,'capacity data'!$E:$E,"PSO",'capacity data'!$F:$F,"&lt;90%")</f>
        <v>0</v>
      </c>
      <c r="J54" s="66" t="str">
        <f t="shared" si="2"/>
        <v/>
      </c>
      <c r="K54" s="75">
        <f>COUNTIFS('capacity data'!$B:$B,'cluster capacity, unallocateds'!B54,'capacity data'!$E:$E,"TPO")</f>
        <v>0</v>
      </c>
      <c r="L54" s="75">
        <f>COUNTIFS('capacity data'!$B:$B,'cluster capacity, unallocateds'!B54,'capacity data'!$E:$E,"TPO",'capacity data'!$F:$F,"&gt;110%")</f>
        <v>0</v>
      </c>
      <c r="M54" s="66" t="str">
        <f t="shared" si="3"/>
        <v/>
      </c>
      <c r="N54" s="2"/>
      <c r="O54" s="2"/>
      <c r="P54" s="2"/>
      <c r="Q54" s="2"/>
      <c r="R54" s="2"/>
      <c r="S54" s="2"/>
      <c r="T54" s="2"/>
      <c r="U54" s="2"/>
      <c r="V54" s="2"/>
      <c r="W54" s="1"/>
    </row>
    <row r="55" spans="1:23" ht="16" x14ac:dyDescent="0.2">
      <c r="A55" s="10"/>
      <c r="B55" s="62">
        <f>HLOOKUP($B$4,Region_Table,19,0)</f>
        <v>0</v>
      </c>
      <c r="C55" s="75">
        <f>COUNTIFS('capacity data'!$B:$B,'cluster capacity, unallocateds'!B55,'capacity data'!$E:$E,"PO")</f>
        <v>0</v>
      </c>
      <c r="D55" s="75">
        <f>COUNTIFS('capacity data'!$B:$B,'cluster capacity, unallocateds'!B55,'capacity data'!$E:$E,"PO",'capacity data'!$F:$F,"&gt;110%")</f>
        <v>0</v>
      </c>
      <c r="E55" s="66" t="str">
        <f t="shared" si="0"/>
        <v/>
      </c>
      <c r="F55" s="75">
        <f>COUNTIFS('capacity data'!$B:$B,'cluster capacity, unallocateds'!B55,'capacity data'!$E:$E,"PSO")</f>
        <v>0</v>
      </c>
      <c r="G55" s="75">
        <f>COUNTIFS('capacity data'!$B:$B,'cluster capacity, unallocateds'!B55,'capacity data'!$E:$E,"PSO",'capacity data'!$F:$F,"&gt;110%")</f>
        <v>0</v>
      </c>
      <c r="H55" s="66" t="str">
        <f t="shared" si="1"/>
        <v/>
      </c>
      <c r="I55" s="75">
        <f>COUNTIFS('capacity data'!$B:$B,'cluster capacity, unallocateds'!B55,'capacity data'!$E:$E,"PSO",'capacity data'!$F:$F,"&lt;90%")</f>
        <v>0</v>
      </c>
      <c r="J55" s="66" t="str">
        <f t="shared" si="2"/>
        <v/>
      </c>
      <c r="K55" s="75">
        <f>COUNTIFS('capacity data'!$B:$B,'cluster capacity, unallocateds'!B55,'capacity data'!$E:$E,"TPO")</f>
        <v>0</v>
      </c>
      <c r="L55" s="75">
        <f>COUNTIFS('capacity data'!$B:$B,'cluster capacity, unallocateds'!B55,'capacity data'!$E:$E,"TPO",'capacity data'!$F:$F,"&gt;110%")</f>
        <v>0</v>
      </c>
      <c r="M55" s="66" t="str">
        <f t="shared" si="3"/>
        <v/>
      </c>
      <c r="N55" s="2"/>
      <c r="O55" s="2"/>
      <c r="P55" s="2"/>
      <c r="Q55" s="2"/>
      <c r="R55" s="2"/>
      <c r="S55" s="2"/>
      <c r="T55" s="2"/>
      <c r="U55" s="2"/>
      <c r="V55" s="2"/>
      <c r="W55" s="1"/>
    </row>
    <row r="56" spans="1:23" ht="16" x14ac:dyDescent="0.2">
      <c r="A56" s="10"/>
      <c r="B56" s="62">
        <f>HLOOKUP($B$4,Region_Table,20,0)</f>
        <v>0</v>
      </c>
      <c r="C56" s="75">
        <f>COUNTIFS('capacity data'!$B:$B,'cluster capacity, unallocateds'!B56,'capacity data'!$E:$E,"PO")</f>
        <v>0</v>
      </c>
      <c r="D56" s="75">
        <f>COUNTIFS('capacity data'!$B:$B,'cluster capacity, unallocateds'!B56,'capacity data'!$E:$E,"PO",'capacity data'!$F:$F,"&gt;110%")</f>
        <v>0</v>
      </c>
      <c r="E56" s="66" t="str">
        <f t="shared" si="0"/>
        <v/>
      </c>
      <c r="F56" s="75">
        <f>COUNTIFS('capacity data'!$B:$B,'cluster capacity, unallocateds'!B56,'capacity data'!$E:$E,"PSO")</f>
        <v>0</v>
      </c>
      <c r="G56" s="75">
        <f>COUNTIFS('capacity data'!$B:$B,'cluster capacity, unallocateds'!B56,'capacity data'!$E:$E,"PSO",'capacity data'!$F:$F,"&gt;110%")</f>
        <v>0</v>
      </c>
      <c r="H56" s="66" t="str">
        <f t="shared" si="1"/>
        <v/>
      </c>
      <c r="I56" s="75">
        <f>COUNTIFS('capacity data'!$B:$B,'cluster capacity, unallocateds'!B56,'capacity data'!$E:$E,"PSO",'capacity data'!$F:$F,"&lt;90%")</f>
        <v>0</v>
      </c>
      <c r="J56" s="66" t="str">
        <f t="shared" si="2"/>
        <v/>
      </c>
      <c r="K56" s="75">
        <f>COUNTIFS('capacity data'!$B:$B,'cluster capacity, unallocateds'!B56,'capacity data'!$E:$E,"TPO")</f>
        <v>0</v>
      </c>
      <c r="L56" s="75">
        <f>COUNTIFS('capacity data'!$B:$B,'cluster capacity, unallocateds'!B56,'capacity data'!$E:$E,"TPO",'capacity data'!$F:$F,"&gt;110%")</f>
        <v>0</v>
      </c>
      <c r="M56" s="66" t="str">
        <f t="shared" si="3"/>
        <v/>
      </c>
      <c r="N56" s="2"/>
      <c r="O56" s="2"/>
      <c r="P56" s="2"/>
      <c r="Q56" s="2"/>
      <c r="R56" s="2"/>
      <c r="S56" s="2"/>
      <c r="T56" s="2"/>
      <c r="U56" s="2"/>
      <c r="V56" s="2"/>
      <c r="W56" s="1"/>
    </row>
    <row r="57" spans="1:23" ht="16" x14ac:dyDescent="0.2">
      <c r="A57" s="10"/>
      <c r="B57" s="62">
        <f>HLOOKUP($B$4,Region_Table,21,0)</f>
        <v>0</v>
      </c>
      <c r="C57" s="75">
        <f>COUNTIFS('capacity data'!$B:$B,'cluster capacity, unallocateds'!B57,'capacity data'!$E:$E,"PO")</f>
        <v>0</v>
      </c>
      <c r="D57" s="75">
        <f>COUNTIFS('capacity data'!$B:$B,'cluster capacity, unallocateds'!B57,'capacity data'!$E:$E,"PO",'capacity data'!$F:$F,"&gt;110%")</f>
        <v>0</v>
      </c>
      <c r="E57" s="66" t="str">
        <f t="shared" ref="E57:E64" si="4">IFERROR((D57/C57),"")</f>
        <v/>
      </c>
      <c r="F57" s="75">
        <f>COUNTIFS('capacity data'!$B:$B,'cluster capacity, unallocateds'!B57,'capacity data'!$E:$E,"PSO")</f>
        <v>0</v>
      </c>
      <c r="G57" s="75">
        <f>COUNTIFS('capacity data'!$B:$B,'cluster capacity, unallocateds'!B57,'capacity data'!$E:$E,"PSO",'capacity data'!$F:$F,"&gt;110%")</f>
        <v>0</v>
      </c>
      <c r="H57" s="66" t="str">
        <f t="shared" ref="H57:H64" si="5">IFERROR((G57/F57),"")</f>
        <v/>
      </c>
      <c r="I57" s="75">
        <f>COUNTIFS('capacity data'!$B:$B,'cluster capacity, unallocateds'!B57,'capacity data'!$E:$E,"PSO",'capacity data'!$F:$F,"&lt;90%")</f>
        <v>0</v>
      </c>
      <c r="J57" s="66" t="str">
        <f t="shared" ref="J57:J64" si="6">IFERROR((I57/F57),"")</f>
        <v/>
      </c>
      <c r="K57" s="75">
        <f>COUNTIFS('capacity data'!$B:$B,'cluster capacity, unallocateds'!B57,'capacity data'!$E:$E,"TPO")</f>
        <v>0</v>
      </c>
      <c r="L57" s="75">
        <f>COUNTIFS('capacity data'!$B:$B,'cluster capacity, unallocateds'!B57,'capacity data'!$E:$E,"TPO",'capacity data'!$F:$F,"&gt;110%")</f>
        <v>0</v>
      </c>
      <c r="M57" s="66" t="str">
        <f t="shared" ref="M57:M64" si="7">IFERROR((L57/K57),"")</f>
        <v/>
      </c>
      <c r="N57" s="2"/>
      <c r="O57" s="2"/>
      <c r="P57" s="2"/>
      <c r="Q57" s="2"/>
      <c r="R57" s="2"/>
      <c r="S57" s="2"/>
      <c r="T57" s="2"/>
      <c r="U57" s="2"/>
      <c r="V57" s="2"/>
      <c r="W57" s="1"/>
    </row>
    <row r="58" spans="1:23" ht="16" x14ac:dyDescent="0.2">
      <c r="A58" s="10"/>
      <c r="B58" s="62">
        <f>HLOOKUP($B$4,Region_Table,22,0)</f>
        <v>0</v>
      </c>
      <c r="C58" s="75">
        <f>COUNTIFS('capacity data'!$B:$B,'cluster capacity, unallocateds'!B58,'capacity data'!$E:$E,"PO")</f>
        <v>0</v>
      </c>
      <c r="D58" s="75">
        <f>COUNTIFS('capacity data'!$B:$B,'cluster capacity, unallocateds'!B58,'capacity data'!$E:$E,"PO",'capacity data'!$F:$F,"&gt;110%")</f>
        <v>0</v>
      </c>
      <c r="E58" s="66" t="str">
        <f t="shared" si="4"/>
        <v/>
      </c>
      <c r="F58" s="75">
        <f>COUNTIFS('capacity data'!$B:$B,'cluster capacity, unallocateds'!B58,'capacity data'!$E:$E,"PSO")</f>
        <v>0</v>
      </c>
      <c r="G58" s="75">
        <f>COUNTIFS('capacity data'!$B:$B,'cluster capacity, unallocateds'!B58,'capacity data'!$E:$E,"PSO",'capacity data'!$F:$F,"&gt;110%")</f>
        <v>0</v>
      </c>
      <c r="H58" s="66" t="str">
        <f t="shared" si="5"/>
        <v/>
      </c>
      <c r="I58" s="75">
        <f>COUNTIFS('capacity data'!$B:$B,'cluster capacity, unallocateds'!B58,'capacity data'!$E:$E,"PSO",'capacity data'!$F:$F,"&lt;90%")</f>
        <v>0</v>
      </c>
      <c r="J58" s="66" t="str">
        <f t="shared" si="6"/>
        <v/>
      </c>
      <c r="K58" s="75">
        <f>COUNTIFS('capacity data'!$B:$B,'cluster capacity, unallocateds'!B58,'capacity data'!$E:$E,"TPO")</f>
        <v>0</v>
      </c>
      <c r="L58" s="75">
        <f>COUNTIFS('capacity data'!$B:$B,'cluster capacity, unallocateds'!B58,'capacity data'!$E:$E,"TPO",'capacity data'!$F:$F,"&gt;110%")</f>
        <v>0</v>
      </c>
      <c r="M58" s="66" t="str">
        <f t="shared" si="7"/>
        <v/>
      </c>
      <c r="N58" s="2"/>
      <c r="O58" s="2"/>
      <c r="P58" s="2"/>
      <c r="Q58" s="2"/>
      <c r="R58" s="2"/>
      <c r="S58" s="2"/>
      <c r="T58" s="2"/>
      <c r="U58" s="2"/>
      <c r="V58" s="2"/>
      <c r="W58" s="1"/>
    </row>
    <row r="59" spans="1:23" ht="16" x14ac:dyDescent="0.2">
      <c r="A59" s="10"/>
      <c r="B59" s="62">
        <f>HLOOKUP($B$4,Region_Table,23,0)</f>
        <v>0</v>
      </c>
      <c r="C59" s="75">
        <f>COUNTIFS('capacity data'!$B:$B,'cluster capacity, unallocateds'!B59,'capacity data'!$E:$E,"PO")</f>
        <v>0</v>
      </c>
      <c r="D59" s="75">
        <f>COUNTIFS('capacity data'!$B:$B,'cluster capacity, unallocateds'!B59,'capacity data'!$E:$E,"PO",'capacity data'!$F:$F,"&gt;110%")</f>
        <v>0</v>
      </c>
      <c r="E59" s="66" t="str">
        <f t="shared" si="4"/>
        <v/>
      </c>
      <c r="F59" s="75">
        <f>COUNTIFS('capacity data'!$B:$B,'cluster capacity, unallocateds'!B59,'capacity data'!$E:$E,"PSO")</f>
        <v>0</v>
      </c>
      <c r="G59" s="75">
        <f>COUNTIFS('capacity data'!$B:$B,'cluster capacity, unallocateds'!B59,'capacity data'!$E:$E,"PSO",'capacity data'!$F:$F,"&gt;110%")</f>
        <v>0</v>
      </c>
      <c r="H59" s="66" t="str">
        <f t="shared" si="5"/>
        <v/>
      </c>
      <c r="I59" s="75">
        <f>COUNTIFS('capacity data'!$B:$B,'cluster capacity, unallocateds'!B59,'capacity data'!$E:$E,"PSO",'capacity data'!$F:$F,"&lt;90%")</f>
        <v>0</v>
      </c>
      <c r="J59" s="66" t="str">
        <f t="shared" si="6"/>
        <v/>
      </c>
      <c r="K59" s="75">
        <f>COUNTIFS('capacity data'!$B:$B,'cluster capacity, unallocateds'!B59,'capacity data'!$E:$E,"TPO")</f>
        <v>0</v>
      </c>
      <c r="L59" s="75">
        <f>COUNTIFS('capacity data'!$B:$B,'cluster capacity, unallocateds'!B59,'capacity data'!$E:$E,"TPO",'capacity data'!$F:$F,"&gt;110%")</f>
        <v>0</v>
      </c>
      <c r="M59" s="66" t="str">
        <f t="shared" si="7"/>
        <v/>
      </c>
      <c r="N59" s="2"/>
      <c r="O59" s="2"/>
      <c r="P59" s="2"/>
      <c r="Q59" s="2"/>
      <c r="R59" s="2"/>
      <c r="S59" s="2"/>
      <c r="T59" s="2"/>
      <c r="U59" s="2"/>
      <c r="V59" s="2"/>
      <c r="W59" s="1"/>
    </row>
    <row r="60" spans="1:23" ht="16" x14ac:dyDescent="0.2">
      <c r="A60" s="10"/>
      <c r="B60" s="62">
        <f>HLOOKUP($B$4,Region_Table,24,0)</f>
        <v>0</v>
      </c>
      <c r="C60" s="75">
        <f>COUNTIFS('capacity data'!$B:$B,'cluster capacity, unallocateds'!B60,'capacity data'!$E:$E,"PO")</f>
        <v>0</v>
      </c>
      <c r="D60" s="75">
        <f>COUNTIFS('capacity data'!$B:$B,'cluster capacity, unallocateds'!B60,'capacity data'!$E:$E,"PO",'capacity data'!$F:$F,"&gt;110%")</f>
        <v>0</v>
      </c>
      <c r="E60" s="66" t="str">
        <f t="shared" si="4"/>
        <v/>
      </c>
      <c r="F60" s="75">
        <f>COUNTIFS('capacity data'!$B:$B,'cluster capacity, unallocateds'!B60,'capacity data'!$E:$E,"PSO")</f>
        <v>0</v>
      </c>
      <c r="G60" s="75">
        <f>COUNTIFS('capacity data'!$B:$B,'cluster capacity, unallocateds'!B60,'capacity data'!$E:$E,"PSO",'capacity data'!$F:$F,"&gt;110%")</f>
        <v>0</v>
      </c>
      <c r="H60" s="66" t="str">
        <f t="shared" si="5"/>
        <v/>
      </c>
      <c r="I60" s="75">
        <f>COUNTIFS('capacity data'!$B:$B,'cluster capacity, unallocateds'!B60,'capacity data'!$E:$E,"PSO",'capacity data'!$F:$F,"&lt;90%")</f>
        <v>0</v>
      </c>
      <c r="J60" s="66" t="str">
        <f t="shared" si="6"/>
        <v/>
      </c>
      <c r="K60" s="75">
        <f>COUNTIFS('capacity data'!$B:$B,'cluster capacity, unallocateds'!B60,'capacity data'!$E:$E,"TPO")</f>
        <v>0</v>
      </c>
      <c r="L60" s="75">
        <f>COUNTIFS('capacity data'!$B:$B,'cluster capacity, unallocateds'!B60,'capacity data'!$E:$E,"TPO",'capacity data'!$F:$F,"&gt;110%")</f>
        <v>0</v>
      </c>
      <c r="M60" s="66" t="str">
        <f t="shared" si="7"/>
        <v/>
      </c>
      <c r="N60" s="2"/>
      <c r="O60" s="2"/>
      <c r="P60" s="2"/>
      <c r="Q60" s="2"/>
      <c r="R60" s="2"/>
      <c r="S60" s="2"/>
      <c r="T60" s="2"/>
      <c r="U60" s="2"/>
      <c r="V60" s="2"/>
      <c r="W60" s="1"/>
    </row>
    <row r="61" spans="1:23" ht="16" x14ac:dyDescent="0.2">
      <c r="A61" s="10"/>
      <c r="B61" s="62">
        <f>HLOOKUP($B$4,Region_Table,25,0)</f>
        <v>0</v>
      </c>
      <c r="C61" s="75">
        <f>COUNTIFS('capacity data'!$B:$B,'cluster capacity, unallocateds'!B61,'capacity data'!$E:$E,"PO")</f>
        <v>0</v>
      </c>
      <c r="D61" s="75">
        <f>COUNTIFS('capacity data'!$B:$B,'cluster capacity, unallocateds'!B61,'capacity data'!$E:$E,"PO",'capacity data'!$F:$F,"&gt;110%")</f>
        <v>0</v>
      </c>
      <c r="E61" s="66" t="str">
        <f t="shared" si="4"/>
        <v/>
      </c>
      <c r="F61" s="75">
        <f>COUNTIFS('capacity data'!$B:$B,'cluster capacity, unallocateds'!B61,'capacity data'!$E:$E,"PSO")</f>
        <v>0</v>
      </c>
      <c r="G61" s="75">
        <f>COUNTIFS('capacity data'!$B:$B,'cluster capacity, unallocateds'!B61,'capacity data'!$E:$E,"PSO",'capacity data'!$F:$F,"&gt;110%")</f>
        <v>0</v>
      </c>
      <c r="H61" s="66" t="str">
        <f t="shared" si="5"/>
        <v/>
      </c>
      <c r="I61" s="75">
        <f>COUNTIFS('capacity data'!$B:$B,'cluster capacity, unallocateds'!B61,'capacity data'!$E:$E,"PSO",'capacity data'!$F:$F,"&lt;90%")</f>
        <v>0</v>
      </c>
      <c r="J61" s="66" t="str">
        <f t="shared" si="6"/>
        <v/>
      </c>
      <c r="K61" s="75">
        <f>COUNTIFS('capacity data'!$B:$B,'cluster capacity, unallocateds'!B61,'capacity data'!$E:$E,"TPO")</f>
        <v>0</v>
      </c>
      <c r="L61" s="75">
        <f>COUNTIFS('capacity data'!$B:$B,'cluster capacity, unallocateds'!B61,'capacity data'!$E:$E,"TPO",'capacity data'!$F:$F,"&gt;110%")</f>
        <v>0</v>
      </c>
      <c r="M61" s="66" t="str">
        <f t="shared" si="7"/>
        <v/>
      </c>
      <c r="N61" s="2"/>
      <c r="O61" s="2"/>
      <c r="P61" s="2"/>
      <c r="Q61" s="2"/>
      <c r="R61" s="2"/>
      <c r="S61" s="2"/>
      <c r="T61" s="2"/>
      <c r="U61" s="2"/>
      <c r="V61" s="2"/>
      <c r="W61" s="1"/>
    </row>
    <row r="62" spans="1:23" ht="16" x14ac:dyDescent="0.2">
      <c r="A62" s="10"/>
      <c r="B62" s="62">
        <f>HLOOKUP($B$4,Region_Table,26,0)</f>
        <v>0</v>
      </c>
      <c r="C62" s="75">
        <f>COUNTIFS('capacity data'!$B:$B,'cluster capacity, unallocateds'!B62,'capacity data'!$E:$E,"PO")</f>
        <v>0</v>
      </c>
      <c r="D62" s="75">
        <f>COUNTIFS('capacity data'!$B:$B,'cluster capacity, unallocateds'!B62,'capacity data'!$E:$E,"PO",'capacity data'!$F:$F,"&gt;110%")</f>
        <v>0</v>
      </c>
      <c r="E62" s="66" t="str">
        <f t="shared" si="4"/>
        <v/>
      </c>
      <c r="F62" s="75">
        <f>COUNTIFS('capacity data'!$B:$B,'cluster capacity, unallocateds'!B62,'capacity data'!$E:$E,"PSO")</f>
        <v>0</v>
      </c>
      <c r="G62" s="75">
        <f>COUNTIFS('capacity data'!$B:$B,'cluster capacity, unallocateds'!B62,'capacity data'!$E:$E,"PSO",'capacity data'!$F:$F,"&gt;110%")</f>
        <v>0</v>
      </c>
      <c r="H62" s="66" t="str">
        <f t="shared" si="5"/>
        <v/>
      </c>
      <c r="I62" s="75">
        <f>COUNTIFS('capacity data'!$B:$B,'cluster capacity, unallocateds'!B62,'capacity data'!$E:$E,"PSO",'capacity data'!$F:$F,"&lt;90%")</f>
        <v>0</v>
      </c>
      <c r="J62" s="66" t="str">
        <f t="shared" si="6"/>
        <v/>
      </c>
      <c r="K62" s="75">
        <f>COUNTIFS('capacity data'!$B:$B,'cluster capacity, unallocateds'!B62,'capacity data'!$E:$E,"TPO")</f>
        <v>0</v>
      </c>
      <c r="L62" s="75">
        <f>COUNTIFS('capacity data'!$B:$B,'cluster capacity, unallocateds'!B62,'capacity data'!$E:$E,"TPO",'capacity data'!$F:$F,"&gt;110%")</f>
        <v>0</v>
      </c>
      <c r="M62" s="66" t="str">
        <f t="shared" si="7"/>
        <v/>
      </c>
      <c r="N62" s="2"/>
      <c r="O62" s="2"/>
      <c r="P62" s="2"/>
      <c r="Q62" s="2"/>
      <c r="R62" s="2"/>
      <c r="S62" s="2"/>
      <c r="T62" s="2"/>
      <c r="U62" s="2"/>
      <c r="V62" s="2"/>
      <c r="W62" s="1"/>
    </row>
    <row r="63" spans="1:23" ht="16" x14ac:dyDescent="0.2">
      <c r="A63" s="10"/>
      <c r="B63" s="62">
        <f>HLOOKUP($B$4,Region_Table,27,0)</f>
        <v>0</v>
      </c>
      <c r="C63" s="75">
        <f>COUNTIFS('capacity data'!$B:$B,'cluster capacity, unallocateds'!B63,'capacity data'!$E:$E,"PO")</f>
        <v>0</v>
      </c>
      <c r="D63" s="75">
        <f>COUNTIFS('capacity data'!$B:$B,'cluster capacity, unallocateds'!B63,'capacity data'!$E:$E,"PO",'capacity data'!$F:$F,"&gt;110%")</f>
        <v>0</v>
      </c>
      <c r="E63" s="66" t="str">
        <f t="shared" si="4"/>
        <v/>
      </c>
      <c r="F63" s="75">
        <f>COUNTIFS('capacity data'!$B:$B,'cluster capacity, unallocateds'!B63,'capacity data'!$E:$E,"PSO")</f>
        <v>0</v>
      </c>
      <c r="G63" s="75">
        <f>COUNTIFS('capacity data'!$B:$B,'cluster capacity, unallocateds'!B63,'capacity data'!$E:$E,"PSO",'capacity data'!$F:$F,"&gt;110%")</f>
        <v>0</v>
      </c>
      <c r="H63" s="66" t="str">
        <f t="shared" si="5"/>
        <v/>
      </c>
      <c r="I63" s="75">
        <f>COUNTIFS('capacity data'!$B:$B,'cluster capacity, unallocateds'!B63,'capacity data'!$E:$E,"PSO",'capacity data'!$F:$F,"&lt;90%")</f>
        <v>0</v>
      </c>
      <c r="J63" s="66" t="str">
        <f t="shared" si="6"/>
        <v/>
      </c>
      <c r="K63" s="75">
        <f>COUNTIFS('capacity data'!$B:$B,'cluster capacity, unallocateds'!B63,'capacity data'!$E:$E,"TPO")</f>
        <v>0</v>
      </c>
      <c r="L63" s="75">
        <f>COUNTIFS('capacity data'!$B:$B,'cluster capacity, unallocateds'!B63,'capacity data'!$E:$E,"TPO",'capacity data'!$F:$F,"&gt;110%")</f>
        <v>0</v>
      </c>
      <c r="M63" s="66" t="str">
        <f t="shared" si="7"/>
        <v/>
      </c>
      <c r="N63" s="2"/>
      <c r="O63" s="2"/>
      <c r="P63" s="2"/>
      <c r="Q63" s="2"/>
      <c r="R63" s="2"/>
      <c r="S63" s="2"/>
      <c r="T63" s="2"/>
      <c r="U63" s="2"/>
      <c r="V63" s="2"/>
      <c r="W63" s="1"/>
    </row>
    <row r="64" spans="1:23" ht="16" x14ac:dyDescent="0.2">
      <c r="A64" s="10"/>
      <c r="B64" s="62">
        <f>HLOOKUP($B$4,Region_Table,28,0)</f>
        <v>0</v>
      </c>
      <c r="C64" s="75">
        <f>COUNTIFS('capacity data'!$B:$B,'cluster capacity, unallocateds'!B64,'capacity data'!$E:$E,"PO")</f>
        <v>0</v>
      </c>
      <c r="D64" s="75">
        <f>COUNTIFS('capacity data'!$B:$B,'cluster capacity, unallocateds'!B64,'capacity data'!$E:$E,"PO",'capacity data'!$F:$F,"&gt;110%")</f>
        <v>0</v>
      </c>
      <c r="E64" s="66" t="str">
        <f t="shared" si="4"/>
        <v/>
      </c>
      <c r="F64" s="75">
        <f>COUNTIFS('capacity data'!$B:$B,'cluster capacity, unallocateds'!B64,'capacity data'!$E:$E,"PSO")</f>
        <v>0</v>
      </c>
      <c r="G64" s="75">
        <f>COUNTIFS('capacity data'!$B:$B,'cluster capacity, unallocateds'!B64,'capacity data'!$E:$E,"PSO",'capacity data'!$F:$F,"&gt;110%")</f>
        <v>0</v>
      </c>
      <c r="H64" s="66" t="str">
        <f t="shared" si="5"/>
        <v/>
      </c>
      <c r="I64" s="75">
        <f>COUNTIFS('capacity data'!$B:$B,'cluster capacity, unallocateds'!B64,'capacity data'!$E:$E,"PSO",'capacity data'!$F:$F,"&lt;90%")</f>
        <v>0</v>
      </c>
      <c r="J64" s="66" t="str">
        <f t="shared" si="6"/>
        <v/>
      </c>
      <c r="K64" s="75">
        <f>COUNTIFS('capacity data'!$B:$B,'cluster capacity, unallocateds'!B64,'capacity data'!$E:$E,"TPO")</f>
        <v>0</v>
      </c>
      <c r="L64" s="75">
        <f>COUNTIFS('capacity data'!$B:$B,'cluster capacity, unallocateds'!B64,'capacity data'!$E:$E,"TPO",'capacity data'!$F:$F,"&gt;110%")</f>
        <v>0</v>
      </c>
      <c r="M64" s="66" t="str">
        <f t="shared" si="7"/>
        <v/>
      </c>
      <c r="N64" s="2"/>
      <c r="O64" s="2"/>
      <c r="P64" s="2"/>
      <c r="Q64" s="2"/>
      <c r="R64" s="2"/>
      <c r="S64" s="2"/>
      <c r="T64" s="2"/>
      <c r="U64" s="2"/>
      <c r="V64" s="2"/>
      <c r="W64" s="1"/>
    </row>
    <row r="65" spans="1:23" ht="55.5" customHeight="1" x14ac:dyDescent="0.2">
      <c r="A65" s="10"/>
      <c r="B65" s="1"/>
      <c r="C65" s="529"/>
      <c r="D65" s="530"/>
      <c r="E65" s="530"/>
      <c r="F65" s="530"/>
      <c r="G65" s="530"/>
      <c r="H65" s="530"/>
      <c r="I65" s="530"/>
      <c r="J65" s="530"/>
      <c r="K65" s="530"/>
      <c r="L65" s="2"/>
      <c r="M65" s="2"/>
      <c r="N65" s="2"/>
      <c r="O65" s="2"/>
      <c r="P65" s="2"/>
      <c r="Q65" s="2"/>
      <c r="R65" s="2"/>
      <c r="S65" s="2"/>
      <c r="T65" s="2"/>
      <c r="U65" s="2"/>
      <c r="V65" s="2"/>
      <c r="W65" s="1"/>
    </row>
    <row r="66" spans="1:23" ht="72.75" customHeight="1" x14ac:dyDescent="0.2">
      <c r="A66" s="10"/>
      <c r="B66" s="219" t="s">
        <v>1103</v>
      </c>
      <c r="C66" s="219" t="s">
        <v>974</v>
      </c>
      <c r="D66" s="219" t="s">
        <v>975</v>
      </c>
      <c r="E66" s="219" t="s">
        <v>976</v>
      </c>
      <c r="F66" s="219" t="s">
        <v>977</v>
      </c>
      <c r="G66" s="219" t="s">
        <v>978</v>
      </c>
      <c r="H66" s="219" t="s">
        <v>979</v>
      </c>
      <c r="I66" s="219" t="s">
        <v>980</v>
      </c>
      <c r="J66" s="219" t="s">
        <v>981</v>
      </c>
      <c r="K66" s="219" t="s">
        <v>982</v>
      </c>
      <c r="O66" s="2"/>
      <c r="P66" s="2"/>
      <c r="Q66" s="2"/>
      <c r="R66" s="2"/>
      <c r="S66" s="2"/>
      <c r="T66" s="2"/>
      <c r="U66" s="2"/>
      <c r="V66" s="2"/>
      <c r="W66" s="1"/>
    </row>
    <row r="67" spans="1:23" ht="16" x14ac:dyDescent="0.2">
      <c r="A67" s="10"/>
      <c r="B67" s="154" t="s">
        <v>1054</v>
      </c>
      <c r="C67" s="161">
        <f>SUMIF('capacity data'!E:E,"PO",'capacity data'!I:I)</f>
        <v>0</v>
      </c>
      <c r="D67" s="161">
        <f>SUMIF('capacity data'!E:E,"PO",'capacity data'!J:J)</f>
        <v>0</v>
      </c>
      <c r="E67" s="162" t="e">
        <f>D67/C67</f>
        <v>#DIV/0!</v>
      </c>
      <c r="F67" s="161">
        <f>SUMIF('capacity data'!E:E,"PSO",'capacity data'!I:I)</f>
        <v>0</v>
      </c>
      <c r="G67" s="161">
        <f>SUMIF('capacity data'!E:E,"PSO",'capacity data'!J:J)</f>
        <v>0</v>
      </c>
      <c r="H67" s="162" t="e">
        <f>G67/F67</f>
        <v>#DIV/0!</v>
      </c>
      <c r="I67" s="161">
        <f>SUMIF('capacity data'!E:E,"TPO",'capacity data'!I:I)</f>
        <v>0</v>
      </c>
      <c r="J67" s="161">
        <f>SUMIF('capacity data'!E:E,"TPO",'capacity data'!J:J)</f>
        <v>0</v>
      </c>
      <c r="K67" s="162" t="e">
        <f>J67/I67</f>
        <v>#DIV/0!</v>
      </c>
      <c r="O67" s="2"/>
      <c r="P67" s="2"/>
      <c r="Q67" s="2"/>
      <c r="R67" s="2"/>
      <c r="S67" s="2"/>
      <c r="T67" s="2"/>
      <c r="U67" s="2"/>
      <c r="V67" s="2"/>
      <c r="W67" s="1"/>
    </row>
    <row r="68" spans="1:23" ht="16" x14ac:dyDescent="0.2">
      <c r="A68" s="10"/>
      <c r="B68" s="62" t="str">
        <f>HLOOKUP($B$4,Region_Table,2,0)</f>
        <v>All East Midlands Region</v>
      </c>
      <c r="C68" s="94">
        <f>SUMIFS('capacity data'!I:I,'capacity data'!E:E,"PO",'capacity data'!B:B,'cluster capacity, unallocateds'!B68)</f>
        <v>0</v>
      </c>
      <c r="D68" s="94">
        <f>SUMIFS('capacity data'!J:J,'capacity data'!E:E,"PO",'capacity data'!B:B,'cluster capacity, unallocateds'!B68)</f>
        <v>0</v>
      </c>
      <c r="E68" s="162" t="str">
        <f>IFERROR(D68/C68,"")</f>
        <v/>
      </c>
      <c r="F68" s="94">
        <f>SUMIFS('capacity data'!I:I,'capacity data'!E:E,"PSO",'capacity data'!B:B,'cluster capacity, unallocateds'!B68)</f>
        <v>0</v>
      </c>
      <c r="G68" s="94">
        <f>SUMIFS('capacity data'!J:J,'capacity data'!E:E,"PSO",'capacity data'!B:B,'cluster capacity, unallocateds'!B68)</f>
        <v>0</v>
      </c>
      <c r="H68" s="162" t="str">
        <f>IFERROR(G68/F68,"")</f>
        <v/>
      </c>
      <c r="I68" s="94">
        <f>SUMIFS('capacity data'!I:I,'capacity data'!E:E,"TPO",'capacity data'!B:B,'cluster capacity, unallocateds'!B68)</f>
        <v>0</v>
      </c>
      <c r="J68" s="94">
        <f>SUMIFS('capacity data'!J:J,'capacity data'!E:E,"TPO",'capacity data'!B:B,'cluster capacity, unallocateds'!B68)</f>
        <v>0</v>
      </c>
      <c r="K68" s="162" t="str">
        <f>IFERROR(J68/I68,"")</f>
        <v/>
      </c>
      <c r="O68" s="2"/>
      <c r="P68" s="2"/>
      <c r="Q68" s="2"/>
      <c r="R68" s="2"/>
      <c r="S68" s="2"/>
      <c r="T68" s="2"/>
      <c r="U68" s="2"/>
      <c r="V68" s="2"/>
      <c r="W68" s="1"/>
    </row>
    <row r="69" spans="1:23" ht="16" x14ac:dyDescent="0.2">
      <c r="A69" s="10"/>
      <c r="B69" s="62" t="str">
        <f>HLOOKUP($B$4,Region_Table,3,0)</f>
        <v>Derby City - N53</v>
      </c>
      <c r="C69" s="94">
        <f>SUMIFS('capacity data'!I:I,'capacity data'!E:E,"PO",'capacity data'!B:B,'cluster capacity, unallocateds'!B69)</f>
        <v>0</v>
      </c>
      <c r="D69" s="94">
        <f>SUMIFS('capacity data'!J:J,'capacity data'!E:E,"PO",'capacity data'!B:B,'cluster capacity, unallocateds'!B69)</f>
        <v>0</v>
      </c>
      <c r="E69" s="162" t="str">
        <f t="shared" ref="E69:E83" si="8">IFERROR(D69/C69,"")</f>
        <v/>
      </c>
      <c r="F69" s="94">
        <f>SUMIFS('capacity data'!I:I,'capacity data'!E:E,"PSO",'capacity data'!B:B,'cluster capacity, unallocateds'!B69)</f>
        <v>0</v>
      </c>
      <c r="G69" s="94">
        <f>SUMIFS('capacity data'!J:J,'capacity data'!E:E,"PSO",'capacity data'!B:B,'cluster capacity, unallocateds'!B69)</f>
        <v>0</v>
      </c>
      <c r="H69" s="162" t="str">
        <f t="shared" ref="H69:H83" si="9">IFERROR(G69/F69,"")</f>
        <v/>
      </c>
      <c r="I69" s="94">
        <f>SUMIFS('capacity data'!I:I,'capacity data'!E:E,"TPO",'capacity data'!B:B,'cluster capacity, unallocateds'!B69)</f>
        <v>0</v>
      </c>
      <c r="J69" s="94">
        <f>SUMIFS('capacity data'!J:J,'capacity data'!E:E,"TPO",'capacity data'!B:B,'cluster capacity, unallocateds'!B69)</f>
        <v>0</v>
      </c>
      <c r="K69" s="162" t="str">
        <f t="shared" ref="K69:K83" si="10">IFERROR(J69/I69,"")</f>
        <v/>
      </c>
      <c r="O69" s="2"/>
      <c r="P69" s="2"/>
      <c r="Q69" s="2"/>
      <c r="R69" s="2"/>
      <c r="S69" s="2"/>
      <c r="T69" s="2"/>
      <c r="U69" s="2"/>
      <c r="V69" s="2"/>
      <c r="W69" s="1"/>
    </row>
    <row r="70" spans="1:23" x14ac:dyDescent="0.15">
      <c r="B70" s="62" t="str">
        <f>HLOOKUP($B$4,Region_Table,4,0)</f>
        <v>Derbyshire - N53</v>
      </c>
      <c r="C70" s="94">
        <f>SUMIFS('capacity data'!I:I,'capacity data'!E:E,"PO",'capacity data'!B:B,'cluster capacity, unallocateds'!B70)</f>
        <v>0</v>
      </c>
      <c r="D70" s="94">
        <f>SUMIFS('capacity data'!J:J,'capacity data'!E:E,"PO",'capacity data'!B:B,'cluster capacity, unallocateds'!B70)</f>
        <v>0</v>
      </c>
      <c r="E70" s="162" t="str">
        <f t="shared" si="8"/>
        <v/>
      </c>
      <c r="F70" s="94">
        <f>SUMIFS('capacity data'!I:I,'capacity data'!E:E,"PSO",'capacity data'!B:B,'cluster capacity, unallocateds'!B70)</f>
        <v>0</v>
      </c>
      <c r="G70" s="94">
        <f>SUMIFS('capacity data'!J:J,'capacity data'!E:E,"PSO",'capacity data'!B:B,'cluster capacity, unallocateds'!B70)</f>
        <v>0</v>
      </c>
      <c r="H70" s="162" t="str">
        <f t="shared" si="9"/>
        <v/>
      </c>
      <c r="I70" s="94">
        <f>SUMIFS('capacity data'!I:I,'capacity data'!E:E,"TPO",'capacity data'!B:B,'cluster capacity, unallocateds'!B70)</f>
        <v>0</v>
      </c>
      <c r="J70" s="94">
        <f>SUMIFS('capacity data'!J:J,'capacity data'!E:E,"TPO",'capacity data'!B:B,'cluster capacity, unallocateds'!B70)</f>
        <v>0</v>
      </c>
      <c r="K70" s="162" t="str">
        <f t="shared" si="10"/>
        <v/>
      </c>
    </row>
    <row r="71" spans="1:23" x14ac:dyDescent="0.15">
      <c r="B71" s="62" t="str">
        <f>HLOOKUP($B$4,Region_Table,5,0)</f>
        <v>Leicester, Leicestershire and Rutland</v>
      </c>
      <c r="C71" s="94">
        <f>SUMIFS('capacity data'!I:I,'capacity data'!E:E,"PO",'capacity data'!B:B,'cluster capacity, unallocateds'!B71)</f>
        <v>0</v>
      </c>
      <c r="D71" s="94">
        <f>SUMIFS('capacity data'!J:J,'capacity data'!E:E,"PO",'capacity data'!B:B,'cluster capacity, unallocateds'!B71)</f>
        <v>0</v>
      </c>
      <c r="E71" s="162" t="str">
        <f t="shared" si="8"/>
        <v/>
      </c>
      <c r="F71" s="94">
        <f>SUMIFS('capacity data'!I:I,'capacity data'!E:E,"PSO",'capacity data'!B:B,'cluster capacity, unallocateds'!B71)</f>
        <v>0</v>
      </c>
      <c r="G71" s="94">
        <f>SUMIFS('capacity data'!J:J,'capacity data'!E:E,"PSO",'capacity data'!B:B,'cluster capacity, unallocateds'!B71)</f>
        <v>0</v>
      </c>
      <c r="H71" s="162" t="str">
        <f t="shared" si="9"/>
        <v/>
      </c>
      <c r="I71" s="94">
        <f>SUMIFS('capacity data'!I:I,'capacity data'!E:E,"TPO",'capacity data'!B:B,'cluster capacity, unallocateds'!B71)</f>
        <v>0</v>
      </c>
      <c r="J71" s="94">
        <f>SUMIFS('capacity data'!J:J,'capacity data'!E:E,"TPO",'capacity data'!B:B,'cluster capacity, unallocateds'!B71)</f>
        <v>0</v>
      </c>
      <c r="K71" s="162" t="str">
        <f t="shared" si="10"/>
        <v/>
      </c>
    </row>
    <row r="72" spans="1:23" x14ac:dyDescent="0.15">
      <c r="B72" s="62" t="str">
        <f>HLOOKUP($B$4,Region_Table,6,0)</f>
        <v>Lincolnshire East and West - N53</v>
      </c>
      <c r="C72" s="94">
        <f>SUMIFS('capacity data'!I:I,'capacity data'!E:E,"PO",'capacity data'!B:B,'cluster capacity, unallocateds'!B72)</f>
        <v>0</v>
      </c>
      <c r="D72" s="94">
        <f>SUMIFS('capacity data'!J:J,'capacity data'!E:E,"PO",'capacity data'!B:B,'cluster capacity, unallocateds'!B72)</f>
        <v>0</v>
      </c>
      <c r="E72" s="162" t="str">
        <f t="shared" si="8"/>
        <v/>
      </c>
      <c r="F72" s="94">
        <f>SUMIFS('capacity data'!I:I,'capacity data'!E:E,"PSO",'capacity data'!B:B,'cluster capacity, unallocateds'!B72)</f>
        <v>0</v>
      </c>
      <c r="G72" s="94">
        <f>SUMIFS('capacity data'!J:J,'capacity data'!E:E,"PSO",'capacity data'!B:B,'cluster capacity, unallocateds'!B72)</f>
        <v>0</v>
      </c>
      <c r="H72" s="162" t="str">
        <f t="shared" si="9"/>
        <v/>
      </c>
      <c r="I72" s="94">
        <f>SUMIFS('capacity data'!I:I,'capacity data'!E:E,"TPO",'capacity data'!B:B,'cluster capacity, unallocateds'!B72)</f>
        <v>0</v>
      </c>
      <c r="J72" s="94">
        <f>SUMIFS('capacity data'!J:J,'capacity data'!E:E,"TPO",'capacity data'!B:B,'cluster capacity, unallocateds'!B72)</f>
        <v>0</v>
      </c>
      <c r="K72" s="162" t="str">
        <f t="shared" si="10"/>
        <v/>
      </c>
    </row>
    <row r="73" spans="1:23" x14ac:dyDescent="0.15">
      <c r="B73" s="62" t="str">
        <f>HLOOKUP($B$4,Region_Table,7,0)</f>
        <v>Nottingham City</v>
      </c>
      <c r="C73" s="94">
        <f>SUMIFS('capacity data'!I:I,'capacity data'!E:E,"PO",'capacity data'!B:B,'cluster capacity, unallocateds'!B73)</f>
        <v>0</v>
      </c>
      <c r="D73" s="94">
        <f>SUMIFS('capacity data'!J:J,'capacity data'!E:E,"PO",'capacity data'!B:B,'cluster capacity, unallocateds'!B73)</f>
        <v>0</v>
      </c>
      <c r="E73" s="162" t="str">
        <f t="shared" si="8"/>
        <v/>
      </c>
      <c r="F73" s="94">
        <f>SUMIFS('capacity data'!I:I,'capacity data'!E:E,"PSO",'capacity data'!B:B,'cluster capacity, unallocateds'!B73)</f>
        <v>0</v>
      </c>
      <c r="G73" s="94">
        <f>SUMIFS('capacity data'!J:J,'capacity data'!E:E,"PSO",'capacity data'!B:B,'cluster capacity, unallocateds'!B73)</f>
        <v>0</v>
      </c>
      <c r="H73" s="162" t="str">
        <f t="shared" si="9"/>
        <v/>
      </c>
      <c r="I73" s="94">
        <f>SUMIFS('capacity data'!I:I,'capacity data'!E:E,"TPO",'capacity data'!B:B,'cluster capacity, unallocateds'!B73)</f>
        <v>0</v>
      </c>
      <c r="J73" s="94">
        <f>SUMIFS('capacity data'!J:J,'capacity data'!E:E,"TPO",'capacity data'!B:B,'cluster capacity, unallocateds'!B73)</f>
        <v>0</v>
      </c>
      <c r="K73" s="162" t="str">
        <f t="shared" si="10"/>
        <v/>
      </c>
    </row>
    <row r="74" spans="1:23" x14ac:dyDescent="0.15">
      <c r="B74" s="62" t="str">
        <f>HLOOKUP($B$4,Region_Table,8,0)</f>
        <v>Nottinghamshire - N53</v>
      </c>
      <c r="C74" s="94">
        <f>SUMIFS('capacity data'!I:I,'capacity data'!E:E,"PO",'capacity data'!B:B,'cluster capacity, unallocateds'!B74)</f>
        <v>0</v>
      </c>
      <c r="D74" s="94">
        <f>SUMIFS('capacity data'!J:J,'capacity data'!E:E,"PO",'capacity data'!B:B,'cluster capacity, unallocateds'!B74)</f>
        <v>0</v>
      </c>
      <c r="E74" s="162" t="str">
        <f t="shared" si="8"/>
        <v/>
      </c>
      <c r="F74" s="94">
        <f>SUMIFS('capacity data'!I:I,'capacity data'!E:E,"PSO",'capacity data'!B:B,'cluster capacity, unallocateds'!B74)</f>
        <v>0</v>
      </c>
      <c r="G74" s="94">
        <f>SUMIFS('capacity data'!J:J,'capacity data'!E:E,"PSO",'capacity data'!B:B,'cluster capacity, unallocateds'!B74)</f>
        <v>0</v>
      </c>
      <c r="H74" s="162" t="str">
        <f t="shared" si="9"/>
        <v/>
      </c>
      <c r="I74" s="94">
        <f>SUMIFS('capacity data'!I:I,'capacity data'!E:E,"TPO",'capacity data'!B:B,'cluster capacity, unallocateds'!B74)</f>
        <v>0</v>
      </c>
      <c r="J74" s="94">
        <f>SUMIFS('capacity data'!J:J,'capacity data'!E:E,"TPO",'capacity data'!B:B,'cluster capacity, unallocateds'!B74)</f>
        <v>0</v>
      </c>
      <c r="K74" s="162" t="str">
        <f t="shared" si="10"/>
        <v/>
      </c>
    </row>
    <row r="75" spans="1:23" x14ac:dyDescent="0.15">
      <c r="B75" s="62" t="str">
        <f>HLOOKUP($B$4,Region_Table,9,0)</f>
        <v>Unpaid Work and Attendance Centres - N53</v>
      </c>
      <c r="C75" s="94">
        <f>SUMIFS('capacity data'!I:I,'capacity data'!E:E,"PO",'capacity data'!B:B,'cluster capacity, unallocateds'!B75)</f>
        <v>0</v>
      </c>
      <c r="D75" s="94">
        <f>SUMIFS('capacity data'!J:J,'capacity data'!E:E,"PO",'capacity data'!B:B,'cluster capacity, unallocateds'!B75)</f>
        <v>0</v>
      </c>
      <c r="E75" s="162" t="str">
        <f t="shared" si="8"/>
        <v/>
      </c>
      <c r="F75" s="94">
        <f>SUMIFS('capacity data'!I:I,'capacity data'!E:E,"PSO",'capacity data'!B:B,'cluster capacity, unallocateds'!B75)</f>
        <v>0</v>
      </c>
      <c r="G75" s="94">
        <f>SUMIFS('capacity data'!J:J,'capacity data'!E:E,"PSO",'capacity data'!B:B,'cluster capacity, unallocateds'!B75)</f>
        <v>0</v>
      </c>
      <c r="H75" s="162" t="str">
        <f t="shared" si="9"/>
        <v/>
      </c>
      <c r="I75" s="94">
        <f>SUMIFS('capacity data'!I:I,'capacity data'!E:E,"TPO",'capacity data'!B:B,'cluster capacity, unallocateds'!B75)</f>
        <v>0</v>
      </c>
      <c r="J75" s="94">
        <f>SUMIFS('capacity data'!J:J,'capacity data'!E:E,"TPO",'capacity data'!B:B,'cluster capacity, unallocateds'!B75)</f>
        <v>0</v>
      </c>
      <c r="K75" s="162" t="str">
        <f t="shared" si="10"/>
        <v/>
      </c>
    </row>
    <row r="76" spans="1:23" x14ac:dyDescent="0.15">
      <c r="B76" s="62">
        <f>HLOOKUP($B$4,Region_Table,10,0)</f>
        <v>0</v>
      </c>
      <c r="C76" s="94">
        <f>SUMIFS('capacity data'!I:I,'capacity data'!E:E,"PO",'capacity data'!B:B,'cluster capacity, unallocateds'!B76)</f>
        <v>0</v>
      </c>
      <c r="D76" s="94">
        <f>SUMIFS('capacity data'!J:J,'capacity data'!E:E,"PO",'capacity data'!B:B,'cluster capacity, unallocateds'!B76)</f>
        <v>0</v>
      </c>
      <c r="E76" s="162" t="str">
        <f t="shared" si="8"/>
        <v/>
      </c>
      <c r="F76" s="94">
        <f>SUMIFS('capacity data'!I:I,'capacity data'!E:E,"PSO",'capacity data'!B:B,'cluster capacity, unallocateds'!B76)</f>
        <v>0</v>
      </c>
      <c r="G76" s="94">
        <f>SUMIFS('capacity data'!J:J,'capacity data'!E:E,"PSO",'capacity data'!B:B,'cluster capacity, unallocateds'!B76)</f>
        <v>0</v>
      </c>
      <c r="H76" s="162" t="str">
        <f t="shared" si="9"/>
        <v/>
      </c>
      <c r="I76" s="94">
        <f>SUMIFS('capacity data'!I:I,'capacity data'!E:E,"TPO",'capacity data'!B:B,'cluster capacity, unallocateds'!B76)</f>
        <v>0</v>
      </c>
      <c r="J76" s="94">
        <f>SUMIFS('capacity data'!J:J,'capacity data'!E:E,"TPO",'capacity data'!B:B,'cluster capacity, unallocateds'!B76)</f>
        <v>0</v>
      </c>
      <c r="K76" s="162" t="str">
        <f t="shared" si="10"/>
        <v/>
      </c>
    </row>
    <row r="77" spans="1:23" x14ac:dyDescent="0.15">
      <c r="B77" s="62">
        <f>HLOOKUP($B$4,Region_Table,11,0)</f>
        <v>0</v>
      </c>
      <c r="C77" s="94">
        <f>SUMIFS('capacity data'!I:I,'capacity data'!E:E,"PO",'capacity data'!B:B,'cluster capacity, unallocateds'!B77)</f>
        <v>0</v>
      </c>
      <c r="D77" s="94">
        <f>SUMIFS('capacity data'!J:J,'capacity data'!E:E,"PO",'capacity data'!B:B,'cluster capacity, unallocateds'!B77)</f>
        <v>0</v>
      </c>
      <c r="E77" s="162" t="str">
        <f t="shared" si="8"/>
        <v/>
      </c>
      <c r="F77" s="94">
        <f>SUMIFS('capacity data'!I:I,'capacity data'!E:E,"PSO",'capacity data'!B:B,'cluster capacity, unallocateds'!B77)</f>
        <v>0</v>
      </c>
      <c r="G77" s="94">
        <f>SUMIFS('capacity data'!J:J,'capacity data'!E:E,"PSO",'capacity data'!B:B,'cluster capacity, unallocateds'!B77)</f>
        <v>0</v>
      </c>
      <c r="H77" s="162" t="str">
        <f t="shared" si="9"/>
        <v/>
      </c>
      <c r="I77" s="94">
        <f>SUMIFS('capacity data'!I:I,'capacity data'!E:E,"TPO",'capacity data'!B:B,'cluster capacity, unallocateds'!B77)</f>
        <v>0</v>
      </c>
      <c r="J77" s="94">
        <f>SUMIFS('capacity data'!J:J,'capacity data'!E:E,"TPO",'capacity data'!B:B,'cluster capacity, unallocateds'!B77)</f>
        <v>0</v>
      </c>
      <c r="K77" s="162" t="str">
        <f t="shared" si="10"/>
        <v/>
      </c>
    </row>
    <row r="78" spans="1:23" x14ac:dyDescent="0.15">
      <c r="B78" s="62">
        <f>HLOOKUP($B$4,Region_Table,12,0)</f>
        <v>0</v>
      </c>
      <c r="C78" s="94">
        <f>SUMIFS('capacity data'!I:I,'capacity data'!E:E,"PO",'capacity data'!B:B,'cluster capacity, unallocateds'!B78)</f>
        <v>0</v>
      </c>
      <c r="D78" s="94">
        <f>SUMIFS('capacity data'!J:J,'capacity data'!E:E,"PO",'capacity data'!B:B,'cluster capacity, unallocateds'!B78)</f>
        <v>0</v>
      </c>
      <c r="E78" s="162" t="str">
        <f t="shared" si="8"/>
        <v/>
      </c>
      <c r="F78" s="94">
        <f>SUMIFS('capacity data'!I:I,'capacity data'!E:E,"PSO",'capacity data'!B:B,'cluster capacity, unallocateds'!B78)</f>
        <v>0</v>
      </c>
      <c r="G78" s="94">
        <f>SUMIFS('capacity data'!J:J,'capacity data'!E:E,"PSO",'capacity data'!B:B,'cluster capacity, unallocateds'!B78)</f>
        <v>0</v>
      </c>
      <c r="H78" s="162" t="str">
        <f t="shared" si="9"/>
        <v/>
      </c>
      <c r="I78" s="94">
        <f>SUMIFS('capacity data'!I:I,'capacity data'!E:E,"TPO",'capacity data'!B:B,'cluster capacity, unallocateds'!B78)</f>
        <v>0</v>
      </c>
      <c r="J78" s="94">
        <f>SUMIFS('capacity data'!J:J,'capacity data'!E:E,"TPO",'capacity data'!B:B,'cluster capacity, unallocateds'!B78)</f>
        <v>0</v>
      </c>
      <c r="K78" s="162" t="str">
        <f t="shared" si="10"/>
        <v/>
      </c>
    </row>
    <row r="79" spans="1:23" x14ac:dyDescent="0.15">
      <c r="B79" s="62">
        <f>HLOOKUP($B$4,Region_Table,13,0)</f>
        <v>0</v>
      </c>
      <c r="C79" s="94">
        <f>SUMIFS('capacity data'!I:I,'capacity data'!E:E,"PO",'capacity data'!B:B,'cluster capacity, unallocateds'!B79)</f>
        <v>0</v>
      </c>
      <c r="D79" s="94">
        <f>SUMIFS('capacity data'!J:J,'capacity data'!E:E,"PO",'capacity data'!B:B,'cluster capacity, unallocateds'!B79)</f>
        <v>0</v>
      </c>
      <c r="E79" s="162" t="str">
        <f t="shared" si="8"/>
        <v/>
      </c>
      <c r="F79" s="94">
        <f>SUMIFS('capacity data'!I:I,'capacity data'!E:E,"PSO",'capacity data'!B:B,'cluster capacity, unallocateds'!B79)</f>
        <v>0</v>
      </c>
      <c r="G79" s="94">
        <f>SUMIFS('capacity data'!J:J,'capacity data'!E:E,"PSO",'capacity data'!B:B,'cluster capacity, unallocateds'!B79)</f>
        <v>0</v>
      </c>
      <c r="H79" s="162" t="str">
        <f t="shared" si="9"/>
        <v/>
      </c>
      <c r="I79" s="94">
        <f>SUMIFS('capacity data'!I:I,'capacity data'!E:E,"TPO",'capacity data'!B:B,'cluster capacity, unallocateds'!B79)</f>
        <v>0</v>
      </c>
      <c r="J79" s="94">
        <f>SUMIFS('capacity data'!J:J,'capacity data'!E:E,"TPO",'capacity data'!B:B,'cluster capacity, unallocateds'!B79)</f>
        <v>0</v>
      </c>
      <c r="K79" s="162" t="str">
        <f t="shared" si="10"/>
        <v/>
      </c>
    </row>
    <row r="80" spans="1:23" x14ac:dyDescent="0.15">
      <c r="B80" s="62">
        <f>HLOOKUP($B$4,Region_Table,14,0)</f>
        <v>0</v>
      </c>
      <c r="C80" s="94">
        <f>SUMIFS('capacity data'!I:I,'capacity data'!E:E,"PO",'capacity data'!B:B,'cluster capacity, unallocateds'!B80)</f>
        <v>0</v>
      </c>
      <c r="D80" s="94">
        <f>SUMIFS('capacity data'!J:J,'capacity data'!E:E,"PO",'capacity data'!B:B,'cluster capacity, unallocateds'!B80)</f>
        <v>0</v>
      </c>
      <c r="E80" s="162" t="str">
        <f t="shared" si="8"/>
        <v/>
      </c>
      <c r="F80" s="94">
        <f>SUMIFS('capacity data'!I:I,'capacity data'!E:E,"PSO",'capacity data'!B:B,'cluster capacity, unallocateds'!B80)</f>
        <v>0</v>
      </c>
      <c r="G80" s="94">
        <f>SUMIFS('capacity data'!J:J,'capacity data'!E:E,"PSO",'capacity data'!B:B,'cluster capacity, unallocateds'!B80)</f>
        <v>0</v>
      </c>
      <c r="H80" s="162" t="str">
        <f t="shared" si="9"/>
        <v/>
      </c>
      <c r="I80" s="94">
        <f>SUMIFS('capacity data'!I:I,'capacity data'!E:E,"TPO",'capacity data'!B:B,'cluster capacity, unallocateds'!B80)</f>
        <v>0</v>
      </c>
      <c r="J80" s="94">
        <f>SUMIFS('capacity data'!J:J,'capacity data'!E:E,"TPO",'capacity data'!B:B,'cluster capacity, unallocateds'!B80)</f>
        <v>0</v>
      </c>
      <c r="K80" s="162" t="str">
        <f t="shared" si="10"/>
        <v/>
      </c>
    </row>
    <row r="81" spans="2:11" x14ac:dyDescent="0.15">
      <c r="B81" s="62">
        <f>HLOOKUP($B$4,Region_Table,15,0)</f>
        <v>0</v>
      </c>
      <c r="C81" s="94">
        <f>SUMIFS('capacity data'!I:I,'capacity data'!E:E,"PO",'capacity data'!B:B,'cluster capacity, unallocateds'!B81)</f>
        <v>0</v>
      </c>
      <c r="D81" s="94">
        <f>SUMIFS('capacity data'!J:J,'capacity data'!E:E,"PO",'capacity data'!B:B,'cluster capacity, unallocateds'!B81)</f>
        <v>0</v>
      </c>
      <c r="E81" s="162" t="str">
        <f t="shared" si="8"/>
        <v/>
      </c>
      <c r="F81" s="94">
        <f>SUMIFS('capacity data'!I:I,'capacity data'!E:E,"PSO",'capacity data'!B:B,'cluster capacity, unallocateds'!B81)</f>
        <v>0</v>
      </c>
      <c r="G81" s="94">
        <f>SUMIFS('capacity data'!J:J,'capacity data'!E:E,"PSO",'capacity data'!B:B,'cluster capacity, unallocateds'!B81)</f>
        <v>0</v>
      </c>
      <c r="H81" s="162" t="str">
        <f t="shared" si="9"/>
        <v/>
      </c>
      <c r="I81" s="94">
        <f>SUMIFS('capacity data'!I:I,'capacity data'!E:E,"TPO",'capacity data'!B:B,'cluster capacity, unallocateds'!B81)</f>
        <v>0</v>
      </c>
      <c r="J81" s="94">
        <f>SUMIFS('capacity data'!J:J,'capacity data'!E:E,"TPO",'capacity data'!B:B,'cluster capacity, unallocateds'!B81)</f>
        <v>0</v>
      </c>
      <c r="K81" s="162" t="str">
        <f t="shared" si="10"/>
        <v/>
      </c>
    </row>
    <row r="82" spans="2:11" x14ac:dyDescent="0.15">
      <c r="B82" s="62">
        <f>HLOOKUP($B$4,Region_Table,16,0)</f>
        <v>0</v>
      </c>
      <c r="C82" s="94">
        <f>SUMIFS('capacity data'!I:I,'capacity data'!E:E,"PO",'capacity data'!B:B,'cluster capacity, unallocateds'!B82)</f>
        <v>0</v>
      </c>
      <c r="D82" s="94">
        <f>SUMIFS('capacity data'!J:J,'capacity data'!E:E,"PO",'capacity data'!B:B,'cluster capacity, unallocateds'!B82)</f>
        <v>0</v>
      </c>
      <c r="E82" s="162" t="str">
        <f t="shared" si="8"/>
        <v/>
      </c>
      <c r="F82" s="94">
        <f>SUMIFS('capacity data'!I:I,'capacity data'!E:E,"PSO",'capacity data'!B:B,'cluster capacity, unallocateds'!B82)</f>
        <v>0</v>
      </c>
      <c r="G82" s="94">
        <f>SUMIFS('capacity data'!J:J,'capacity data'!E:E,"PSO",'capacity data'!B:B,'cluster capacity, unallocateds'!B82)</f>
        <v>0</v>
      </c>
      <c r="H82" s="162" t="str">
        <f t="shared" si="9"/>
        <v/>
      </c>
      <c r="I82" s="94">
        <f>SUMIFS('capacity data'!I:I,'capacity data'!E:E,"TPO",'capacity data'!B:B,'cluster capacity, unallocateds'!B82)</f>
        <v>0</v>
      </c>
      <c r="J82" s="94">
        <f>SUMIFS('capacity data'!J:J,'capacity data'!E:E,"TPO",'capacity data'!B:B,'cluster capacity, unallocateds'!B82)</f>
        <v>0</v>
      </c>
      <c r="K82" s="162" t="str">
        <f t="shared" si="10"/>
        <v/>
      </c>
    </row>
    <row r="83" spans="2:11" x14ac:dyDescent="0.15">
      <c r="B83" s="62">
        <f>HLOOKUP($B$4,Region_Table,17,0)</f>
        <v>0</v>
      </c>
      <c r="C83" s="94">
        <f>SUMIFS('capacity data'!I:I,'capacity data'!E:E,"PO",'capacity data'!B:B,'cluster capacity, unallocateds'!B83)</f>
        <v>0</v>
      </c>
      <c r="D83" s="94">
        <f>SUMIFS('capacity data'!J:J,'capacity data'!E:E,"PO",'capacity data'!B:B,'cluster capacity, unallocateds'!B83)</f>
        <v>0</v>
      </c>
      <c r="E83" s="162" t="str">
        <f t="shared" si="8"/>
        <v/>
      </c>
      <c r="F83" s="94">
        <f>SUMIFS('capacity data'!I:I,'capacity data'!E:E,"PSO",'capacity data'!B:B,'cluster capacity, unallocateds'!B83)</f>
        <v>0</v>
      </c>
      <c r="G83" s="94">
        <f>SUMIFS('capacity data'!J:J,'capacity data'!E:E,"PSO",'capacity data'!B:B,'cluster capacity, unallocateds'!B83)</f>
        <v>0</v>
      </c>
      <c r="H83" s="162" t="str">
        <f t="shared" si="9"/>
        <v/>
      </c>
      <c r="I83" s="94">
        <f>SUMIFS('capacity data'!I:I,'capacity data'!E:E,"TPO",'capacity data'!B:B,'cluster capacity, unallocateds'!B83)</f>
        <v>0</v>
      </c>
      <c r="J83" s="94">
        <f>SUMIFS('capacity data'!J:J,'capacity data'!E:E,"TPO",'capacity data'!B:B,'cluster capacity, unallocateds'!B83)</f>
        <v>0</v>
      </c>
      <c r="K83" s="162" t="str">
        <f t="shared" si="10"/>
        <v/>
      </c>
    </row>
    <row r="84" spans="2:11" x14ac:dyDescent="0.15">
      <c r="B84" s="62">
        <f>HLOOKUP($B$4,Region_Table,18,0)</f>
        <v>0</v>
      </c>
      <c r="C84" s="94">
        <f>SUMIFS('capacity data'!I:I,'capacity data'!E:E,"PO",'capacity data'!B:B,'cluster capacity, unallocateds'!B84)</f>
        <v>0</v>
      </c>
      <c r="D84" s="94">
        <f>SUMIFS('capacity data'!J:J,'capacity data'!E:E,"PO",'capacity data'!B:B,'cluster capacity, unallocateds'!B84)</f>
        <v>0</v>
      </c>
      <c r="E84" s="162" t="str">
        <f t="shared" ref="E84:E86" si="11">IFERROR(D84/C84,"")</f>
        <v/>
      </c>
      <c r="F84" s="94">
        <f>SUMIFS('capacity data'!I:I,'capacity data'!E:E,"PSO",'capacity data'!B:B,'cluster capacity, unallocateds'!B84)</f>
        <v>0</v>
      </c>
      <c r="G84" s="94">
        <f>SUMIFS('capacity data'!J:J,'capacity data'!E:E,"PSO",'capacity data'!B:B,'cluster capacity, unallocateds'!B84)</f>
        <v>0</v>
      </c>
      <c r="H84" s="162" t="str">
        <f t="shared" ref="H84:H86" si="12">IFERROR(G84/F84,"")</f>
        <v/>
      </c>
      <c r="I84" s="94">
        <f>SUMIFS('capacity data'!I:I,'capacity data'!E:E,"TPO",'capacity data'!B:B,'cluster capacity, unallocateds'!B84)</f>
        <v>0</v>
      </c>
      <c r="J84" s="94">
        <f>SUMIFS('capacity data'!J:J,'capacity data'!E:E,"TPO",'capacity data'!B:B,'cluster capacity, unallocateds'!B84)</f>
        <v>0</v>
      </c>
      <c r="K84" s="162" t="str">
        <f t="shared" ref="K84:K86" si="13">IFERROR(J84/I84,"")</f>
        <v/>
      </c>
    </row>
    <row r="85" spans="2:11" x14ac:dyDescent="0.15">
      <c r="B85" s="62">
        <f>HLOOKUP($B$4,Region_Table,19,0)</f>
        <v>0</v>
      </c>
      <c r="C85" s="94">
        <f>SUMIFS('capacity data'!I:I,'capacity data'!E:E,"PO",'capacity data'!B:B,'cluster capacity, unallocateds'!B85)</f>
        <v>0</v>
      </c>
      <c r="D85" s="94">
        <f>SUMIFS('capacity data'!J:J,'capacity data'!E:E,"PO",'capacity data'!B:B,'cluster capacity, unallocateds'!B85)</f>
        <v>0</v>
      </c>
      <c r="E85" s="162" t="str">
        <f t="shared" si="11"/>
        <v/>
      </c>
      <c r="F85" s="94">
        <f>SUMIFS('capacity data'!I:I,'capacity data'!E:E,"PSO",'capacity data'!B:B,'cluster capacity, unallocateds'!B85)</f>
        <v>0</v>
      </c>
      <c r="G85" s="94">
        <f>SUMIFS('capacity data'!J:J,'capacity data'!E:E,"PSO",'capacity data'!B:B,'cluster capacity, unallocateds'!B85)</f>
        <v>0</v>
      </c>
      <c r="H85" s="162" t="str">
        <f t="shared" si="12"/>
        <v/>
      </c>
      <c r="I85" s="94">
        <f>SUMIFS('capacity data'!I:I,'capacity data'!E:E,"TPO",'capacity data'!B:B,'cluster capacity, unallocateds'!B85)</f>
        <v>0</v>
      </c>
      <c r="J85" s="94">
        <f>SUMIFS('capacity data'!J:J,'capacity data'!E:E,"TPO",'capacity data'!B:B,'cluster capacity, unallocateds'!B85)</f>
        <v>0</v>
      </c>
      <c r="K85" s="162" t="str">
        <f t="shared" si="13"/>
        <v/>
      </c>
    </row>
    <row r="86" spans="2:11" ht="15" customHeight="1" x14ac:dyDescent="0.15">
      <c r="B86" s="62">
        <f>HLOOKUP($B$4,Region_Table,20,0)</f>
        <v>0</v>
      </c>
      <c r="C86" s="94">
        <f>SUMIFS('capacity data'!I:I,'capacity data'!E:E,"PO",'capacity data'!B:B,'cluster capacity, unallocateds'!B86)</f>
        <v>0</v>
      </c>
      <c r="D86" s="94">
        <f>SUMIFS('capacity data'!J:J,'capacity data'!E:E,"PO",'capacity data'!B:B,'cluster capacity, unallocateds'!B86)</f>
        <v>0</v>
      </c>
      <c r="E86" s="162" t="str">
        <f t="shared" si="11"/>
        <v/>
      </c>
      <c r="F86" s="94">
        <f>SUMIFS('capacity data'!I:I,'capacity data'!E:E,"PSO",'capacity data'!B:B,'cluster capacity, unallocateds'!B86)</f>
        <v>0</v>
      </c>
      <c r="G86" s="94">
        <f>SUMIFS('capacity data'!J:J,'capacity data'!E:E,"PSO",'capacity data'!B:B,'cluster capacity, unallocateds'!B86)</f>
        <v>0</v>
      </c>
      <c r="H86" s="162" t="str">
        <f t="shared" si="12"/>
        <v/>
      </c>
      <c r="I86" s="94">
        <f>SUMIFS('capacity data'!I:I,'capacity data'!E:E,"TPO",'capacity data'!B:B,'cluster capacity, unallocateds'!B86)</f>
        <v>0</v>
      </c>
      <c r="J86" s="94">
        <f>SUMIFS('capacity data'!J:J,'capacity data'!E:E,"TPO",'capacity data'!B:B,'cluster capacity, unallocateds'!B86)</f>
        <v>0</v>
      </c>
      <c r="K86" s="162" t="str">
        <f t="shared" si="13"/>
        <v/>
      </c>
    </row>
    <row r="87" spans="2:11" ht="15" customHeight="1" x14ac:dyDescent="0.15">
      <c r="B87" s="62">
        <f>HLOOKUP($B$4,Region_Table,21,0)</f>
        <v>0</v>
      </c>
      <c r="C87" s="94">
        <f>SUMIFS('capacity data'!I:I,'capacity data'!E:E,"PO",'capacity data'!B:B,'cluster capacity, unallocateds'!B87)</f>
        <v>0</v>
      </c>
      <c r="D87" s="94">
        <f>SUMIFS('capacity data'!J:J,'capacity data'!E:E,"PO",'capacity data'!B:B,'cluster capacity, unallocateds'!B87)</f>
        <v>0</v>
      </c>
      <c r="E87" s="162" t="str">
        <f t="shared" ref="E87:E94" si="14">IFERROR(D87/C87,"")</f>
        <v/>
      </c>
      <c r="F87" s="94">
        <f>SUMIFS('capacity data'!I:I,'capacity data'!E:E,"PSO",'capacity data'!B:B,'cluster capacity, unallocateds'!B87)</f>
        <v>0</v>
      </c>
      <c r="G87" s="94">
        <f>SUMIFS('capacity data'!J:J,'capacity data'!E:E,"PSO",'capacity data'!B:B,'cluster capacity, unallocateds'!B87)</f>
        <v>0</v>
      </c>
      <c r="H87" s="162" t="str">
        <f t="shared" ref="H87:H94" si="15">IFERROR(G87/F87,"")</f>
        <v/>
      </c>
      <c r="I87" s="94">
        <f>SUMIFS('capacity data'!I:I,'capacity data'!E:E,"TPO",'capacity data'!B:B,'cluster capacity, unallocateds'!B87)</f>
        <v>0</v>
      </c>
      <c r="J87" s="94">
        <f>SUMIFS('capacity data'!J:J,'capacity data'!E:E,"TPO",'capacity data'!B:B,'cluster capacity, unallocateds'!B87)</f>
        <v>0</v>
      </c>
      <c r="K87" s="162" t="str">
        <f t="shared" ref="K87:K94" si="16">IFERROR(J87/I87,"")</f>
        <v/>
      </c>
    </row>
    <row r="88" spans="2:11" ht="15" customHeight="1" x14ac:dyDescent="0.15">
      <c r="B88" s="62">
        <f>HLOOKUP($B$4,Region_Table,22,0)</f>
        <v>0</v>
      </c>
      <c r="C88" s="94">
        <f>SUMIFS('capacity data'!I:I,'capacity data'!E:E,"PO",'capacity data'!B:B,'cluster capacity, unallocateds'!B88)</f>
        <v>0</v>
      </c>
      <c r="D88" s="94">
        <f>SUMIFS('capacity data'!J:J,'capacity data'!E:E,"PO",'capacity data'!B:B,'cluster capacity, unallocateds'!B88)</f>
        <v>0</v>
      </c>
      <c r="E88" s="162" t="str">
        <f t="shared" si="14"/>
        <v/>
      </c>
      <c r="F88" s="94">
        <f>SUMIFS('capacity data'!I:I,'capacity data'!E:E,"PSO",'capacity data'!B:B,'cluster capacity, unallocateds'!B88)</f>
        <v>0</v>
      </c>
      <c r="G88" s="94">
        <f>SUMIFS('capacity data'!J:J,'capacity data'!E:E,"PSO",'capacity data'!B:B,'cluster capacity, unallocateds'!B88)</f>
        <v>0</v>
      </c>
      <c r="H88" s="162" t="str">
        <f t="shared" si="15"/>
        <v/>
      </c>
      <c r="I88" s="94">
        <f>SUMIFS('capacity data'!I:I,'capacity data'!E:E,"TPO",'capacity data'!B:B,'cluster capacity, unallocateds'!B88)</f>
        <v>0</v>
      </c>
      <c r="J88" s="94">
        <f>SUMIFS('capacity data'!J:J,'capacity data'!E:E,"TPO",'capacity data'!B:B,'cluster capacity, unallocateds'!B88)</f>
        <v>0</v>
      </c>
      <c r="K88" s="162" t="str">
        <f t="shared" si="16"/>
        <v/>
      </c>
    </row>
    <row r="89" spans="2:11" ht="15" customHeight="1" x14ac:dyDescent="0.15">
      <c r="B89" s="62">
        <f>HLOOKUP($B$4,Region_Table,23,0)</f>
        <v>0</v>
      </c>
      <c r="C89" s="94">
        <f>SUMIFS('capacity data'!I:I,'capacity data'!E:E,"PO",'capacity data'!B:B,'cluster capacity, unallocateds'!B89)</f>
        <v>0</v>
      </c>
      <c r="D89" s="94">
        <f>SUMIFS('capacity data'!J:J,'capacity data'!E:E,"PO",'capacity data'!B:B,'cluster capacity, unallocateds'!B89)</f>
        <v>0</v>
      </c>
      <c r="E89" s="162" t="str">
        <f t="shared" si="14"/>
        <v/>
      </c>
      <c r="F89" s="94">
        <f>SUMIFS('capacity data'!I:I,'capacity data'!E:E,"PSO",'capacity data'!B:B,'cluster capacity, unallocateds'!B89)</f>
        <v>0</v>
      </c>
      <c r="G89" s="94">
        <f>SUMIFS('capacity data'!J:J,'capacity data'!E:E,"PSO",'capacity data'!B:B,'cluster capacity, unallocateds'!B89)</f>
        <v>0</v>
      </c>
      <c r="H89" s="162" t="str">
        <f t="shared" si="15"/>
        <v/>
      </c>
      <c r="I89" s="94">
        <f>SUMIFS('capacity data'!I:I,'capacity data'!E:E,"TPO",'capacity data'!B:B,'cluster capacity, unallocateds'!B89)</f>
        <v>0</v>
      </c>
      <c r="J89" s="94">
        <f>SUMIFS('capacity data'!J:J,'capacity data'!E:E,"TPO",'capacity data'!B:B,'cluster capacity, unallocateds'!B89)</f>
        <v>0</v>
      </c>
      <c r="K89" s="162" t="str">
        <f t="shared" si="16"/>
        <v/>
      </c>
    </row>
    <row r="90" spans="2:11" ht="15" customHeight="1" x14ac:dyDescent="0.15">
      <c r="B90" s="62">
        <f>HLOOKUP($B$4,Region_Table,24,0)</f>
        <v>0</v>
      </c>
      <c r="C90" s="94">
        <f>SUMIFS('capacity data'!I:I,'capacity data'!E:E,"PO",'capacity data'!B:B,'cluster capacity, unallocateds'!B90)</f>
        <v>0</v>
      </c>
      <c r="D90" s="94">
        <f>SUMIFS('capacity data'!J:J,'capacity data'!E:E,"PO",'capacity data'!B:B,'cluster capacity, unallocateds'!B90)</f>
        <v>0</v>
      </c>
      <c r="E90" s="162" t="str">
        <f t="shared" si="14"/>
        <v/>
      </c>
      <c r="F90" s="94">
        <f>SUMIFS('capacity data'!I:I,'capacity data'!E:E,"PSO",'capacity data'!B:B,'cluster capacity, unallocateds'!B90)</f>
        <v>0</v>
      </c>
      <c r="G90" s="94">
        <f>SUMIFS('capacity data'!J:J,'capacity data'!E:E,"PSO",'capacity data'!B:B,'cluster capacity, unallocateds'!B90)</f>
        <v>0</v>
      </c>
      <c r="H90" s="162" t="str">
        <f t="shared" si="15"/>
        <v/>
      </c>
      <c r="I90" s="94">
        <f>SUMIFS('capacity data'!I:I,'capacity data'!E:E,"TPO",'capacity data'!B:B,'cluster capacity, unallocateds'!B90)</f>
        <v>0</v>
      </c>
      <c r="J90" s="94">
        <f>SUMIFS('capacity data'!J:J,'capacity data'!E:E,"TPO",'capacity data'!B:B,'cluster capacity, unallocateds'!B90)</f>
        <v>0</v>
      </c>
      <c r="K90" s="162" t="str">
        <f t="shared" si="16"/>
        <v/>
      </c>
    </row>
    <row r="91" spans="2:11" ht="15" customHeight="1" x14ac:dyDescent="0.15">
      <c r="B91" s="62">
        <f>HLOOKUP($B$4,Region_Table,25,0)</f>
        <v>0</v>
      </c>
      <c r="C91" s="94">
        <f>SUMIFS('capacity data'!I:I,'capacity data'!E:E,"PO",'capacity data'!B:B,'cluster capacity, unallocateds'!B91)</f>
        <v>0</v>
      </c>
      <c r="D91" s="94">
        <f>SUMIFS('capacity data'!J:J,'capacity data'!E:E,"PO",'capacity data'!B:B,'cluster capacity, unallocateds'!B91)</f>
        <v>0</v>
      </c>
      <c r="E91" s="162" t="str">
        <f t="shared" si="14"/>
        <v/>
      </c>
      <c r="F91" s="94">
        <f>SUMIFS('capacity data'!I:I,'capacity data'!E:E,"PSO",'capacity data'!B:B,'cluster capacity, unallocateds'!B91)</f>
        <v>0</v>
      </c>
      <c r="G91" s="94">
        <f>SUMIFS('capacity data'!J:J,'capacity data'!E:E,"PSO",'capacity data'!B:B,'cluster capacity, unallocateds'!B91)</f>
        <v>0</v>
      </c>
      <c r="H91" s="162" t="str">
        <f t="shared" si="15"/>
        <v/>
      </c>
      <c r="I91" s="94">
        <f>SUMIFS('capacity data'!I:I,'capacity data'!E:E,"TPO",'capacity data'!B:B,'cluster capacity, unallocateds'!B91)</f>
        <v>0</v>
      </c>
      <c r="J91" s="94">
        <f>SUMIFS('capacity data'!J:J,'capacity data'!E:E,"TPO",'capacity data'!B:B,'cluster capacity, unallocateds'!B91)</f>
        <v>0</v>
      </c>
      <c r="K91" s="162" t="str">
        <f t="shared" si="16"/>
        <v/>
      </c>
    </row>
    <row r="92" spans="2:11" ht="15" customHeight="1" x14ac:dyDescent="0.15">
      <c r="B92" s="62">
        <f>HLOOKUP($B$4,Region_Table,26,0)</f>
        <v>0</v>
      </c>
      <c r="C92" s="94">
        <f>SUMIFS('capacity data'!I:I,'capacity data'!E:E,"PO",'capacity data'!B:B,'cluster capacity, unallocateds'!B92)</f>
        <v>0</v>
      </c>
      <c r="D92" s="94">
        <f>SUMIFS('capacity data'!J:J,'capacity data'!E:E,"PO",'capacity data'!B:B,'cluster capacity, unallocateds'!B92)</f>
        <v>0</v>
      </c>
      <c r="E92" s="162" t="str">
        <f t="shared" si="14"/>
        <v/>
      </c>
      <c r="F92" s="94">
        <f>SUMIFS('capacity data'!I:I,'capacity data'!E:E,"PSO",'capacity data'!B:B,'cluster capacity, unallocateds'!B92)</f>
        <v>0</v>
      </c>
      <c r="G92" s="94">
        <f>SUMIFS('capacity data'!J:J,'capacity data'!E:E,"PSO",'capacity data'!B:B,'cluster capacity, unallocateds'!B92)</f>
        <v>0</v>
      </c>
      <c r="H92" s="162" t="str">
        <f t="shared" si="15"/>
        <v/>
      </c>
      <c r="I92" s="94">
        <f>SUMIFS('capacity data'!I:I,'capacity data'!E:E,"TPO",'capacity data'!B:B,'cluster capacity, unallocateds'!B92)</f>
        <v>0</v>
      </c>
      <c r="J92" s="94">
        <f>SUMIFS('capacity data'!J:J,'capacity data'!E:E,"TPO",'capacity data'!B:B,'cluster capacity, unallocateds'!B92)</f>
        <v>0</v>
      </c>
      <c r="K92" s="162" t="str">
        <f t="shared" si="16"/>
        <v/>
      </c>
    </row>
    <row r="93" spans="2:11" ht="15" customHeight="1" x14ac:dyDescent="0.15">
      <c r="B93" s="62">
        <f>HLOOKUP($B$4,Region_Table,27,0)</f>
        <v>0</v>
      </c>
      <c r="C93" s="94">
        <f>SUMIFS('capacity data'!I:I,'capacity data'!E:E,"PO",'capacity data'!B:B,'cluster capacity, unallocateds'!B93)</f>
        <v>0</v>
      </c>
      <c r="D93" s="94">
        <f>SUMIFS('capacity data'!J:J,'capacity data'!E:E,"PO",'capacity data'!B:B,'cluster capacity, unallocateds'!B93)</f>
        <v>0</v>
      </c>
      <c r="E93" s="162" t="str">
        <f t="shared" si="14"/>
        <v/>
      </c>
      <c r="F93" s="94">
        <f>SUMIFS('capacity data'!I:I,'capacity data'!E:E,"PSO",'capacity data'!B:B,'cluster capacity, unallocateds'!B93)</f>
        <v>0</v>
      </c>
      <c r="G93" s="94">
        <f>SUMIFS('capacity data'!J:J,'capacity data'!E:E,"PSO",'capacity data'!B:B,'cluster capacity, unallocateds'!B93)</f>
        <v>0</v>
      </c>
      <c r="H93" s="162" t="str">
        <f t="shared" si="15"/>
        <v/>
      </c>
      <c r="I93" s="94">
        <f>SUMIFS('capacity data'!I:I,'capacity data'!E:E,"TPO",'capacity data'!B:B,'cluster capacity, unallocateds'!B93)</f>
        <v>0</v>
      </c>
      <c r="J93" s="94">
        <f>SUMIFS('capacity data'!J:J,'capacity data'!E:E,"TPO",'capacity data'!B:B,'cluster capacity, unallocateds'!B93)</f>
        <v>0</v>
      </c>
      <c r="K93" s="162" t="str">
        <f t="shared" si="16"/>
        <v/>
      </c>
    </row>
    <row r="94" spans="2:11" ht="15" customHeight="1" x14ac:dyDescent="0.15">
      <c r="B94" s="62">
        <f>HLOOKUP($B$4,Region_Table,28,0)</f>
        <v>0</v>
      </c>
      <c r="C94" s="94">
        <f>SUMIFS('capacity data'!I:I,'capacity data'!E:E,"PO",'capacity data'!B:B,'cluster capacity, unallocateds'!B94)</f>
        <v>0</v>
      </c>
      <c r="D94" s="94">
        <f>SUMIFS('capacity data'!J:J,'capacity data'!E:E,"PO",'capacity data'!B:B,'cluster capacity, unallocateds'!B94)</f>
        <v>0</v>
      </c>
      <c r="E94" s="162" t="str">
        <f t="shared" si="14"/>
        <v/>
      </c>
      <c r="F94" s="94">
        <f>SUMIFS('capacity data'!I:I,'capacity data'!E:E,"PSO",'capacity data'!B:B,'cluster capacity, unallocateds'!B94)</f>
        <v>0</v>
      </c>
      <c r="G94" s="94">
        <f>SUMIFS('capacity data'!J:J,'capacity data'!E:E,"PSO",'capacity data'!B:B,'cluster capacity, unallocateds'!B94)</f>
        <v>0</v>
      </c>
      <c r="H94" s="162" t="str">
        <f t="shared" si="15"/>
        <v/>
      </c>
      <c r="I94" s="94">
        <f>SUMIFS('capacity data'!I:I,'capacity data'!E:E,"TPO",'capacity data'!B:B,'cluster capacity, unallocateds'!B94)</f>
        <v>0</v>
      </c>
      <c r="J94" s="94">
        <f>SUMIFS('capacity data'!J:J,'capacity data'!E:E,"TPO",'capacity data'!B:B,'cluster capacity, unallocateds'!B94)</f>
        <v>0</v>
      </c>
      <c r="K94" s="162" t="str">
        <f t="shared" si="16"/>
        <v/>
      </c>
    </row>
    <row r="95" spans="2:11" ht="35.25" customHeight="1" x14ac:dyDescent="0.15"/>
    <row r="96" spans="2:11" ht="56" x14ac:dyDescent="0.15">
      <c r="B96" s="219" t="s">
        <v>1103</v>
      </c>
      <c r="C96" s="219" t="s">
        <v>1123</v>
      </c>
      <c r="D96" s="219" t="s">
        <v>1124</v>
      </c>
      <c r="E96" s="219" t="s">
        <v>1125</v>
      </c>
      <c r="F96" s="219" t="s">
        <v>1126</v>
      </c>
      <c r="G96" s="219" t="s">
        <v>1127</v>
      </c>
      <c r="H96" s="219" t="s">
        <v>1128</v>
      </c>
      <c r="I96" s="219" t="s">
        <v>1129</v>
      </c>
    </row>
    <row r="97" spans="2:9" x14ac:dyDescent="0.15">
      <c r="B97" s="154" t="s">
        <v>1054</v>
      </c>
      <c r="C97" s="161">
        <f>SUM('capacity data'!K:K)</f>
        <v>0</v>
      </c>
      <c r="D97" s="161">
        <f>COUNTIF('capacity data'!E:E,"DMY")</f>
        <v>0</v>
      </c>
      <c r="E97" s="161">
        <f>SUMIF('capacity data'!E:E,"DMY",'capacity data'!K:K)</f>
        <v>0</v>
      </c>
      <c r="F97" s="162" t="e">
        <f>E97/C97</f>
        <v>#DIV/0!</v>
      </c>
      <c r="G97" s="163">
        <f>SUMIF('capacity data'!E:E,"SPO",'capacity data'!K:K)</f>
        <v>0</v>
      </c>
      <c r="H97" s="161">
        <f>E97+G97</f>
        <v>0</v>
      </c>
      <c r="I97" s="164" t="e">
        <f>H97/C97</f>
        <v>#DIV/0!</v>
      </c>
    </row>
    <row r="98" spans="2:9" x14ac:dyDescent="0.15">
      <c r="B98" s="62" t="str">
        <f>HLOOKUP($B$4,Region_Table,2,0)</f>
        <v>All East Midlands Region</v>
      </c>
      <c r="C98" s="94">
        <f>SUMIF('capacity data'!B:B,'cluster capacity, unallocateds'!B98,'capacity data'!K:K)</f>
        <v>0</v>
      </c>
      <c r="D98" s="94">
        <f>COUNTIFS('capacity data'!B:B,'cluster capacity, unallocateds'!B98,'capacity data'!E:E,"DMY")</f>
        <v>0</v>
      </c>
      <c r="E98" s="94">
        <f>SUMIFS('capacity data'!K:K,'capacity data'!E:E,"DMY",'capacity data'!B:B,'cluster capacity, unallocateds'!B98)</f>
        <v>0</v>
      </c>
      <c r="F98" s="66" t="str">
        <f>IFERROR(E98/C98,"")</f>
        <v/>
      </c>
      <c r="G98" s="75">
        <f>SUMIFS('capacity data'!K:K,'capacity data'!E:E,"SPO",'capacity data'!B:B,'cluster capacity, unallocateds'!B98)</f>
        <v>0</v>
      </c>
      <c r="H98" s="161">
        <f t="shared" ref="H98:H113" si="17">E98+G98</f>
        <v>0</v>
      </c>
      <c r="I98" s="164" t="str">
        <f>IFERROR(H98/C98,"")</f>
        <v/>
      </c>
    </row>
    <row r="99" spans="2:9" x14ac:dyDescent="0.15">
      <c r="B99" s="62" t="str">
        <f>HLOOKUP($B$4,Region_Table,3,0)</f>
        <v>Derby City - N53</v>
      </c>
      <c r="C99" s="94">
        <f>SUMIF('capacity data'!B:B,'cluster capacity, unallocateds'!B99,'capacity data'!K:K)</f>
        <v>0</v>
      </c>
      <c r="D99" s="94">
        <f>COUNTIFS('capacity data'!B:B,'cluster capacity, unallocateds'!B99,'capacity data'!E:E,"DMY")</f>
        <v>0</v>
      </c>
      <c r="E99" s="94">
        <f>SUMIFS('capacity data'!K:K,'capacity data'!E:E,"DMY",'capacity data'!B:B,'cluster capacity, unallocateds'!B99)</f>
        <v>0</v>
      </c>
      <c r="F99" s="66" t="str">
        <f t="shared" ref="F99:F113" si="18">IFERROR(E99/C99,"")</f>
        <v/>
      </c>
      <c r="G99" s="75">
        <f>SUMIFS('capacity data'!K:K,'capacity data'!E:E,"SPO",'capacity data'!B:B,'cluster capacity, unallocateds'!B99)</f>
        <v>0</v>
      </c>
      <c r="H99" s="161">
        <f t="shared" si="17"/>
        <v>0</v>
      </c>
      <c r="I99" s="164" t="str">
        <f t="shared" ref="I99:I113" si="19">IFERROR(H99/C99,"")</f>
        <v/>
      </c>
    </row>
    <row r="100" spans="2:9" x14ac:dyDescent="0.15">
      <c r="B100" s="62" t="str">
        <f>HLOOKUP($B$4,Region_Table,4,0)</f>
        <v>Derbyshire - N53</v>
      </c>
      <c r="C100" s="94">
        <f>SUMIF('capacity data'!B:B,'cluster capacity, unallocateds'!B100,'capacity data'!K:K)</f>
        <v>0</v>
      </c>
      <c r="D100" s="94">
        <f>COUNTIFS('capacity data'!B:B,'cluster capacity, unallocateds'!B100,'capacity data'!E:E,"DMY")</f>
        <v>0</v>
      </c>
      <c r="E100" s="94">
        <f>SUMIFS('capacity data'!K:K,'capacity data'!E:E,"DMY",'capacity data'!B:B,'cluster capacity, unallocateds'!B100)</f>
        <v>0</v>
      </c>
      <c r="F100" s="66" t="str">
        <f t="shared" si="18"/>
        <v/>
      </c>
      <c r="G100" s="75">
        <f>SUMIFS('capacity data'!K:K,'capacity data'!E:E,"SPO",'capacity data'!B:B,'cluster capacity, unallocateds'!B100)</f>
        <v>0</v>
      </c>
      <c r="H100" s="161">
        <f t="shared" si="17"/>
        <v>0</v>
      </c>
      <c r="I100" s="164" t="str">
        <f t="shared" si="19"/>
        <v/>
      </c>
    </row>
    <row r="101" spans="2:9" x14ac:dyDescent="0.15">
      <c r="B101" s="62" t="str">
        <f>HLOOKUP($B$4,Region_Table,5,0)</f>
        <v>Leicester, Leicestershire and Rutland</v>
      </c>
      <c r="C101" s="94">
        <f>SUMIF('capacity data'!B:B,'cluster capacity, unallocateds'!B101,'capacity data'!K:K)</f>
        <v>0</v>
      </c>
      <c r="D101" s="94">
        <f>COUNTIFS('capacity data'!B:B,'cluster capacity, unallocateds'!B101,'capacity data'!E:E,"DMY")</f>
        <v>0</v>
      </c>
      <c r="E101" s="94">
        <f>SUMIFS('capacity data'!K:K,'capacity data'!E:E,"DMY",'capacity data'!B:B,'cluster capacity, unallocateds'!B101)</f>
        <v>0</v>
      </c>
      <c r="F101" s="66" t="str">
        <f t="shared" si="18"/>
        <v/>
      </c>
      <c r="G101" s="75">
        <f>SUMIFS('capacity data'!K:K,'capacity data'!E:E,"SPO",'capacity data'!B:B,'cluster capacity, unallocateds'!B101)</f>
        <v>0</v>
      </c>
      <c r="H101" s="161">
        <f t="shared" si="17"/>
        <v>0</v>
      </c>
      <c r="I101" s="164" t="str">
        <f t="shared" si="19"/>
        <v/>
      </c>
    </row>
    <row r="102" spans="2:9" x14ac:dyDescent="0.15">
      <c r="B102" s="62" t="str">
        <f>HLOOKUP($B$4,Region_Table,6,0)</f>
        <v>Lincolnshire East and West - N53</v>
      </c>
      <c r="C102" s="94">
        <f>SUMIF('capacity data'!B:B,'cluster capacity, unallocateds'!B102,'capacity data'!K:K)</f>
        <v>0</v>
      </c>
      <c r="D102" s="94">
        <f>COUNTIFS('capacity data'!B:B,'cluster capacity, unallocateds'!B102,'capacity data'!E:E,"DMY")</f>
        <v>0</v>
      </c>
      <c r="E102" s="94">
        <f>SUMIFS('capacity data'!K:K,'capacity data'!E:E,"DMY",'capacity data'!B:B,'cluster capacity, unallocateds'!B102)</f>
        <v>0</v>
      </c>
      <c r="F102" s="66" t="str">
        <f t="shared" si="18"/>
        <v/>
      </c>
      <c r="G102" s="75">
        <f>SUMIFS('capacity data'!K:K,'capacity data'!E:E,"SPO",'capacity data'!B:B,'cluster capacity, unallocateds'!B102)</f>
        <v>0</v>
      </c>
      <c r="H102" s="161">
        <f t="shared" si="17"/>
        <v>0</v>
      </c>
      <c r="I102" s="164" t="str">
        <f t="shared" si="19"/>
        <v/>
      </c>
    </row>
    <row r="103" spans="2:9" x14ac:dyDescent="0.15">
      <c r="B103" s="62" t="str">
        <f>HLOOKUP($B$4,Region_Table,7,0)</f>
        <v>Nottingham City</v>
      </c>
      <c r="C103" s="94">
        <f>SUMIF('capacity data'!B:B,'cluster capacity, unallocateds'!B103,'capacity data'!K:K)</f>
        <v>0</v>
      </c>
      <c r="D103" s="94">
        <f>COUNTIFS('capacity data'!B:B,'cluster capacity, unallocateds'!B103,'capacity data'!E:E,"DMY")</f>
        <v>0</v>
      </c>
      <c r="E103" s="94">
        <f>SUMIFS('capacity data'!K:K,'capacity data'!E:E,"DMY",'capacity data'!B:B,'cluster capacity, unallocateds'!B103)</f>
        <v>0</v>
      </c>
      <c r="F103" s="66" t="str">
        <f t="shared" si="18"/>
        <v/>
      </c>
      <c r="G103" s="75">
        <f>SUMIFS('capacity data'!K:K,'capacity data'!E:E,"SPO",'capacity data'!B:B,'cluster capacity, unallocateds'!B103)</f>
        <v>0</v>
      </c>
      <c r="H103" s="161">
        <f t="shared" si="17"/>
        <v>0</v>
      </c>
      <c r="I103" s="164" t="str">
        <f t="shared" si="19"/>
        <v/>
      </c>
    </row>
    <row r="104" spans="2:9" x14ac:dyDescent="0.15">
      <c r="B104" s="62" t="str">
        <f>HLOOKUP($B$4,Region_Table,8,0)</f>
        <v>Nottinghamshire - N53</v>
      </c>
      <c r="C104" s="94">
        <f>SUMIF('capacity data'!B:B,'cluster capacity, unallocateds'!B104,'capacity data'!K:K)</f>
        <v>0</v>
      </c>
      <c r="D104" s="94">
        <f>COUNTIFS('capacity data'!B:B,'cluster capacity, unallocateds'!B104,'capacity data'!E:E,"DMY")</f>
        <v>0</v>
      </c>
      <c r="E104" s="94">
        <f>SUMIFS('capacity data'!K:K,'capacity data'!E:E,"DMY",'capacity data'!B:B,'cluster capacity, unallocateds'!B104)</f>
        <v>0</v>
      </c>
      <c r="F104" s="66" t="str">
        <f t="shared" si="18"/>
        <v/>
      </c>
      <c r="G104" s="75">
        <f>SUMIFS('capacity data'!K:K,'capacity data'!E:E,"SPO",'capacity data'!B:B,'cluster capacity, unallocateds'!B104)</f>
        <v>0</v>
      </c>
      <c r="H104" s="161">
        <f t="shared" si="17"/>
        <v>0</v>
      </c>
      <c r="I104" s="164" t="str">
        <f t="shared" si="19"/>
        <v/>
      </c>
    </row>
    <row r="105" spans="2:9" x14ac:dyDescent="0.15">
      <c r="B105" s="62" t="str">
        <f>HLOOKUP($B$4,Region_Table,9,0)</f>
        <v>Unpaid Work and Attendance Centres - N53</v>
      </c>
      <c r="C105" s="94">
        <f>SUMIF('capacity data'!B:B,'cluster capacity, unallocateds'!B105,'capacity data'!K:K)</f>
        <v>0</v>
      </c>
      <c r="D105" s="94">
        <f>COUNTIFS('capacity data'!B:B,'cluster capacity, unallocateds'!B105,'capacity data'!E:E,"DMY")</f>
        <v>0</v>
      </c>
      <c r="E105" s="94">
        <f>SUMIFS('capacity data'!K:K,'capacity data'!E:E,"DMY",'capacity data'!B:B,'cluster capacity, unallocateds'!B105)</f>
        <v>0</v>
      </c>
      <c r="F105" s="66" t="str">
        <f t="shared" si="18"/>
        <v/>
      </c>
      <c r="G105" s="75">
        <f>SUMIFS('capacity data'!K:K,'capacity data'!E:E,"SPO",'capacity data'!B:B,'cluster capacity, unallocateds'!B105)</f>
        <v>0</v>
      </c>
      <c r="H105" s="161">
        <f t="shared" si="17"/>
        <v>0</v>
      </c>
      <c r="I105" s="164" t="str">
        <f t="shared" si="19"/>
        <v/>
      </c>
    </row>
    <row r="106" spans="2:9" x14ac:dyDescent="0.15">
      <c r="B106" s="62">
        <f>HLOOKUP($B$4,Region_Table,10,0)</f>
        <v>0</v>
      </c>
      <c r="C106" s="94">
        <f>SUMIF('capacity data'!B:B,'cluster capacity, unallocateds'!B106,'capacity data'!K:K)</f>
        <v>0</v>
      </c>
      <c r="D106" s="94">
        <f>COUNTIFS('capacity data'!B:B,'cluster capacity, unallocateds'!B106,'capacity data'!E:E,"DMY")</f>
        <v>0</v>
      </c>
      <c r="E106" s="94">
        <f>SUMIFS('capacity data'!K:K,'capacity data'!E:E,"DMY",'capacity data'!B:B,'cluster capacity, unallocateds'!B106)</f>
        <v>0</v>
      </c>
      <c r="F106" s="66" t="str">
        <f t="shared" si="18"/>
        <v/>
      </c>
      <c r="G106" s="75">
        <f>SUMIFS('capacity data'!K:K,'capacity data'!E:E,"SPO",'capacity data'!B:B,'cluster capacity, unallocateds'!B106)</f>
        <v>0</v>
      </c>
      <c r="H106" s="161">
        <f t="shared" si="17"/>
        <v>0</v>
      </c>
      <c r="I106" s="164" t="str">
        <f t="shared" si="19"/>
        <v/>
      </c>
    </row>
    <row r="107" spans="2:9" x14ac:dyDescent="0.15">
      <c r="B107" s="62">
        <f>HLOOKUP($B$4,Region_Table,11,0)</f>
        <v>0</v>
      </c>
      <c r="C107" s="94">
        <f>SUMIF('capacity data'!B:B,'cluster capacity, unallocateds'!B107,'capacity data'!K:K)</f>
        <v>0</v>
      </c>
      <c r="D107" s="94">
        <f>COUNTIFS('capacity data'!B:B,'cluster capacity, unallocateds'!B107,'capacity data'!E:E,"DMY")</f>
        <v>0</v>
      </c>
      <c r="E107" s="94">
        <f>SUMIFS('capacity data'!K:K,'capacity data'!E:E,"DMY",'capacity data'!B:B,'cluster capacity, unallocateds'!B107)</f>
        <v>0</v>
      </c>
      <c r="F107" s="66" t="str">
        <f t="shared" si="18"/>
        <v/>
      </c>
      <c r="G107" s="75">
        <f>SUMIFS('capacity data'!K:K,'capacity data'!E:E,"SPO",'capacity data'!B:B,'cluster capacity, unallocateds'!B107)</f>
        <v>0</v>
      </c>
      <c r="H107" s="161">
        <f t="shared" si="17"/>
        <v>0</v>
      </c>
      <c r="I107" s="164" t="str">
        <f t="shared" si="19"/>
        <v/>
      </c>
    </row>
    <row r="108" spans="2:9" x14ac:dyDescent="0.15">
      <c r="B108" s="62">
        <f>HLOOKUP($B$4,Region_Table,12,0)</f>
        <v>0</v>
      </c>
      <c r="C108" s="94">
        <f>SUMIF('capacity data'!B:B,'cluster capacity, unallocateds'!B108,'capacity data'!K:K)</f>
        <v>0</v>
      </c>
      <c r="D108" s="94">
        <f>COUNTIFS('capacity data'!B:B,'cluster capacity, unallocateds'!B108,'capacity data'!E:E,"DMY")</f>
        <v>0</v>
      </c>
      <c r="E108" s="94">
        <f>SUMIFS('capacity data'!K:K,'capacity data'!E:E,"DMY",'capacity data'!B:B,'cluster capacity, unallocateds'!B108)</f>
        <v>0</v>
      </c>
      <c r="F108" s="66" t="str">
        <f t="shared" si="18"/>
        <v/>
      </c>
      <c r="G108" s="75">
        <f>SUMIFS('capacity data'!K:K,'capacity data'!E:E,"SPO",'capacity data'!B:B,'cluster capacity, unallocateds'!B108)</f>
        <v>0</v>
      </c>
      <c r="H108" s="161">
        <f t="shared" si="17"/>
        <v>0</v>
      </c>
      <c r="I108" s="164" t="str">
        <f t="shared" si="19"/>
        <v/>
      </c>
    </row>
    <row r="109" spans="2:9" x14ac:dyDescent="0.15">
      <c r="B109" s="62">
        <f>HLOOKUP($B$4,Region_Table,13,0)</f>
        <v>0</v>
      </c>
      <c r="C109" s="94">
        <f>SUMIF('capacity data'!B:B,'cluster capacity, unallocateds'!B109,'capacity data'!K:K)</f>
        <v>0</v>
      </c>
      <c r="D109" s="94">
        <f>COUNTIFS('capacity data'!B:B,'cluster capacity, unallocateds'!B109,'capacity data'!E:E,"DMY")</f>
        <v>0</v>
      </c>
      <c r="E109" s="94">
        <f>SUMIFS('capacity data'!K:K,'capacity data'!E:E,"DMY",'capacity data'!B:B,'cluster capacity, unallocateds'!B109)</f>
        <v>0</v>
      </c>
      <c r="F109" s="66" t="str">
        <f t="shared" si="18"/>
        <v/>
      </c>
      <c r="G109" s="75">
        <f>SUMIFS('capacity data'!K:K,'capacity data'!E:E,"SPO",'capacity data'!B:B,'cluster capacity, unallocateds'!B109)</f>
        <v>0</v>
      </c>
      <c r="H109" s="161">
        <f t="shared" si="17"/>
        <v>0</v>
      </c>
      <c r="I109" s="164" t="str">
        <f t="shared" si="19"/>
        <v/>
      </c>
    </row>
    <row r="110" spans="2:9" x14ac:dyDescent="0.15">
      <c r="B110" s="62">
        <f>HLOOKUP($B$4,Region_Table,14,0)</f>
        <v>0</v>
      </c>
      <c r="C110" s="94">
        <f>SUMIF('capacity data'!B:B,'cluster capacity, unallocateds'!B110,'capacity data'!K:K)</f>
        <v>0</v>
      </c>
      <c r="D110" s="94">
        <f>COUNTIFS('capacity data'!B:B,'cluster capacity, unallocateds'!B110,'capacity data'!E:E,"DMY")</f>
        <v>0</v>
      </c>
      <c r="E110" s="94">
        <f>SUMIFS('capacity data'!K:K,'capacity data'!E:E,"DMY",'capacity data'!B:B,'cluster capacity, unallocateds'!B110)</f>
        <v>0</v>
      </c>
      <c r="F110" s="66" t="str">
        <f t="shared" si="18"/>
        <v/>
      </c>
      <c r="G110" s="75">
        <f>SUMIFS('capacity data'!K:K,'capacity data'!E:E,"SPO",'capacity data'!B:B,'cluster capacity, unallocateds'!B110)</f>
        <v>0</v>
      </c>
      <c r="H110" s="161">
        <f t="shared" si="17"/>
        <v>0</v>
      </c>
      <c r="I110" s="164" t="str">
        <f t="shared" si="19"/>
        <v/>
      </c>
    </row>
    <row r="111" spans="2:9" x14ac:dyDescent="0.15">
      <c r="B111" s="62">
        <f>HLOOKUP($B$4,Region_Table,15,0)</f>
        <v>0</v>
      </c>
      <c r="C111" s="94">
        <f>SUMIF('capacity data'!B:B,'cluster capacity, unallocateds'!B111,'capacity data'!K:K)</f>
        <v>0</v>
      </c>
      <c r="D111" s="94">
        <f>COUNTIFS('capacity data'!B:B,'cluster capacity, unallocateds'!B111,'capacity data'!E:E,"DMY")</f>
        <v>0</v>
      </c>
      <c r="E111" s="94">
        <f>SUMIFS('capacity data'!K:K,'capacity data'!E:E,"DMY",'capacity data'!B:B,'cluster capacity, unallocateds'!B111)</f>
        <v>0</v>
      </c>
      <c r="F111" s="66" t="str">
        <f t="shared" si="18"/>
        <v/>
      </c>
      <c r="G111" s="75">
        <f>SUMIFS('capacity data'!K:K,'capacity data'!E:E,"SPO",'capacity data'!B:B,'cluster capacity, unallocateds'!B111)</f>
        <v>0</v>
      </c>
      <c r="H111" s="161">
        <f t="shared" si="17"/>
        <v>0</v>
      </c>
      <c r="I111" s="164" t="str">
        <f t="shared" si="19"/>
        <v/>
      </c>
    </row>
    <row r="112" spans="2:9" x14ac:dyDescent="0.15">
      <c r="B112" s="62">
        <f>HLOOKUP($B$4,Region_Table,16,0)</f>
        <v>0</v>
      </c>
      <c r="C112" s="94">
        <f>SUMIF('capacity data'!B:B,'cluster capacity, unallocateds'!B112,'capacity data'!K:K)</f>
        <v>0</v>
      </c>
      <c r="D112" s="94">
        <f>COUNTIFS('capacity data'!B:B,'cluster capacity, unallocateds'!B112,'capacity data'!E:E,"DMY")</f>
        <v>0</v>
      </c>
      <c r="E112" s="94">
        <f>SUMIFS('capacity data'!K:K,'capacity data'!E:E,"DMY",'capacity data'!B:B,'cluster capacity, unallocateds'!B112)</f>
        <v>0</v>
      </c>
      <c r="F112" s="66" t="str">
        <f t="shared" si="18"/>
        <v/>
      </c>
      <c r="G112" s="75">
        <f>SUMIFS('capacity data'!K:K,'capacity data'!E:E,"SPO",'capacity data'!B:B,'cluster capacity, unallocateds'!B112)</f>
        <v>0</v>
      </c>
      <c r="H112" s="161">
        <f t="shared" si="17"/>
        <v>0</v>
      </c>
      <c r="I112" s="164" t="str">
        <f t="shared" si="19"/>
        <v/>
      </c>
    </row>
    <row r="113" spans="2:9" x14ac:dyDescent="0.15">
      <c r="B113" s="62">
        <f>HLOOKUP($B$4,Region_Table,17,0)</f>
        <v>0</v>
      </c>
      <c r="C113" s="94">
        <f>SUMIF('capacity data'!B:B,'cluster capacity, unallocateds'!B113,'capacity data'!K:K)</f>
        <v>0</v>
      </c>
      <c r="D113" s="94">
        <f>COUNTIFS('capacity data'!B:B,'cluster capacity, unallocateds'!B113,'capacity data'!E:E,"DMY")</f>
        <v>0</v>
      </c>
      <c r="E113" s="94">
        <f>SUMIFS('capacity data'!K:K,'capacity data'!E:E,"DMY",'capacity data'!B:B,'cluster capacity, unallocateds'!B113)</f>
        <v>0</v>
      </c>
      <c r="F113" s="66" t="str">
        <f t="shared" si="18"/>
        <v/>
      </c>
      <c r="G113" s="75">
        <f>SUMIFS('capacity data'!K:K,'capacity data'!E:E,"SPO",'capacity data'!B:B,'cluster capacity, unallocateds'!B113)</f>
        <v>0</v>
      </c>
      <c r="H113" s="161">
        <f t="shared" si="17"/>
        <v>0</v>
      </c>
      <c r="I113" s="164" t="str">
        <f t="shared" si="19"/>
        <v/>
      </c>
    </row>
    <row r="114" spans="2:9" x14ac:dyDescent="0.15">
      <c r="B114" s="62">
        <f>HLOOKUP($B$4,Region_Table,18,0)</f>
        <v>0</v>
      </c>
      <c r="C114" s="94">
        <f>SUMIF('capacity data'!B:B,'cluster capacity, unallocateds'!B114,'capacity data'!K:K)</f>
        <v>0</v>
      </c>
      <c r="D114" s="94">
        <f>COUNTIFS('capacity data'!B:B,'cluster capacity, unallocateds'!B114,'capacity data'!E:E,"DMY")</f>
        <v>0</v>
      </c>
      <c r="E114" s="94">
        <f>SUMIFS('capacity data'!K:K,'capacity data'!E:E,"DMY",'capacity data'!B:B,'cluster capacity, unallocateds'!B114)</f>
        <v>0</v>
      </c>
      <c r="F114" s="66" t="str">
        <f t="shared" ref="F114:F116" si="20">IFERROR(E114/C114,"")</f>
        <v/>
      </c>
      <c r="G114" s="75">
        <f>SUMIFS('capacity data'!K:K,'capacity data'!E:E,"SPO",'capacity data'!B:B,'cluster capacity, unallocateds'!B114)</f>
        <v>0</v>
      </c>
      <c r="H114" s="161">
        <f t="shared" ref="H114:H116" si="21">E114+G114</f>
        <v>0</v>
      </c>
      <c r="I114" s="164" t="str">
        <f t="shared" ref="I114:I116" si="22">IFERROR(H114/C114,"")</f>
        <v/>
      </c>
    </row>
    <row r="115" spans="2:9" x14ac:dyDescent="0.15">
      <c r="B115" s="62">
        <f>HLOOKUP($B$4,Region_Table,19,0)</f>
        <v>0</v>
      </c>
      <c r="C115" s="94">
        <f>SUMIF('capacity data'!B:B,'cluster capacity, unallocateds'!B115,'capacity data'!K:K)</f>
        <v>0</v>
      </c>
      <c r="D115" s="94">
        <f>COUNTIFS('capacity data'!B:B,'cluster capacity, unallocateds'!B115,'capacity data'!E:E,"DMY")</f>
        <v>0</v>
      </c>
      <c r="E115" s="94">
        <f>SUMIFS('capacity data'!K:K,'capacity data'!E:E,"DMY",'capacity data'!B:B,'cluster capacity, unallocateds'!B115)</f>
        <v>0</v>
      </c>
      <c r="F115" s="66" t="str">
        <f t="shared" si="20"/>
        <v/>
      </c>
      <c r="G115" s="75">
        <f>SUMIFS('capacity data'!K:K,'capacity data'!E:E,"SPO",'capacity data'!B:B,'cluster capacity, unallocateds'!B115)</f>
        <v>0</v>
      </c>
      <c r="H115" s="161">
        <f t="shared" si="21"/>
        <v>0</v>
      </c>
      <c r="I115" s="164" t="str">
        <f t="shared" si="22"/>
        <v/>
      </c>
    </row>
    <row r="116" spans="2:9" x14ac:dyDescent="0.15">
      <c r="B116" s="62">
        <f>HLOOKUP($B$4,Region_Table,20,0)</f>
        <v>0</v>
      </c>
      <c r="C116" s="94">
        <f>SUMIF('capacity data'!B:B,'cluster capacity, unallocateds'!B116,'capacity data'!K:K)</f>
        <v>0</v>
      </c>
      <c r="D116" s="94">
        <f>COUNTIFS('capacity data'!B:B,'cluster capacity, unallocateds'!B116,'capacity data'!E:E,"DMY")</f>
        <v>0</v>
      </c>
      <c r="E116" s="94">
        <f>SUMIFS('capacity data'!K:K,'capacity data'!E:E,"DMY",'capacity data'!B:B,'cluster capacity, unallocateds'!B116)</f>
        <v>0</v>
      </c>
      <c r="F116" s="66" t="str">
        <f t="shared" si="20"/>
        <v/>
      </c>
      <c r="G116" s="75">
        <f>SUMIFS('capacity data'!K:K,'capacity data'!E:E,"SPO",'capacity data'!B:B,'cluster capacity, unallocateds'!B116)</f>
        <v>0</v>
      </c>
      <c r="H116" s="161">
        <f t="shared" si="21"/>
        <v>0</v>
      </c>
      <c r="I116" s="164" t="str">
        <f t="shared" si="22"/>
        <v/>
      </c>
    </row>
    <row r="117" spans="2:9" ht="15.75" customHeight="1" x14ac:dyDescent="0.15">
      <c r="B117" s="62">
        <f>HLOOKUP($B$4,Region_Table,21,0)</f>
        <v>0</v>
      </c>
      <c r="C117" s="94">
        <f>SUMIF('capacity data'!B:B,'cluster capacity, unallocateds'!B117,'capacity data'!K:K)</f>
        <v>0</v>
      </c>
      <c r="D117" s="94">
        <f>COUNTIFS('capacity data'!B:B,'cluster capacity, unallocateds'!B117,'capacity data'!E:E,"DMY")</f>
        <v>0</v>
      </c>
      <c r="E117" s="94">
        <f>SUMIFS('capacity data'!K:K,'capacity data'!E:E,"DMY",'capacity data'!B:B,'cluster capacity, unallocateds'!B117)</f>
        <v>0</v>
      </c>
      <c r="F117" s="66" t="str">
        <f t="shared" ref="F117:F124" si="23">IFERROR(E117/C117,"")</f>
        <v/>
      </c>
      <c r="G117" s="75">
        <f>SUMIFS('capacity data'!K:K,'capacity data'!E:E,"SPO",'capacity data'!B:B,'cluster capacity, unallocateds'!B117)</f>
        <v>0</v>
      </c>
      <c r="H117" s="161">
        <f t="shared" ref="H117:H124" si="24">E117+G117</f>
        <v>0</v>
      </c>
      <c r="I117" s="164" t="str">
        <f t="shared" ref="I117:I124" si="25">IFERROR(H117/C117,"")</f>
        <v/>
      </c>
    </row>
    <row r="118" spans="2:9" x14ac:dyDescent="0.15">
      <c r="B118" s="62">
        <f>HLOOKUP($B$4,Region_Table,22,0)</f>
        <v>0</v>
      </c>
      <c r="C118" s="94">
        <f>SUMIF('capacity data'!B:B,'cluster capacity, unallocateds'!B118,'capacity data'!K:K)</f>
        <v>0</v>
      </c>
      <c r="D118" s="94">
        <f>COUNTIFS('capacity data'!B:B,'cluster capacity, unallocateds'!B118,'capacity data'!E:E,"DMY")</f>
        <v>0</v>
      </c>
      <c r="E118" s="94">
        <f>SUMIFS('capacity data'!K:K,'capacity data'!E:E,"DMY",'capacity data'!B:B,'cluster capacity, unallocateds'!B118)</f>
        <v>0</v>
      </c>
      <c r="F118" s="66" t="str">
        <f t="shared" si="23"/>
        <v/>
      </c>
      <c r="G118" s="75">
        <f>SUMIFS('capacity data'!K:K,'capacity data'!E:E,"SPO",'capacity data'!B:B,'cluster capacity, unallocateds'!B118)</f>
        <v>0</v>
      </c>
      <c r="H118" s="161">
        <f t="shared" si="24"/>
        <v>0</v>
      </c>
      <c r="I118" s="164" t="str">
        <f t="shared" si="25"/>
        <v/>
      </c>
    </row>
    <row r="119" spans="2:9" x14ac:dyDescent="0.15">
      <c r="B119" s="62">
        <f>HLOOKUP($B$4,Region_Table,23,0)</f>
        <v>0</v>
      </c>
      <c r="C119" s="94">
        <f>SUMIF('capacity data'!B:B,'cluster capacity, unallocateds'!B119,'capacity data'!K:K)</f>
        <v>0</v>
      </c>
      <c r="D119" s="94">
        <f>COUNTIFS('capacity data'!B:B,'cluster capacity, unallocateds'!B119,'capacity data'!E:E,"DMY")</f>
        <v>0</v>
      </c>
      <c r="E119" s="94">
        <f>SUMIFS('capacity data'!K:K,'capacity data'!E:E,"DMY",'capacity data'!B:B,'cluster capacity, unallocateds'!B119)</f>
        <v>0</v>
      </c>
      <c r="F119" s="66" t="str">
        <f t="shared" si="23"/>
        <v/>
      </c>
      <c r="G119" s="75">
        <f>SUMIFS('capacity data'!K:K,'capacity data'!E:E,"SPO",'capacity data'!B:B,'cluster capacity, unallocateds'!B119)</f>
        <v>0</v>
      </c>
      <c r="H119" s="161">
        <f t="shared" si="24"/>
        <v>0</v>
      </c>
      <c r="I119" s="164" t="str">
        <f t="shared" si="25"/>
        <v/>
      </c>
    </row>
    <row r="120" spans="2:9" x14ac:dyDescent="0.15">
      <c r="B120" s="62">
        <f>HLOOKUP($B$4,Region_Table,24,0)</f>
        <v>0</v>
      </c>
      <c r="C120" s="94">
        <f>SUMIF('capacity data'!B:B,'cluster capacity, unallocateds'!B120,'capacity data'!K:K)</f>
        <v>0</v>
      </c>
      <c r="D120" s="94">
        <f>COUNTIFS('capacity data'!B:B,'cluster capacity, unallocateds'!B120,'capacity data'!E:E,"DMY")</f>
        <v>0</v>
      </c>
      <c r="E120" s="94">
        <f>SUMIFS('capacity data'!K:K,'capacity data'!E:E,"DMY",'capacity data'!B:B,'cluster capacity, unallocateds'!B120)</f>
        <v>0</v>
      </c>
      <c r="F120" s="66" t="str">
        <f t="shared" si="23"/>
        <v/>
      </c>
      <c r="G120" s="75">
        <f>SUMIFS('capacity data'!K:K,'capacity data'!E:E,"SPO",'capacity data'!B:B,'cluster capacity, unallocateds'!B120)</f>
        <v>0</v>
      </c>
      <c r="H120" s="161">
        <f t="shared" si="24"/>
        <v>0</v>
      </c>
      <c r="I120" s="164" t="str">
        <f t="shared" si="25"/>
        <v/>
      </c>
    </row>
    <row r="121" spans="2:9" x14ac:dyDescent="0.15">
      <c r="B121" s="62">
        <f>HLOOKUP($B$4,Region_Table,25,0)</f>
        <v>0</v>
      </c>
      <c r="C121" s="94">
        <f>SUMIF('capacity data'!B:B,'cluster capacity, unallocateds'!B121,'capacity data'!K:K)</f>
        <v>0</v>
      </c>
      <c r="D121" s="94">
        <f>COUNTIFS('capacity data'!B:B,'cluster capacity, unallocateds'!B121,'capacity data'!E:E,"DMY")</f>
        <v>0</v>
      </c>
      <c r="E121" s="94">
        <f>SUMIFS('capacity data'!K:K,'capacity data'!E:E,"DMY",'capacity data'!B:B,'cluster capacity, unallocateds'!B121)</f>
        <v>0</v>
      </c>
      <c r="F121" s="66" t="str">
        <f t="shared" si="23"/>
        <v/>
      </c>
      <c r="G121" s="75">
        <f>SUMIFS('capacity data'!K:K,'capacity data'!E:E,"SPO",'capacity data'!B:B,'cluster capacity, unallocateds'!B121)</f>
        <v>0</v>
      </c>
      <c r="H121" s="161">
        <f t="shared" si="24"/>
        <v>0</v>
      </c>
      <c r="I121" s="164" t="str">
        <f t="shared" si="25"/>
        <v/>
      </c>
    </row>
    <row r="122" spans="2:9" x14ac:dyDescent="0.15">
      <c r="B122" s="62">
        <f>HLOOKUP($B$4,Region_Table,26,0)</f>
        <v>0</v>
      </c>
      <c r="C122" s="94">
        <f>SUMIF('capacity data'!B:B,'cluster capacity, unallocateds'!B122,'capacity data'!K:K)</f>
        <v>0</v>
      </c>
      <c r="D122" s="94">
        <f>COUNTIFS('capacity data'!B:B,'cluster capacity, unallocateds'!B122,'capacity data'!E:E,"DMY")</f>
        <v>0</v>
      </c>
      <c r="E122" s="94">
        <f>SUMIFS('capacity data'!K:K,'capacity data'!E:E,"DMY",'capacity data'!B:B,'cluster capacity, unallocateds'!B122)</f>
        <v>0</v>
      </c>
      <c r="F122" s="66" t="str">
        <f t="shared" si="23"/>
        <v/>
      </c>
      <c r="G122" s="75">
        <f>SUMIFS('capacity data'!K:K,'capacity data'!E:E,"SPO",'capacity data'!B:B,'cluster capacity, unallocateds'!B122)</f>
        <v>0</v>
      </c>
      <c r="H122" s="161">
        <f t="shared" si="24"/>
        <v>0</v>
      </c>
      <c r="I122" s="164" t="str">
        <f t="shared" si="25"/>
        <v/>
      </c>
    </row>
    <row r="123" spans="2:9" x14ac:dyDescent="0.15">
      <c r="B123" s="62">
        <f>HLOOKUP($B$4,Region_Table,27,0)</f>
        <v>0</v>
      </c>
      <c r="C123" s="94">
        <f>SUMIF('capacity data'!B:B,'cluster capacity, unallocateds'!B123,'capacity data'!K:K)</f>
        <v>0</v>
      </c>
      <c r="D123" s="94">
        <f>COUNTIFS('capacity data'!B:B,'cluster capacity, unallocateds'!B123,'capacity data'!E:E,"DMY")</f>
        <v>0</v>
      </c>
      <c r="E123" s="94">
        <f>SUMIFS('capacity data'!K:K,'capacity data'!E:E,"DMY",'capacity data'!B:B,'cluster capacity, unallocateds'!B123)</f>
        <v>0</v>
      </c>
      <c r="F123" s="66" t="str">
        <f t="shared" si="23"/>
        <v/>
      </c>
      <c r="G123" s="75">
        <f>SUMIFS('capacity data'!K:K,'capacity data'!E:E,"SPO",'capacity data'!B:B,'cluster capacity, unallocateds'!B123)</f>
        <v>0</v>
      </c>
      <c r="H123" s="161">
        <f t="shared" si="24"/>
        <v>0</v>
      </c>
      <c r="I123" s="164" t="str">
        <f t="shared" si="25"/>
        <v/>
      </c>
    </row>
    <row r="124" spans="2:9" x14ac:dyDescent="0.15">
      <c r="B124" s="62">
        <f>HLOOKUP($B$4,Region_Table,28,0)</f>
        <v>0</v>
      </c>
      <c r="C124" s="94">
        <f>SUMIF('capacity data'!B:B,'cluster capacity, unallocateds'!B124,'capacity data'!K:K)</f>
        <v>0</v>
      </c>
      <c r="D124" s="94">
        <f>COUNTIFS('capacity data'!B:B,'cluster capacity, unallocateds'!B124,'capacity data'!E:E,"DMY")</f>
        <v>0</v>
      </c>
      <c r="E124" s="94">
        <f>SUMIFS('capacity data'!K:K,'capacity data'!E:E,"DMY",'capacity data'!B:B,'cluster capacity, unallocateds'!B124)</f>
        <v>0</v>
      </c>
      <c r="F124" s="66" t="str">
        <f t="shared" si="23"/>
        <v/>
      </c>
      <c r="G124" s="75">
        <f>SUMIFS('capacity data'!K:K,'capacity data'!E:E,"SPO",'capacity data'!B:B,'cluster capacity, unallocateds'!B124)</f>
        <v>0</v>
      </c>
      <c r="H124" s="161">
        <f t="shared" si="24"/>
        <v>0</v>
      </c>
      <c r="I124" s="164"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topLeftCell="A16" zoomScale="85" zoomScaleNormal="85" workbookViewId="0">
      <selection sqref="A1:AJ1"/>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15">
      <c r="A1" s="531" t="s">
        <v>1130</v>
      </c>
      <c r="B1" s="531"/>
      <c r="C1" s="531"/>
      <c r="D1" s="531"/>
      <c r="E1" s="531"/>
      <c r="F1" s="531"/>
      <c r="G1" s="531"/>
      <c r="H1" s="531"/>
      <c r="I1" s="531"/>
      <c r="J1" s="531"/>
      <c r="K1" s="531"/>
      <c r="L1" s="531"/>
      <c r="M1" s="531"/>
      <c r="N1" s="531"/>
      <c r="O1" s="531"/>
      <c r="P1" s="531"/>
      <c r="Q1" s="531"/>
      <c r="R1" s="531"/>
      <c r="S1" s="531"/>
      <c r="T1" s="531"/>
      <c r="U1" s="531"/>
      <c r="V1" s="531"/>
      <c r="W1" s="531"/>
      <c r="X1" s="531"/>
      <c r="Y1" s="531"/>
      <c r="Z1" s="531"/>
      <c r="AA1" s="531"/>
      <c r="AB1" s="531"/>
      <c r="AC1" s="531"/>
      <c r="AD1" s="531"/>
      <c r="AE1" s="531"/>
      <c r="AF1" s="531"/>
      <c r="AG1" s="531"/>
      <c r="AH1" s="531"/>
      <c r="AI1" s="531"/>
      <c r="AJ1" s="531"/>
      <c r="AK1" s="257"/>
      <c r="AL1" s="257"/>
      <c r="AM1" s="257"/>
      <c r="AN1" s="257"/>
      <c r="AO1" s="261"/>
      <c r="AP1" s="257"/>
      <c r="AQ1" s="257"/>
      <c r="AR1" s="257"/>
      <c r="AS1" s="257"/>
      <c r="AT1" s="257"/>
      <c r="AU1" s="257"/>
      <c r="AV1" s="257"/>
      <c r="AW1" s="257"/>
      <c r="AX1" s="257"/>
    </row>
    <row r="2" spans="1:50" ht="53.25" customHeight="1" x14ac:dyDescent="0.15">
      <c r="A2" s="253"/>
      <c r="B2" s="424"/>
      <c r="C2" s="424"/>
      <c r="D2" s="424"/>
      <c r="E2" s="424"/>
      <c r="F2" s="424"/>
      <c r="G2" s="424"/>
      <c r="H2" s="424"/>
      <c r="I2" s="424"/>
      <c r="J2" s="424"/>
      <c r="K2" s="424"/>
      <c r="L2" s="424"/>
      <c r="M2" s="424"/>
      <c r="N2" s="424"/>
      <c r="O2" s="424"/>
      <c r="P2" s="424"/>
      <c r="Q2" s="424"/>
      <c r="R2" s="424"/>
      <c r="S2" s="424"/>
      <c r="T2" s="424"/>
      <c r="U2" s="424"/>
      <c r="V2" s="424"/>
      <c r="W2" s="424"/>
      <c r="X2" s="424"/>
      <c r="Y2" s="424"/>
      <c r="Z2" s="424"/>
      <c r="AA2" s="424"/>
      <c r="AB2" s="424"/>
      <c r="AC2" s="424"/>
      <c r="AD2" s="424"/>
      <c r="AE2" s="424"/>
      <c r="AF2" s="424"/>
      <c r="AG2" s="424"/>
      <c r="AH2" s="424"/>
      <c r="AI2" s="424"/>
      <c r="AJ2" s="424"/>
      <c r="AK2" s="262"/>
      <c r="AL2" s="262"/>
      <c r="AM2" s="262"/>
      <c r="AN2" s="262"/>
      <c r="AO2" s="262"/>
      <c r="AP2" s="262"/>
      <c r="AQ2" s="262"/>
      <c r="AR2" s="262"/>
      <c r="AS2" s="262"/>
      <c r="AT2" s="262"/>
      <c r="AU2" s="262"/>
      <c r="AV2" s="262"/>
      <c r="AW2" s="262"/>
      <c r="AX2" s="262"/>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940</v>
      </c>
    </row>
    <row r="5" spans="1:50" ht="24" customHeight="1" x14ac:dyDescent="0.15">
      <c r="B5" s="242" t="s">
        <v>17</v>
      </c>
      <c r="P5" s="40"/>
      <c r="Q5" s="40"/>
    </row>
    <row r="6" spans="1:50" x14ac:dyDescent="0.15">
      <c r="B6" s="46"/>
    </row>
    <row r="8" spans="1:50" ht="28.5" customHeight="1" x14ac:dyDescent="0.15">
      <c r="B8" s="142" t="str">
        <f>HLOOKUP($B$5,Region_Table,2,0)</f>
        <v>All East Midlands Region</v>
      </c>
      <c r="C8" s="523" t="s">
        <v>1131</v>
      </c>
      <c r="D8" s="524"/>
      <c r="E8" s="524"/>
      <c r="F8" s="524"/>
      <c r="G8" s="524"/>
      <c r="H8" s="524"/>
      <c r="I8" s="524"/>
      <c r="J8" s="524"/>
      <c r="K8" s="524"/>
      <c r="L8" s="524"/>
      <c r="M8" s="533"/>
      <c r="N8" s="533"/>
      <c r="O8" s="534"/>
      <c r="P8" s="510">
        <f>SUMIFS('caseload data'!V:V,'caseload data'!B:B,"custody",'caseload data'!C:C,'custody caseload'!B8)</f>
        <v>0</v>
      </c>
      <c r="Q8" s="527"/>
      <c r="R8" s="528"/>
      <c r="S8" s="64"/>
      <c r="T8" s="142" t="str">
        <f>HLOOKUP($B$5,Region_Table,3,0)</f>
        <v>Derby City - N53</v>
      </c>
      <c r="U8" s="523" t="s">
        <v>1131</v>
      </c>
      <c r="V8" s="524"/>
      <c r="W8" s="524"/>
      <c r="X8" s="524"/>
      <c r="Y8" s="524"/>
      <c r="Z8" s="524"/>
      <c r="AA8" s="524"/>
      <c r="AB8" s="524"/>
      <c r="AC8" s="524"/>
      <c r="AD8" s="524"/>
      <c r="AE8" s="533"/>
      <c r="AF8" s="533"/>
      <c r="AG8" s="534"/>
      <c r="AH8" s="510">
        <f>SUMIFS('caseload data'!V:V,'caseload data'!B:B,"custody",'caseload data'!C:C,'custody caseload'!T8)</f>
        <v>0</v>
      </c>
      <c r="AI8" s="527"/>
      <c r="AJ8" s="528"/>
    </row>
    <row r="9" spans="1:50" x14ac:dyDescent="0.15">
      <c r="B9" s="95" t="s">
        <v>1006</v>
      </c>
      <c r="C9" s="38" t="s">
        <v>869</v>
      </c>
      <c r="D9" s="38" t="s">
        <v>870</v>
      </c>
      <c r="E9" s="38" t="s">
        <v>871</v>
      </c>
      <c r="F9" s="38" t="s">
        <v>872</v>
      </c>
      <c r="G9" s="38" t="s">
        <v>873</v>
      </c>
      <c r="H9" s="38" t="s">
        <v>874</v>
      </c>
      <c r="I9" s="38" t="s">
        <v>875</v>
      </c>
      <c r="J9" s="38" t="s">
        <v>876</v>
      </c>
      <c r="K9" s="38" t="s">
        <v>877</v>
      </c>
      <c r="L9" s="38" t="s">
        <v>878</v>
      </c>
      <c r="M9" s="38" t="s">
        <v>879</v>
      </c>
      <c r="N9" s="38" t="s">
        <v>880</v>
      </c>
      <c r="O9" s="38" t="s">
        <v>881</v>
      </c>
      <c r="P9" s="38" t="s">
        <v>882</v>
      </c>
      <c r="Q9" s="38" t="s">
        <v>883</v>
      </c>
      <c r="R9" s="38" t="s">
        <v>884</v>
      </c>
      <c r="S9" s="64"/>
      <c r="T9" s="95" t="s">
        <v>1006</v>
      </c>
      <c r="U9" s="38" t="s">
        <v>869</v>
      </c>
      <c r="V9" s="38" t="s">
        <v>870</v>
      </c>
      <c r="W9" s="38" t="s">
        <v>871</v>
      </c>
      <c r="X9" s="38" t="s">
        <v>872</v>
      </c>
      <c r="Y9" s="38" t="s">
        <v>873</v>
      </c>
      <c r="Z9" s="38" t="s">
        <v>874</v>
      </c>
      <c r="AA9" s="38" t="s">
        <v>875</v>
      </c>
      <c r="AB9" s="38" t="s">
        <v>876</v>
      </c>
      <c r="AC9" s="38" t="s">
        <v>877</v>
      </c>
      <c r="AD9" s="38" t="s">
        <v>878</v>
      </c>
      <c r="AE9" s="38" t="s">
        <v>879</v>
      </c>
      <c r="AF9" s="38" t="s">
        <v>880</v>
      </c>
      <c r="AG9" s="38" t="s">
        <v>881</v>
      </c>
      <c r="AH9" s="38" t="s">
        <v>882</v>
      </c>
      <c r="AI9" s="38" t="s">
        <v>883</v>
      </c>
      <c r="AJ9" s="38" t="s">
        <v>884</v>
      </c>
    </row>
    <row r="10" spans="1:50" x14ac:dyDescent="0.15">
      <c r="B10" s="96" t="s">
        <v>1002</v>
      </c>
      <c r="C10" s="94">
        <f>SUMIFS('caseload data'!E:E,'caseload data'!$D:$D,"PO",'caseload data'!$C:$C,'custody caseload'!$B$8,'caseload data'!$B:$B,"custody")</f>
        <v>0</v>
      </c>
      <c r="D10" s="94">
        <f>SUMIFS('caseload data'!F:F,'caseload data'!$D:$D,"PO",'caseload data'!$C:$C,'custody caseload'!$B$8,'caseload data'!$B:$B,"custody")</f>
        <v>0</v>
      </c>
      <c r="E10" s="94">
        <f>SUMIFS('caseload data'!G:G,'caseload data'!$D:$D,"PO",'caseload data'!$C:$C,'custody caseload'!$B$8,'caseload data'!$B:$B,"custody")</f>
        <v>0</v>
      </c>
      <c r="F10" s="94">
        <f>SUMIFS('caseload data'!H:H,'caseload data'!$D:$D,"PO",'caseload data'!$C:$C,'custody caseload'!$B$8,'caseload data'!$B:$B,"custody")</f>
        <v>0</v>
      </c>
      <c r="G10" s="94">
        <f>SUMIFS('caseload data'!I:I,'caseload data'!$D:$D,"PO",'caseload data'!$C:$C,'custody caseload'!$B$8,'caseload data'!$B:$B,"custody")</f>
        <v>0</v>
      </c>
      <c r="H10" s="94">
        <f>SUMIFS('caseload data'!J:J,'caseload data'!$D:$D,"PO",'caseload data'!$C:$C,'custody caseload'!$B$8,'caseload data'!$B:$B,"custody")</f>
        <v>0</v>
      </c>
      <c r="I10" s="94">
        <f>SUMIFS('caseload data'!K:K,'caseload data'!$D:$D,"PO",'caseload data'!$C:$C,'custody caseload'!$B$8,'caseload data'!$B:$B,"custody")</f>
        <v>0</v>
      </c>
      <c r="J10" s="94">
        <f>SUMIFS('caseload data'!L:L,'caseload data'!$D:$D,"PO",'caseload data'!$C:$C,'custody caseload'!$B$8,'caseload data'!$B:$B,"custody")</f>
        <v>0</v>
      </c>
      <c r="K10" s="94">
        <f>SUMIFS('caseload data'!M:M,'caseload data'!$D:$D,"PO",'caseload data'!$C:$C,'custody caseload'!$B$8,'caseload data'!$B:$B,"custody")</f>
        <v>0</v>
      </c>
      <c r="L10" s="94">
        <f>SUMIFS('caseload data'!N:N,'caseload data'!$D:$D,"PO",'caseload data'!$C:$C,'custody caseload'!$B$8,'caseload data'!$B:$B,"custody")</f>
        <v>0</v>
      </c>
      <c r="M10" s="94">
        <f>SUMIFS('caseload data'!O:O,'caseload data'!$D:$D,"PO",'caseload data'!$C:$C,'custody caseload'!$B$8,'caseload data'!$B:$B,"custody")</f>
        <v>0</v>
      </c>
      <c r="N10" s="94">
        <f>SUMIFS('caseload data'!P:P,'caseload data'!$D:$D,"PO",'caseload data'!$C:$C,'custody caseload'!$B$8,'caseload data'!$B:$B,"custody")</f>
        <v>0</v>
      </c>
      <c r="O10" s="94">
        <f>SUMIFS('caseload data'!Q:Q,'caseload data'!$D:$D,"PO",'caseload data'!$C:$C,'custody caseload'!$B$8,'caseload data'!$B:$B,"custody")</f>
        <v>0</v>
      </c>
      <c r="P10" s="94">
        <f>SUMIFS('caseload data'!R:R,'caseload data'!$D:$D,"PO",'caseload data'!$C:$C,'custody caseload'!$B$8,'caseload data'!$B:$B,"custody")</f>
        <v>0</v>
      </c>
      <c r="Q10" s="94">
        <f>SUMIFS('caseload data'!S:S,'caseload data'!$D:$D,"PO",'caseload data'!$C:$C,'custody caseload'!$B$8,'caseload data'!$B:$B,"custody")</f>
        <v>0</v>
      </c>
      <c r="R10" s="94">
        <f>SUMIFS('caseload data'!T:T,'caseload data'!$D:$D,"PO",'caseload data'!$C:$C,'custody caseload'!$B$8,'caseload data'!$B:$B,"custody")</f>
        <v>0</v>
      </c>
      <c r="S10" s="64"/>
      <c r="T10" s="96" t="s">
        <v>1002</v>
      </c>
      <c r="U10" s="94">
        <f>SUMIFS('caseload data'!E:E,'caseload data'!$D:$D,"PO",'caseload data'!$C:$C,'custody caseload'!$T$8,'caseload data'!$B:$B,"custody")</f>
        <v>0</v>
      </c>
      <c r="V10" s="94">
        <f>SUMIFS('caseload data'!F:F,'caseload data'!$D:$D,"PO",'caseload data'!$C:$C,'custody caseload'!$T$8,'caseload data'!$B:$B,"custody")</f>
        <v>0</v>
      </c>
      <c r="W10" s="94">
        <f>SUMIFS('caseload data'!G:G,'caseload data'!$D:$D,"PO",'caseload data'!$C:$C,'custody caseload'!$T$8,'caseload data'!$B:$B,"custody")</f>
        <v>0</v>
      </c>
      <c r="X10" s="94">
        <f>SUMIFS('caseload data'!H:H,'caseload data'!$D:$D,"PO",'caseload data'!$C:$C,'custody caseload'!$T$8,'caseload data'!$B:$B,"custody")</f>
        <v>0</v>
      </c>
      <c r="Y10" s="94">
        <f>SUMIFS('caseload data'!I:I,'caseload data'!$D:$D,"PO",'caseload data'!$C:$C,'custody caseload'!$T$8,'caseload data'!$B:$B,"custody")</f>
        <v>0</v>
      </c>
      <c r="Z10" s="94">
        <f>SUMIFS('caseload data'!J:J,'caseload data'!$D:$D,"PO",'caseload data'!$C:$C,'custody caseload'!$T$8,'caseload data'!$B:$B,"custody")</f>
        <v>0</v>
      </c>
      <c r="AA10" s="94">
        <f>SUMIFS('caseload data'!K:K,'caseload data'!$D:$D,"PO",'caseload data'!$C:$C,'custody caseload'!$T$8,'caseload data'!$B:$B,"custody")</f>
        <v>0</v>
      </c>
      <c r="AB10" s="94">
        <f>SUMIFS('caseload data'!L:L,'caseload data'!$D:$D,"PO",'caseload data'!$C:$C,'custody caseload'!$T$8,'caseload data'!$B:$B,"custody")</f>
        <v>0</v>
      </c>
      <c r="AC10" s="94">
        <f>SUMIFS('caseload data'!M:M,'caseload data'!$D:$D,"PO",'caseload data'!$C:$C,'custody caseload'!$T$8,'caseload data'!$B:$B,"custody")</f>
        <v>0</v>
      </c>
      <c r="AD10" s="94">
        <f>SUMIFS('caseload data'!N:N,'caseload data'!$D:$D,"PO",'caseload data'!$C:$C,'custody caseload'!$T$8,'caseload data'!$B:$B,"custody")</f>
        <v>0</v>
      </c>
      <c r="AE10" s="94">
        <f>SUMIFS('caseload data'!O:O,'caseload data'!$D:$D,"PO",'caseload data'!$C:$C,'custody caseload'!$T$8,'caseload data'!$B:$B,"custody")</f>
        <v>0</v>
      </c>
      <c r="AF10" s="94">
        <f>SUMIFS('caseload data'!P:P,'caseload data'!$D:$D,"PO",'caseload data'!$C:$C,'custody caseload'!$T$8,'caseload data'!$B:$B,"custody")</f>
        <v>0</v>
      </c>
      <c r="AG10" s="94">
        <f>SUMIFS('caseload data'!Q:Q,'caseload data'!$D:$D,"PO",'caseload data'!$C:$C,'custody caseload'!$T$8,'caseload data'!$B:$B,"custody")</f>
        <v>0</v>
      </c>
      <c r="AH10" s="94">
        <f>SUMIFS('caseload data'!R:R,'caseload data'!$D:$D,"PO",'caseload data'!$C:$C,'custody caseload'!$T$8,'caseload data'!$B:$B,"custody")</f>
        <v>0</v>
      </c>
      <c r="AI10" s="94">
        <f>SUMIFS('caseload data'!S:S,'caseload data'!$D:$D,"PO",'caseload data'!$C:$C,'custody caseload'!$T$8,'caseload data'!$B:$B,"custody")</f>
        <v>0</v>
      </c>
      <c r="AJ10" s="94">
        <f>SUMIFS('caseload data'!T:T,'caseload data'!$D:$D,"PO",'caseload data'!$C:$C,'custody caseload'!$T$8,'caseload data'!$B:$B,"custody")</f>
        <v>0</v>
      </c>
    </row>
    <row r="11" spans="1:50" ht="15" x14ac:dyDescent="0.2">
      <c r="B11" s="97" t="s">
        <v>1007</v>
      </c>
      <c r="C11" s="145">
        <f>SUMIFS('caseload data'!E:E,'caseload data'!$D:$D,"PSO",'caseload data'!$C:$C,'custody caseload'!$B$8,'caseload data'!$B:$B,"custody")</f>
        <v>0</v>
      </c>
      <c r="D11" s="145">
        <f>SUMIFS('caseload data'!F:F,'caseload data'!$D:$D,"PSO",'caseload data'!$C:$C,'custody caseload'!$B$8,'caseload data'!$B:$B,"custody")</f>
        <v>0</v>
      </c>
      <c r="E11" s="145">
        <f>SUMIFS('caseload data'!G:G,'caseload data'!$D:$D,"PSO",'caseload data'!$C:$C,'custody caseload'!$B$8,'caseload data'!$B:$B,"custody")</f>
        <v>0</v>
      </c>
      <c r="F11" s="145">
        <f>SUMIFS('caseload data'!H:H,'caseload data'!$D:$D,"PSO",'caseload data'!$C:$C,'custody caseload'!$B$8,'caseload data'!$B:$B,"custody")</f>
        <v>0</v>
      </c>
      <c r="G11" s="145">
        <f>SUMIFS('caseload data'!I:I,'caseload data'!$D:$D,"PSO",'caseload data'!$C:$C,'custody caseload'!$B$8,'caseload data'!$B:$B,"custody")</f>
        <v>0</v>
      </c>
      <c r="H11" s="145">
        <f>SUMIFS('caseload data'!J:J,'caseload data'!$D:$D,"PSO",'caseload data'!$C:$C,'custody caseload'!$B$8,'caseload data'!$B:$B,"custody")</f>
        <v>0</v>
      </c>
      <c r="I11" s="145">
        <f>SUMIFS('caseload data'!K:K,'caseload data'!$D:$D,"PSO",'caseload data'!$C:$C,'custody caseload'!$B$8,'caseload data'!$B:$B,"custody")</f>
        <v>0</v>
      </c>
      <c r="J11" s="145">
        <f>SUMIFS('caseload data'!L:L,'caseload data'!$D:$D,"PSO",'caseload data'!$C:$C,'custody caseload'!$B$8,'caseload data'!$B:$B,"custody")</f>
        <v>0</v>
      </c>
      <c r="K11" s="94">
        <f>SUMIFS('caseload data'!M:M,'caseload data'!$D:$D,"PSO",'caseload data'!$C:$C,'custody caseload'!$B$8,'caseload data'!$B:$B,"custody")</f>
        <v>0</v>
      </c>
      <c r="L11" s="94">
        <f>SUMIFS('caseload data'!N:N,'caseload data'!$D:$D,"PSO",'caseload data'!$C:$C,'custody caseload'!$B$8,'caseload data'!$B:$B,"custody")</f>
        <v>0</v>
      </c>
      <c r="M11" s="94">
        <f>SUMIFS('caseload data'!O:O,'caseload data'!$D:$D,"PSO",'caseload data'!$C:$C,'custody caseload'!$B$8,'caseload data'!$B:$B,"custody")</f>
        <v>0</v>
      </c>
      <c r="N11" s="94">
        <f>SUMIFS('caseload data'!P:P,'caseload data'!$D:$D,"PSO",'caseload data'!$C:$C,'custody caseload'!$B$8,'caseload data'!$B:$B,"custody")</f>
        <v>0</v>
      </c>
      <c r="O11" s="94">
        <f>SUMIFS('caseload data'!Q:Q,'caseload data'!$D:$D,"PSO",'caseload data'!$C:$C,'custody caseload'!$B$8,'caseload data'!$B:$B,"custody")</f>
        <v>0</v>
      </c>
      <c r="P11" s="94">
        <f>SUMIFS('caseload data'!R:R,'caseload data'!$D:$D,"PSO",'caseload data'!$C:$C,'custody caseload'!$B$8,'caseload data'!$B:$B,"custody")</f>
        <v>0</v>
      </c>
      <c r="Q11" s="94">
        <f>SUMIFS('caseload data'!S:S,'caseload data'!$D:$D,"PSO",'caseload data'!$C:$C,'custody caseload'!$B$8,'caseload data'!$B:$B,"custody")</f>
        <v>0</v>
      </c>
      <c r="R11" s="94">
        <f>SUMIFS('caseload data'!T:T,'caseload data'!$D:$D,"PSO",'caseload data'!$C:$C,'custody caseload'!$B$8,'caseload data'!$B:$B,"custody")</f>
        <v>0</v>
      </c>
      <c r="S11" s="64"/>
      <c r="T11" s="97" t="s">
        <v>1007</v>
      </c>
      <c r="U11" s="145">
        <f>SUMIFS('caseload data'!E:E,'caseload data'!$D:$D,"PSO",'caseload data'!$C:$C,'custody caseload'!$T$8,'caseload data'!$B:$B,"custody")</f>
        <v>0</v>
      </c>
      <c r="V11" s="145">
        <f>SUMIFS('caseload data'!F:F,'caseload data'!$D:$D,"PSO",'caseload data'!$C:$C,'custody caseload'!$T$8,'caseload data'!$B:$B,"custody")</f>
        <v>0</v>
      </c>
      <c r="W11" s="145">
        <f>SUMIFS('caseload data'!G:G,'caseload data'!$D:$D,"PSO",'caseload data'!$C:$C,'custody caseload'!$T$8,'caseload data'!$B:$B,"custody")</f>
        <v>0</v>
      </c>
      <c r="X11" s="145">
        <f>SUMIFS('caseload data'!H:H,'caseload data'!$D:$D,"PSO",'caseload data'!$C:$C,'custody caseload'!$T$8,'caseload data'!$B:$B,"custody")</f>
        <v>0</v>
      </c>
      <c r="Y11" s="145">
        <f>SUMIFS('caseload data'!I:I,'caseload data'!$D:$D,"PSO",'caseload data'!$C:$C,'custody caseload'!$T$8,'caseload data'!$B:$B,"custody")</f>
        <v>0</v>
      </c>
      <c r="Z11" s="145">
        <f>SUMIFS('caseload data'!J:J,'caseload data'!$D:$D,"PSO",'caseload data'!$C:$C,'custody caseload'!$T$8,'caseload data'!$B:$B,"custody")</f>
        <v>0</v>
      </c>
      <c r="AA11" s="145">
        <f>SUMIFS('caseload data'!K:K,'caseload data'!$D:$D,"PSO",'caseload data'!$C:$C,'custody caseload'!$T$8,'caseload data'!$B:$B,"custody")</f>
        <v>0</v>
      </c>
      <c r="AB11" s="145">
        <f>SUMIFS('caseload data'!L:L,'caseload data'!$D:$D,"PSO",'caseload data'!$C:$C,'custody caseload'!$T$8,'caseload data'!$B:$B,"custody")</f>
        <v>0</v>
      </c>
      <c r="AC11" s="94">
        <f>SUMIFS('caseload data'!M:M,'caseload data'!$D:$D,"PSO",'caseload data'!$C:$C,'custody caseload'!$T$8,'caseload data'!$B:$B,"custody")</f>
        <v>0</v>
      </c>
      <c r="AD11" s="94">
        <f>SUMIFS('caseload data'!N:N,'caseload data'!$D:$D,"PSO",'caseload data'!$C:$C,'custody caseload'!$T$8,'caseload data'!$B:$B,"custody")</f>
        <v>0</v>
      </c>
      <c r="AE11" s="94">
        <f>SUMIFS('caseload data'!O:O,'caseload data'!$D:$D,"PSO",'caseload data'!$C:$C,'custody caseload'!$T$8,'caseload data'!$B:$B,"custody")</f>
        <v>0</v>
      </c>
      <c r="AF11" s="94">
        <f>SUMIFS('caseload data'!P:P,'caseload data'!$D:$D,"PSO",'caseload data'!$C:$C,'custody caseload'!$T$8,'caseload data'!$B:$B,"custody")</f>
        <v>0</v>
      </c>
      <c r="AG11" s="94">
        <f>SUMIFS('caseload data'!Q:Q,'caseload data'!$D:$D,"PSO",'caseload data'!$C:$C,'custody caseload'!$T$8,'caseload data'!$B:$B,"custody")</f>
        <v>0</v>
      </c>
      <c r="AH11" s="94">
        <f>SUMIFS('caseload data'!R:R,'caseload data'!$D:$D,"PSO",'caseload data'!$C:$C,'custody caseload'!$T$8,'caseload data'!$B:$B,"custody")</f>
        <v>0</v>
      </c>
      <c r="AI11" s="94">
        <f>SUMIFS('caseload data'!S:S,'caseload data'!$D:$D,"PSO",'caseload data'!$C:$C,'custody caseload'!$T$8,'caseload data'!$B:$B,"custody")</f>
        <v>0</v>
      </c>
      <c r="AJ11" s="94">
        <f>SUMIFS('caseload data'!T:T,'caseload data'!$D:$D,"PSO",'caseload data'!$C:$C,'custody caseload'!$T$8,'caseload data'!$B:$B,"custody")</f>
        <v>0</v>
      </c>
    </row>
    <row r="12" spans="1:50" ht="15" x14ac:dyDescent="0.2">
      <c r="B12" s="97" t="s">
        <v>1008</v>
      </c>
      <c r="C12" s="145">
        <f>SUMIFS('caseload data'!E:E,'caseload data'!$D:$D,"TPO",'caseload data'!$C:$C,'custody caseload'!$B$8,'caseload data'!$B:$B,"custody")</f>
        <v>0</v>
      </c>
      <c r="D12" s="145">
        <f>SUMIFS('caseload data'!F:F,'caseload data'!$D:$D,"TPO",'caseload data'!$C:$C,'custody caseload'!$B$8,'caseload data'!$B:$B,"custody")</f>
        <v>0</v>
      </c>
      <c r="E12" s="145">
        <f>SUMIFS('caseload data'!G:G,'caseload data'!$D:$D,"TPO",'caseload data'!$C:$C,'custody caseload'!$B$8,'caseload data'!$B:$B,"custody")</f>
        <v>0</v>
      </c>
      <c r="F12" s="145">
        <f>SUMIFS('caseload data'!H:H,'caseload data'!$D:$D,"TPO",'caseload data'!$C:$C,'custody caseload'!$B$8,'caseload data'!$B:$B,"custody")</f>
        <v>0</v>
      </c>
      <c r="G12" s="145">
        <f>SUMIFS('caseload data'!I:I,'caseload data'!$D:$D,"TPO",'caseload data'!$C:$C,'custody caseload'!$B$8,'caseload data'!$B:$B,"custody")</f>
        <v>0</v>
      </c>
      <c r="H12" s="145">
        <f>SUMIFS('caseload data'!J:J,'caseload data'!$D:$D,"TPO",'caseload data'!$C:$C,'custody caseload'!$B$8,'caseload data'!$B:$B,"custody")</f>
        <v>0</v>
      </c>
      <c r="I12" s="145">
        <f>SUMIFS('caseload data'!K:K,'caseload data'!$D:$D,"TPO",'caseload data'!$C:$C,'custody caseload'!$B$8,'caseload data'!$B:$B,"custody")</f>
        <v>0</v>
      </c>
      <c r="J12" s="145">
        <f>SUMIFS('caseload data'!L:L,'caseload data'!$D:$D,"TPO",'caseload data'!$C:$C,'custody caseload'!$B$8,'caseload data'!$B:$B,"custody")</f>
        <v>0</v>
      </c>
      <c r="K12" s="94">
        <f>SUMIFS('caseload data'!M:M,'caseload data'!$D:$D,"TPO",'caseload data'!$C:$C,'custody caseload'!$B$8,'caseload data'!$B:$B,"custody")</f>
        <v>0</v>
      </c>
      <c r="L12" s="94">
        <f>SUMIFS('caseload data'!N:N,'caseload data'!$D:$D,"TPO",'caseload data'!$C:$C,'custody caseload'!$B$8,'caseload data'!$B:$B,"custody")</f>
        <v>0</v>
      </c>
      <c r="M12" s="94">
        <f>SUMIFS('caseload data'!O:O,'caseload data'!$D:$D,"TPO",'caseload data'!$C:$C,'custody caseload'!$B$8,'caseload data'!$B:$B,"custody")</f>
        <v>0</v>
      </c>
      <c r="N12" s="94">
        <f>SUMIFS('caseload data'!P:P,'caseload data'!$D:$D,"TPO",'caseload data'!$C:$C,'custody caseload'!$B$8,'caseload data'!$B:$B,"custody")</f>
        <v>0</v>
      </c>
      <c r="O12" s="94">
        <f>SUMIFS('caseload data'!Q:Q,'caseload data'!$D:$D,"TPO",'caseload data'!$C:$C,'custody caseload'!$B$8,'caseload data'!$B:$B,"custody")</f>
        <v>0</v>
      </c>
      <c r="P12" s="94">
        <f>SUMIFS('caseload data'!R:R,'caseload data'!$D:$D,"TPO",'caseload data'!$C:$C,'custody caseload'!$B$8,'caseload data'!$B:$B,"custody")</f>
        <v>0</v>
      </c>
      <c r="Q12" s="94">
        <f>SUMIFS('caseload data'!S:S,'caseload data'!$D:$D,"TPO",'caseload data'!$C:$C,'custody caseload'!$B$8,'caseload data'!$B:$B,"custody")</f>
        <v>0</v>
      </c>
      <c r="R12" s="94">
        <f>SUMIFS('caseload data'!T:T,'caseload data'!$D:$D,"TPO",'caseload data'!$C:$C,'custody caseload'!$B$8,'caseload data'!$B:$B,"custody")</f>
        <v>0</v>
      </c>
      <c r="S12" s="64"/>
      <c r="T12" s="97" t="s">
        <v>1008</v>
      </c>
      <c r="U12" s="145">
        <f>SUMIFS('caseload data'!E:E,'caseload data'!$D:$D,"TPO",'caseload data'!$C:$C,'custody caseload'!$T$8,'caseload data'!$B:$B,"custody")</f>
        <v>0</v>
      </c>
      <c r="V12" s="145">
        <f>SUMIFS('caseload data'!F:F,'caseload data'!$D:$D,"TPO",'caseload data'!$C:$C,'custody caseload'!$T$8,'caseload data'!$B:$B,"custody")</f>
        <v>0</v>
      </c>
      <c r="W12" s="145">
        <f>SUMIFS('caseload data'!G:G,'caseload data'!$D:$D,"TPO",'caseload data'!$C:$C,'custody caseload'!$T$8,'caseload data'!$B:$B,"custody")</f>
        <v>0</v>
      </c>
      <c r="X12" s="145">
        <f>SUMIFS('caseload data'!H:H,'caseload data'!$D:$D,"TPO",'caseload data'!$C:$C,'custody caseload'!$T$8,'caseload data'!$B:$B,"custody")</f>
        <v>0</v>
      </c>
      <c r="Y12" s="145">
        <f>SUMIFS('caseload data'!I:I,'caseload data'!$D:$D,"TPO",'caseload data'!$C:$C,'custody caseload'!$T$8,'caseload data'!$B:$B,"custody")</f>
        <v>0</v>
      </c>
      <c r="Z12" s="145">
        <f>SUMIFS('caseload data'!J:J,'caseload data'!$D:$D,"TPO",'caseload data'!$C:$C,'custody caseload'!$T$8,'caseload data'!$B:$B,"custody")</f>
        <v>0</v>
      </c>
      <c r="AA12" s="145">
        <f>SUMIFS('caseload data'!K:K,'caseload data'!$D:$D,"TPO",'caseload data'!$C:$C,'custody caseload'!$T$8,'caseload data'!$B:$B,"custody")</f>
        <v>0</v>
      </c>
      <c r="AB12" s="145">
        <f>SUMIFS('caseload data'!L:L,'caseload data'!$D:$D,"TPO",'caseload data'!$C:$C,'custody caseload'!$T$8,'caseload data'!$B:$B,"custody")</f>
        <v>0</v>
      </c>
      <c r="AC12" s="94">
        <f>SUMIFS('caseload data'!M:M,'caseload data'!$D:$D,"TPO",'caseload data'!$C:$C,'custody caseload'!$T$8,'caseload data'!$B:$B,"custody")</f>
        <v>0</v>
      </c>
      <c r="AD12" s="94">
        <f>SUMIFS('caseload data'!N:N,'caseload data'!$D:$D,"TPO",'caseload data'!$C:$C,'custody caseload'!$T$8,'caseload data'!$B:$B,"custody")</f>
        <v>0</v>
      </c>
      <c r="AE12" s="94">
        <f>SUMIFS('caseload data'!O:O,'caseload data'!$D:$D,"TPO",'caseload data'!$C:$C,'custody caseload'!$T$8,'caseload data'!$B:$B,"custody")</f>
        <v>0</v>
      </c>
      <c r="AF12" s="94">
        <f>SUMIFS('caseload data'!P:P,'caseload data'!$D:$D,"TPO",'caseload data'!$C:$C,'custody caseload'!$T$8,'caseload data'!$B:$B,"custody")</f>
        <v>0</v>
      </c>
      <c r="AG12" s="94">
        <f>SUMIFS('caseload data'!Q:Q,'caseload data'!$D:$D,"TPO",'caseload data'!$C:$C,'custody caseload'!$T$8,'caseload data'!$B:$B,"custody")</f>
        <v>0</v>
      </c>
      <c r="AH12" s="94">
        <f>SUMIFS('caseload data'!R:R,'caseload data'!$D:$D,"TPO",'caseload data'!$C:$C,'custody caseload'!$T$8,'caseload data'!$B:$B,"custody")</f>
        <v>0</v>
      </c>
      <c r="AI12" s="94">
        <f>SUMIFS('caseload data'!S:S,'caseload data'!$D:$D,"TPO",'caseload data'!$C:$C,'custody caseload'!$T$8,'caseload data'!$B:$B,"custody")</f>
        <v>0</v>
      </c>
      <c r="AJ12" s="94">
        <f>SUMIFS('caseload data'!T:T,'caseload data'!$D:$D,"TPO",'caseload data'!$C:$C,'custody caseload'!$T$8,'caseload data'!$B:$B,"custody")</f>
        <v>0</v>
      </c>
    </row>
    <row r="13" spans="1:50" x14ac:dyDescent="0.15">
      <c r="B13" s="98" t="s">
        <v>1009</v>
      </c>
      <c r="C13" s="94">
        <f>SUMIFS('caseload data'!E:E,'caseload data'!$D:$D,"SPO",'caseload data'!$C:$C,'custody caseload'!$B$8,'caseload data'!$B:$B,"custody")</f>
        <v>0</v>
      </c>
      <c r="D13" s="94">
        <f>SUMIFS('caseload data'!F:F,'caseload data'!$D:$D,"SPO",'caseload data'!$C:$C,'custody caseload'!$B$8,'caseload data'!$B:$B,"custody")</f>
        <v>0</v>
      </c>
      <c r="E13" s="94">
        <f>SUMIFS('caseload data'!G:G,'caseload data'!$D:$D,"SPO",'caseload data'!$C:$C,'custody caseload'!$B$8,'caseload data'!$B:$B,"custody")</f>
        <v>0</v>
      </c>
      <c r="F13" s="94">
        <f>SUMIFS('caseload data'!H:H,'caseload data'!$D:$D,"SPO",'caseload data'!$C:$C,'custody caseload'!$B$8,'caseload data'!$B:$B,"custody")</f>
        <v>0</v>
      </c>
      <c r="G13" s="94">
        <f>SUMIFS('caseload data'!I:I,'caseload data'!$D:$D,"SPO",'caseload data'!$C:$C,'custody caseload'!$B$8,'caseload data'!$B:$B,"custody")</f>
        <v>0</v>
      </c>
      <c r="H13" s="94">
        <f>SUMIFS('caseload data'!J:J,'caseload data'!$D:$D,"SPO",'caseload data'!$C:$C,'custody caseload'!$B$8,'caseload data'!$B:$B,"custody")</f>
        <v>0</v>
      </c>
      <c r="I13" s="94">
        <f>SUMIFS('caseload data'!K:K,'caseload data'!$D:$D,"SPO",'caseload data'!$C:$C,'custody caseload'!$B$8,'caseload data'!$B:$B,"custody")</f>
        <v>0</v>
      </c>
      <c r="J13" s="94">
        <f>SUMIFS('caseload data'!L:L,'caseload data'!$D:$D,"SPO",'caseload data'!$C:$C,'custody caseload'!$B$8,'caseload data'!$B:$B,"custody")</f>
        <v>0</v>
      </c>
      <c r="K13" s="94">
        <f>SUMIFS('caseload data'!M:M,'caseload data'!$D:$D,"SPO",'caseload data'!$C:$C,'custody caseload'!$B$8,'caseload data'!$B:$B,"custody")</f>
        <v>0</v>
      </c>
      <c r="L13" s="94">
        <f>SUMIFS('caseload data'!N:N,'caseload data'!$D:$D,"SPO",'caseload data'!$C:$C,'custody caseload'!$B$8,'caseload data'!$B:$B,"custody")</f>
        <v>0</v>
      </c>
      <c r="M13" s="94">
        <f>SUMIFS('caseload data'!O:O,'caseload data'!$D:$D,"SPO",'caseload data'!$C:$C,'custody caseload'!$B$8,'caseload data'!$B:$B,"custody")</f>
        <v>0</v>
      </c>
      <c r="N13" s="94">
        <f>SUMIFS('caseload data'!P:P,'caseload data'!$D:$D,"SPO",'caseload data'!$C:$C,'custody caseload'!$B$8,'caseload data'!$B:$B,"custody")</f>
        <v>0</v>
      </c>
      <c r="O13" s="94">
        <f>SUMIFS('caseload data'!Q:Q,'caseload data'!$D:$D,"SPO",'caseload data'!$C:$C,'custody caseload'!$B$8,'caseload data'!$B:$B,"custody")</f>
        <v>0</v>
      </c>
      <c r="P13" s="94">
        <f>SUMIFS('caseload data'!R:R,'caseload data'!$D:$D,"SPO",'caseload data'!$C:$C,'custody caseload'!$B$8,'caseload data'!$B:$B,"custody")</f>
        <v>0</v>
      </c>
      <c r="Q13" s="94">
        <f>SUMIFS('caseload data'!S:S,'caseload data'!$D:$D,"SPO",'caseload data'!$C:$C,'custody caseload'!$B$8,'caseload data'!$B:$B,"custody")</f>
        <v>0</v>
      </c>
      <c r="R13" s="94">
        <f>SUMIFS('caseload data'!T:T,'caseload data'!$D:$D,"SPO",'caseload data'!$C:$C,'custody caseload'!$B$8,'caseload data'!$B:$B,"custody")</f>
        <v>0</v>
      </c>
      <c r="S13" s="64"/>
      <c r="T13" s="98" t="s">
        <v>1009</v>
      </c>
      <c r="U13" s="94">
        <f>SUMIFS('caseload data'!E:E,'caseload data'!$D:$D,"SPO",'caseload data'!$C:$C,'custody caseload'!$T$8,'caseload data'!$B:$B,"custody")</f>
        <v>0</v>
      </c>
      <c r="V13" s="94">
        <f>SUMIFS('caseload data'!F:F,'caseload data'!$D:$D,"SPO",'caseload data'!$C:$C,'custody caseload'!$T$8,'caseload data'!$B:$B,"custody")</f>
        <v>0</v>
      </c>
      <c r="W13" s="94">
        <f>SUMIFS('caseload data'!G:G,'caseload data'!$D:$D,"SPO",'caseload data'!$C:$C,'custody caseload'!$T$8,'caseload data'!$B:$B,"custody")</f>
        <v>0</v>
      </c>
      <c r="X13" s="94">
        <f>SUMIFS('caseload data'!H:H,'caseload data'!$D:$D,"SPO",'caseload data'!$C:$C,'custody caseload'!$T$8,'caseload data'!$B:$B,"custody")</f>
        <v>0</v>
      </c>
      <c r="Y13" s="94">
        <f>SUMIFS('caseload data'!I:I,'caseload data'!$D:$D,"SPO",'caseload data'!$C:$C,'custody caseload'!$T$8,'caseload data'!$B:$B,"custody")</f>
        <v>0</v>
      </c>
      <c r="Z13" s="94">
        <f>SUMIFS('caseload data'!J:J,'caseload data'!$D:$D,"SPO",'caseload data'!$C:$C,'custody caseload'!$T$8,'caseload data'!$B:$B,"custody")</f>
        <v>0</v>
      </c>
      <c r="AA13" s="94">
        <f>SUMIFS('caseload data'!K:K,'caseload data'!$D:$D,"SPO",'caseload data'!$C:$C,'custody caseload'!$T$8,'caseload data'!$B:$B,"custody")</f>
        <v>0</v>
      </c>
      <c r="AB13" s="94">
        <f>SUMIFS('caseload data'!L:L,'caseload data'!$D:$D,"SPO",'caseload data'!$C:$C,'custody caseload'!$T$8,'caseload data'!$B:$B,"custody")</f>
        <v>0</v>
      </c>
      <c r="AC13" s="94">
        <f>SUMIFS('caseload data'!M:M,'caseload data'!$D:$D,"SPO",'caseload data'!$C:$C,'custody caseload'!$T$8,'caseload data'!$B:$B,"custody")</f>
        <v>0</v>
      </c>
      <c r="AD13" s="94">
        <f>SUMIFS('caseload data'!N:N,'caseload data'!$D:$D,"SPO",'caseload data'!$C:$C,'custody caseload'!$T$8,'caseload data'!$B:$B,"custody")</f>
        <v>0</v>
      </c>
      <c r="AE13" s="94">
        <f>SUMIFS('caseload data'!O:O,'caseload data'!$D:$D,"SPO",'caseload data'!$C:$C,'custody caseload'!$T$8,'caseload data'!$B:$B,"custody")</f>
        <v>0</v>
      </c>
      <c r="AF13" s="94">
        <f>SUMIFS('caseload data'!P:P,'caseload data'!$D:$D,"SPO",'caseload data'!$C:$C,'custody caseload'!$T$8,'caseload data'!$B:$B,"custody")</f>
        <v>0</v>
      </c>
      <c r="AG13" s="94">
        <f>SUMIFS('caseload data'!Q:Q,'caseload data'!$D:$D,"SPO",'caseload data'!$C:$C,'custody caseload'!$T$8,'caseload data'!$B:$B,"custody")</f>
        <v>0</v>
      </c>
      <c r="AH13" s="94">
        <f>SUMIFS('caseload data'!R:R,'caseload data'!$D:$D,"SPO",'caseload data'!$C:$C,'custody caseload'!$T$8,'caseload data'!$B:$B,"custody")</f>
        <v>0</v>
      </c>
      <c r="AI13" s="94">
        <f>SUMIFS('caseload data'!S:S,'caseload data'!$D:$D,"SPO",'caseload data'!$C:$C,'custody caseload'!$T$8,'caseload data'!$B:$B,"custody")</f>
        <v>0</v>
      </c>
      <c r="AJ13" s="94">
        <f>SUMIFS('caseload data'!T:T,'caseload data'!$D:$D,"SPO",'caseload data'!$C:$C,'custody caseload'!$T$8,'caseload data'!$B:$B,"custody")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142" t="str">
        <f>HLOOKUP($B$5,Region_Table,4,0)</f>
        <v>Derbyshire - N53</v>
      </c>
      <c r="C15" s="523" t="s">
        <v>1131</v>
      </c>
      <c r="D15" s="524"/>
      <c r="E15" s="524"/>
      <c r="F15" s="524"/>
      <c r="G15" s="524"/>
      <c r="H15" s="524"/>
      <c r="I15" s="524"/>
      <c r="J15" s="524"/>
      <c r="K15" s="524"/>
      <c r="L15" s="524"/>
      <c r="M15" s="533"/>
      <c r="N15" s="533"/>
      <c r="O15" s="534"/>
      <c r="P15" s="510">
        <f>SUMIFS('caseload data'!V:V,'caseload data'!B:B,"custody",'caseload data'!$C:$C,'custody caseload'!B15)</f>
        <v>0</v>
      </c>
      <c r="Q15" s="527"/>
      <c r="R15" s="528"/>
      <c r="S15" s="64"/>
      <c r="T15" s="142" t="str">
        <f>HLOOKUP($B$5,Region_Table,5,0)</f>
        <v>Leicester, Leicestershire and Rutland</v>
      </c>
      <c r="U15" s="523" t="s">
        <v>1131</v>
      </c>
      <c r="V15" s="524"/>
      <c r="W15" s="524"/>
      <c r="X15" s="524"/>
      <c r="Y15" s="524"/>
      <c r="Z15" s="524"/>
      <c r="AA15" s="524"/>
      <c r="AB15" s="524"/>
      <c r="AC15" s="524"/>
      <c r="AD15" s="524"/>
      <c r="AE15" s="533"/>
      <c r="AF15" s="533"/>
      <c r="AG15" s="534"/>
      <c r="AH15" s="510">
        <f>SUMIFS('caseload data'!V:V,'caseload data'!B:B,"custody",'caseload data'!$C:$C,'custody caseload'!T15)</f>
        <v>0</v>
      </c>
      <c r="AI15" s="527"/>
      <c r="AJ15" s="528"/>
    </row>
    <row r="16" spans="1:50" x14ac:dyDescent="0.15">
      <c r="B16" s="95" t="s">
        <v>1006</v>
      </c>
      <c r="C16" s="38" t="s">
        <v>869</v>
      </c>
      <c r="D16" s="38" t="s">
        <v>870</v>
      </c>
      <c r="E16" s="38" t="s">
        <v>871</v>
      </c>
      <c r="F16" s="38" t="s">
        <v>872</v>
      </c>
      <c r="G16" s="38" t="s">
        <v>873</v>
      </c>
      <c r="H16" s="38" t="s">
        <v>874</v>
      </c>
      <c r="I16" s="38" t="s">
        <v>875</v>
      </c>
      <c r="J16" s="38" t="s">
        <v>876</v>
      </c>
      <c r="K16" s="38" t="s">
        <v>877</v>
      </c>
      <c r="L16" s="38" t="s">
        <v>878</v>
      </c>
      <c r="M16" s="38" t="s">
        <v>879</v>
      </c>
      <c r="N16" s="38" t="s">
        <v>880</v>
      </c>
      <c r="O16" s="38" t="s">
        <v>881</v>
      </c>
      <c r="P16" s="38" t="s">
        <v>882</v>
      </c>
      <c r="Q16" s="38" t="s">
        <v>883</v>
      </c>
      <c r="R16" s="38" t="s">
        <v>884</v>
      </c>
      <c r="S16" s="64"/>
      <c r="T16" s="95" t="s">
        <v>1006</v>
      </c>
      <c r="U16" s="38" t="s">
        <v>869</v>
      </c>
      <c r="V16" s="38" t="s">
        <v>870</v>
      </c>
      <c r="W16" s="38" t="s">
        <v>871</v>
      </c>
      <c r="X16" s="38" t="s">
        <v>872</v>
      </c>
      <c r="Y16" s="38" t="s">
        <v>873</v>
      </c>
      <c r="Z16" s="38" t="s">
        <v>874</v>
      </c>
      <c r="AA16" s="38" t="s">
        <v>875</v>
      </c>
      <c r="AB16" s="38" t="s">
        <v>876</v>
      </c>
      <c r="AC16" s="38" t="s">
        <v>877</v>
      </c>
      <c r="AD16" s="38" t="s">
        <v>878</v>
      </c>
      <c r="AE16" s="38" t="s">
        <v>879</v>
      </c>
      <c r="AF16" s="38" t="s">
        <v>880</v>
      </c>
      <c r="AG16" s="38" t="s">
        <v>881</v>
      </c>
      <c r="AH16" s="38" t="s">
        <v>882</v>
      </c>
      <c r="AI16" s="38" t="s">
        <v>883</v>
      </c>
      <c r="AJ16" s="38" t="s">
        <v>884</v>
      </c>
    </row>
    <row r="17" spans="2:36" x14ac:dyDescent="0.15">
      <c r="B17" s="96" t="s">
        <v>1002</v>
      </c>
      <c r="C17" s="94">
        <f>SUMIFS('caseload data'!E:E,'caseload data'!$D:$D,"PO",'caseload data'!$C:$C,'custody caseload'!$B$15,'caseload data'!$B:$B,"custody")</f>
        <v>0</v>
      </c>
      <c r="D17" s="94">
        <f>SUMIFS('caseload data'!F:F,'caseload data'!$D:$D,"PO",'caseload data'!$C:$C,'custody caseload'!$B$15,'caseload data'!$B:$B,"custody")</f>
        <v>0</v>
      </c>
      <c r="E17" s="94">
        <f>SUMIFS('caseload data'!G:G,'caseload data'!$D:$D,"PO",'caseload data'!$C:$C,'custody caseload'!$B$15,'caseload data'!$B:$B,"custody")</f>
        <v>0</v>
      </c>
      <c r="F17" s="94">
        <f>SUMIFS('caseload data'!H:H,'caseload data'!$D:$D,"PO",'caseload data'!$C:$C,'custody caseload'!$B$15,'caseload data'!$B:$B,"custody")</f>
        <v>0</v>
      </c>
      <c r="G17" s="94">
        <f>SUMIFS('caseload data'!I:I,'caseload data'!$D:$D,"PO",'caseload data'!$C:$C,'custody caseload'!$B$15,'caseload data'!$B:$B,"custody")</f>
        <v>0</v>
      </c>
      <c r="H17" s="94">
        <f>SUMIFS('caseload data'!J:J,'caseload data'!$D:$D,"PO",'caseload data'!$C:$C,'custody caseload'!$B$15,'caseload data'!$B:$B,"custody")</f>
        <v>0</v>
      </c>
      <c r="I17" s="94">
        <f>SUMIFS('caseload data'!K:K,'caseload data'!$D:$D,"PO",'caseload data'!$C:$C,'custody caseload'!$B$15,'caseload data'!$B:$B,"custody")</f>
        <v>0</v>
      </c>
      <c r="J17" s="94">
        <f>SUMIFS('caseload data'!L:L,'caseload data'!$D:$D,"PO",'caseload data'!$C:$C,'custody caseload'!$B$15,'caseload data'!$B:$B,"custody")</f>
        <v>0</v>
      </c>
      <c r="K17" s="94">
        <f>SUMIFS('caseload data'!M:M,'caseload data'!$D:$D,"PO",'caseload data'!$C:$C,'custody caseload'!$B$15,'caseload data'!$B:$B,"custody")</f>
        <v>0</v>
      </c>
      <c r="L17" s="94">
        <f>SUMIFS('caseload data'!N:N,'caseload data'!$D:$D,"PO",'caseload data'!$C:$C,'custody caseload'!$B$15,'caseload data'!$B:$B,"custody")</f>
        <v>0</v>
      </c>
      <c r="M17" s="94">
        <f>SUMIFS('caseload data'!O:O,'caseload data'!$D:$D,"PO",'caseload data'!$C:$C,'custody caseload'!$B$15,'caseload data'!$B:$B,"custody")</f>
        <v>0</v>
      </c>
      <c r="N17" s="94">
        <f>SUMIFS('caseload data'!P:P,'caseload data'!$D:$D,"PO",'caseload data'!$C:$C,'custody caseload'!$B$15,'caseload data'!$B:$B,"custody")</f>
        <v>0</v>
      </c>
      <c r="O17" s="94">
        <f>SUMIFS('caseload data'!Q:Q,'caseload data'!$D:$D,"PO",'caseload data'!$C:$C,'custody caseload'!$B$15,'caseload data'!$B:$B,"custody")</f>
        <v>0</v>
      </c>
      <c r="P17" s="94">
        <f>SUMIFS('caseload data'!R:R,'caseload data'!$D:$D,"PO",'caseload data'!$C:$C,'custody caseload'!$B$15,'caseload data'!$B:$B,"custody")</f>
        <v>0</v>
      </c>
      <c r="Q17" s="94">
        <f>SUMIFS('caseload data'!S:S,'caseload data'!$D:$D,"PO",'caseload data'!$C:$C,'custody caseload'!$B$15,'caseload data'!$B:$B,"custody")</f>
        <v>0</v>
      </c>
      <c r="R17" s="94">
        <f>SUMIFS('caseload data'!T:T,'caseload data'!$D:$D,"PO",'caseload data'!$C:$C,'custody caseload'!$B$15,'caseload data'!$B:$B,"custody")</f>
        <v>0</v>
      </c>
      <c r="S17" s="64"/>
      <c r="T17" s="96" t="s">
        <v>1002</v>
      </c>
      <c r="U17" s="94">
        <f>SUMIFS('caseload data'!E:E,'caseload data'!$D:$D,"PO",'caseload data'!$C:$C,'custody caseload'!$T$15,'caseload data'!$B:$B,"custody")</f>
        <v>0</v>
      </c>
      <c r="V17" s="94">
        <f>SUMIFS('caseload data'!F:F,'caseload data'!$D:$D,"PO",'caseload data'!$C:$C,'custody caseload'!$T$15,'caseload data'!$B:$B,"custody")</f>
        <v>0</v>
      </c>
      <c r="W17" s="94">
        <f>SUMIFS('caseload data'!G:G,'caseload data'!$D:$D,"PO",'caseload data'!$C:$C,'custody caseload'!$T$15,'caseload data'!$B:$B,"custody")</f>
        <v>0</v>
      </c>
      <c r="X17" s="94">
        <f>SUMIFS('caseload data'!H:H,'caseload data'!$D:$D,"PO",'caseload data'!$C:$C,'custody caseload'!$T$15,'caseload data'!$B:$B,"custody")</f>
        <v>0</v>
      </c>
      <c r="Y17" s="94">
        <f>SUMIFS('caseload data'!I:I,'caseload data'!$D:$D,"PO",'caseload data'!$C:$C,'custody caseload'!$T$15,'caseload data'!$B:$B,"custody")</f>
        <v>0</v>
      </c>
      <c r="Z17" s="94">
        <f>SUMIFS('caseload data'!J:J,'caseload data'!$D:$D,"PO",'caseload data'!$C:$C,'custody caseload'!$T$15,'caseload data'!$B:$B,"custody")</f>
        <v>0</v>
      </c>
      <c r="AA17" s="94">
        <f>SUMIFS('caseload data'!K:K,'caseload data'!$D:$D,"PO",'caseload data'!$C:$C,'custody caseload'!$T$15,'caseload data'!$B:$B,"custody")</f>
        <v>0</v>
      </c>
      <c r="AB17" s="94">
        <f>SUMIFS('caseload data'!L:L,'caseload data'!$D:$D,"PO",'caseload data'!$C:$C,'custody caseload'!$T$15,'caseload data'!$B:$B,"custody")</f>
        <v>0</v>
      </c>
      <c r="AC17" s="94">
        <f>SUMIFS('caseload data'!M:M,'caseload data'!$D:$D,"PO",'caseload data'!$C:$C,'custody caseload'!$T$15,'caseload data'!$B:$B,"custody")</f>
        <v>0</v>
      </c>
      <c r="AD17" s="94">
        <f>SUMIFS('caseload data'!N:N,'caseload data'!$D:$D,"PO",'caseload data'!$C:$C,'custody caseload'!$T$15,'caseload data'!$B:$B,"custody")</f>
        <v>0</v>
      </c>
      <c r="AE17" s="94">
        <f>SUMIFS('caseload data'!O:O,'caseload data'!$D:$D,"PO",'caseload data'!$C:$C,'custody caseload'!$T$15,'caseload data'!$B:$B,"custody")</f>
        <v>0</v>
      </c>
      <c r="AF17" s="94">
        <f>SUMIFS('caseload data'!P:P,'caseload data'!$D:$D,"PO",'caseload data'!$C:$C,'custody caseload'!$T$15,'caseload data'!$B:$B,"custody")</f>
        <v>0</v>
      </c>
      <c r="AG17" s="94">
        <f>SUMIFS('caseload data'!Q:Q,'caseload data'!$D:$D,"PO",'caseload data'!$C:$C,'custody caseload'!$T$15,'caseload data'!$B:$B,"custody")</f>
        <v>0</v>
      </c>
      <c r="AH17" s="94">
        <f>SUMIFS('caseload data'!R:R,'caseload data'!$D:$D,"PO",'caseload data'!$C:$C,'custody caseload'!$T$15,'caseload data'!$B:$B,"custody")</f>
        <v>0</v>
      </c>
      <c r="AI17" s="94">
        <f>SUMIFS('caseload data'!S:S,'caseload data'!$D:$D,"PO",'caseload data'!$C:$C,'custody caseload'!$T$15,'caseload data'!$B:$B,"custody")</f>
        <v>0</v>
      </c>
      <c r="AJ17" s="94">
        <f>SUMIFS('caseload data'!T:T,'caseload data'!$D:$D,"PO",'caseload data'!$C:$C,'custody caseload'!$T$15,'caseload data'!$B:$B,"custody")</f>
        <v>0</v>
      </c>
    </row>
    <row r="18" spans="2:36" ht="15" x14ac:dyDescent="0.2">
      <c r="B18" s="97" t="s">
        <v>1007</v>
      </c>
      <c r="C18" s="145">
        <f>SUMIFS('caseload data'!E:E,'caseload data'!$D:$D,"PSO",'caseload data'!$C:$C,'custody caseload'!$B$15,'caseload data'!$B:$B,"custody")</f>
        <v>0</v>
      </c>
      <c r="D18" s="145">
        <f>SUMIFS('caseload data'!F:F,'caseload data'!$D:$D,"PSO",'caseload data'!$C:$C,'custody caseload'!$B$15,'caseload data'!$B:$B,"custody")</f>
        <v>0</v>
      </c>
      <c r="E18" s="145">
        <f>SUMIFS('caseload data'!G:G,'caseload data'!$D:$D,"PSO",'caseload data'!$C:$C,'custody caseload'!$B$15,'caseload data'!$B:$B,"custody")</f>
        <v>0</v>
      </c>
      <c r="F18" s="145">
        <f>SUMIFS('caseload data'!H:H,'caseload data'!$D:$D,"PSO",'caseload data'!$C:$C,'custody caseload'!$B$15,'caseload data'!$B:$B,"custody")</f>
        <v>0</v>
      </c>
      <c r="G18" s="145">
        <f>SUMIFS('caseload data'!I:I,'caseload data'!$D:$D,"PSO",'caseload data'!$C:$C,'custody caseload'!$B$15,'caseload data'!$B:$B,"custody")</f>
        <v>0</v>
      </c>
      <c r="H18" s="145">
        <f>SUMIFS('caseload data'!J:J,'caseload data'!$D:$D,"PSO",'caseload data'!$C:$C,'custody caseload'!$B$15,'caseload data'!$B:$B,"custody")</f>
        <v>0</v>
      </c>
      <c r="I18" s="145">
        <f>SUMIFS('caseload data'!K:K,'caseload data'!$D:$D,"PSO",'caseload data'!$C:$C,'custody caseload'!$B$15,'caseload data'!$B:$B,"custody")</f>
        <v>0</v>
      </c>
      <c r="J18" s="145">
        <f>SUMIFS('caseload data'!L:L,'caseload data'!$D:$D,"PSO",'caseload data'!$C:$C,'custody caseload'!$B$15,'caseload data'!$B:$B,"custody")</f>
        <v>0</v>
      </c>
      <c r="K18" s="94">
        <f>SUMIFS('caseload data'!M:M,'caseload data'!$D:$D,"PSO",'caseload data'!$C:$C,'custody caseload'!$B$15,'caseload data'!$B:$B,"custody")</f>
        <v>0</v>
      </c>
      <c r="L18" s="94">
        <f>SUMIFS('caseload data'!N:N,'caseload data'!$D:$D,"PSO",'caseload data'!$C:$C,'custody caseload'!$B$15,'caseload data'!$B:$B,"custody")</f>
        <v>0</v>
      </c>
      <c r="M18" s="94">
        <f>SUMIFS('caseload data'!O:O,'caseload data'!$D:$D,"PSO",'caseload data'!$C:$C,'custody caseload'!$B$15,'caseload data'!$B:$B,"custody")</f>
        <v>0</v>
      </c>
      <c r="N18" s="94">
        <f>SUMIFS('caseload data'!P:P,'caseload data'!$D:$D,"PSO",'caseload data'!$C:$C,'custody caseload'!$B$15,'caseload data'!$B:$B,"custody")</f>
        <v>0</v>
      </c>
      <c r="O18" s="94">
        <f>SUMIFS('caseload data'!Q:Q,'caseload data'!$D:$D,"PSO",'caseload data'!$C:$C,'custody caseload'!$B$15,'caseload data'!$B:$B,"custody")</f>
        <v>0</v>
      </c>
      <c r="P18" s="94">
        <f>SUMIFS('caseload data'!R:R,'caseload data'!$D:$D,"PSO",'caseload data'!$C:$C,'custody caseload'!$B$15,'caseload data'!$B:$B,"custody")</f>
        <v>0</v>
      </c>
      <c r="Q18" s="94">
        <f>SUMIFS('caseload data'!S:S,'caseload data'!$D:$D,"PSO",'caseload data'!$C:$C,'custody caseload'!$B$15,'caseload data'!$B:$B,"custody")</f>
        <v>0</v>
      </c>
      <c r="R18" s="94">
        <f>SUMIFS('caseload data'!T:T,'caseload data'!$D:$D,"PSO",'caseload data'!$C:$C,'custody caseload'!$B$15,'caseload data'!$B:$B,"custody")</f>
        <v>0</v>
      </c>
      <c r="S18" s="64"/>
      <c r="T18" s="97" t="s">
        <v>1007</v>
      </c>
      <c r="U18" s="145">
        <f>SUMIFS('caseload data'!E:E,'caseload data'!$D:$D,"PSO",'caseload data'!$C:$C,'custody caseload'!$T$15,'caseload data'!$B:$B,"custody")</f>
        <v>0</v>
      </c>
      <c r="V18" s="145">
        <f>SUMIFS('caseload data'!F:F,'caseload data'!$D:$D,"PSO",'caseload data'!$C:$C,'custody caseload'!$T$15,'caseload data'!$B:$B,"custody")</f>
        <v>0</v>
      </c>
      <c r="W18" s="145">
        <f>SUMIFS('caseload data'!G:G,'caseload data'!$D:$D,"PSO",'caseload data'!$C:$C,'custody caseload'!$T$15,'caseload data'!$B:$B,"custody")</f>
        <v>0</v>
      </c>
      <c r="X18" s="145">
        <f>SUMIFS('caseload data'!H:H,'caseload data'!$D:$D,"PSO",'caseload data'!$C:$C,'custody caseload'!$T$15,'caseload data'!$B:$B,"custody")</f>
        <v>0</v>
      </c>
      <c r="Y18" s="145">
        <f>SUMIFS('caseload data'!I:I,'caseload data'!$D:$D,"PSO",'caseload data'!$C:$C,'custody caseload'!$T$15,'caseload data'!$B:$B,"custody")</f>
        <v>0</v>
      </c>
      <c r="Z18" s="145">
        <f>SUMIFS('caseload data'!J:J,'caseload data'!$D:$D,"PSO",'caseload data'!$C:$C,'custody caseload'!$T$15,'caseload data'!$B:$B,"custody")</f>
        <v>0</v>
      </c>
      <c r="AA18" s="145">
        <f>SUMIFS('caseload data'!K:K,'caseload data'!$D:$D,"PSO",'caseload data'!$C:$C,'custody caseload'!$T$15,'caseload data'!$B:$B,"custody")</f>
        <v>0</v>
      </c>
      <c r="AB18" s="145">
        <f>SUMIFS('caseload data'!L:L,'caseload data'!$D:$D,"PSO",'caseload data'!$C:$C,'custody caseload'!$T$15,'caseload data'!$B:$B,"custody")</f>
        <v>0</v>
      </c>
      <c r="AC18" s="94">
        <f>SUMIFS('caseload data'!M:M,'caseload data'!$D:$D,"PSO",'caseload data'!$C:$C,'custody caseload'!$T$15,'caseload data'!$B:$B,"custody")</f>
        <v>0</v>
      </c>
      <c r="AD18" s="94">
        <f>SUMIFS('caseload data'!N:N,'caseload data'!$D:$D,"PSO",'caseload data'!$C:$C,'custody caseload'!$T$15,'caseload data'!$B:$B,"custody")</f>
        <v>0</v>
      </c>
      <c r="AE18" s="94">
        <f>SUMIFS('caseload data'!O:O,'caseload data'!$D:$D,"PSO",'caseload data'!$C:$C,'custody caseload'!$T$15,'caseload data'!$B:$B,"custody")</f>
        <v>0</v>
      </c>
      <c r="AF18" s="94">
        <f>SUMIFS('caseload data'!P:P,'caseload data'!$D:$D,"PSO",'caseload data'!$C:$C,'custody caseload'!$T$15,'caseload data'!$B:$B,"custody")</f>
        <v>0</v>
      </c>
      <c r="AG18" s="94">
        <f>SUMIFS('caseload data'!Q:Q,'caseload data'!$D:$D,"PSO",'caseload data'!$C:$C,'custody caseload'!$T$15,'caseload data'!$B:$B,"custody")</f>
        <v>0</v>
      </c>
      <c r="AH18" s="94">
        <f>SUMIFS('caseload data'!R:R,'caseload data'!$D:$D,"PSO",'caseload data'!$C:$C,'custody caseload'!$T$15,'caseload data'!$B:$B,"custody")</f>
        <v>0</v>
      </c>
      <c r="AI18" s="94">
        <f>SUMIFS('caseload data'!S:S,'caseload data'!$D:$D,"PSO",'caseload data'!$C:$C,'custody caseload'!$T$15,'caseload data'!$B:$B,"custody")</f>
        <v>0</v>
      </c>
      <c r="AJ18" s="94">
        <f>SUMIFS('caseload data'!T:T,'caseload data'!$D:$D,"PSO",'caseload data'!$C:$C,'custody caseload'!$T$15,'caseload data'!$B:$B,"custody")</f>
        <v>0</v>
      </c>
    </row>
    <row r="19" spans="2:36" ht="15" x14ac:dyDescent="0.2">
      <c r="B19" s="97" t="s">
        <v>1008</v>
      </c>
      <c r="C19" s="145">
        <f>SUMIFS('caseload data'!E:E,'caseload data'!$D:$D,"TPO",'caseload data'!$C:$C,'custody caseload'!$B$15,'caseload data'!$B:$B,"custody")</f>
        <v>0</v>
      </c>
      <c r="D19" s="145">
        <f>SUMIFS('caseload data'!F:F,'caseload data'!$D:$D,"TPO",'caseload data'!$C:$C,'custody caseload'!$B$15,'caseload data'!$B:$B,"custody")</f>
        <v>0</v>
      </c>
      <c r="E19" s="145">
        <f>SUMIFS('caseload data'!G:G,'caseload data'!$D:$D,"TPO",'caseload data'!$C:$C,'custody caseload'!$B$15,'caseload data'!$B:$B,"custody")</f>
        <v>0</v>
      </c>
      <c r="F19" s="145">
        <f>SUMIFS('caseload data'!H:H,'caseload data'!$D:$D,"TPO",'caseload data'!$C:$C,'custody caseload'!$B$15,'caseload data'!$B:$B,"custody")</f>
        <v>0</v>
      </c>
      <c r="G19" s="145">
        <f>SUMIFS('caseload data'!I:I,'caseload data'!$D:$D,"TPO",'caseload data'!$C:$C,'custody caseload'!$B$15,'caseload data'!$B:$B,"custody")</f>
        <v>0</v>
      </c>
      <c r="H19" s="145">
        <f>SUMIFS('caseload data'!J:J,'caseload data'!$D:$D,"TPO",'caseload data'!$C:$C,'custody caseload'!$B$15,'caseload data'!$B:$B,"custody")</f>
        <v>0</v>
      </c>
      <c r="I19" s="145">
        <f>SUMIFS('caseload data'!K:K,'caseload data'!$D:$D,"TPO",'caseload data'!$C:$C,'custody caseload'!$B$15,'caseload data'!$B:$B,"custody")</f>
        <v>0</v>
      </c>
      <c r="J19" s="145">
        <f>SUMIFS('caseload data'!L:L,'caseload data'!$D:$D,"TPO",'caseload data'!$C:$C,'custody caseload'!$B$15,'caseload data'!$B:$B,"custody")</f>
        <v>0</v>
      </c>
      <c r="K19" s="94">
        <f>SUMIFS('caseload data'!M:M,'caseload data'!$D:$D,"TPO",'caseload data'!$C:$C,'custody caseload'!$B$15,'caseload data'!$B:$B,"custody")</f>
        <v>0</v>
      </c>
      <c r="L19" s="94">
        <f>SUMIFS('caseload data'!N:N,'caseload data'!$D:$D,"TPO",'caseload data'!$C:$C,'custody caseload'!$B$15,'caseload data'!$B:$B,"custody")</f>
        <v>0</v>
      </c>
      <c r="M19" s="94">
        <f>SUMIFS('caseload data'!O:O,'caseload data'!$D:$D,"TPO",'caseload data'!$C:$C,'custody caseload'!$B$15,'caseload data'!$B:$B,"custody")</f>
        <v>0</v>
      </c>
      <c r="N19" s="94">
        <f>SUMIFS('caseload data'!P:P,'caseload data'!$D:$D,"TPO",'caseload data'!$C:$C,'custody caseload'!$B$15,'caseload data'!$B:$B,"custody")</f>
        <v>0</v>
      </c>
      <c r="O19" s="94">
        <f>SUMIFS('caseload data'!Q:Q,'caseload data'!$D:$D,"TPO",'caseload data'!$C:$C,'custody caseload'!$B$15,'caseload data'!$B:$B,"custody")</f>
        <v>0</v>
      </c>
      <c r="P19" s="94">
        <f>SUMIFS('caseload data'!R:R,'caseload data'!$D:$D,"TPO",'caseload data'!$C:$C,'custody caseload'!$B$15,'caseload data'!$B:$B,"custody")</f>
        <v>0</v>
      </c>
      <c r="Q19" s="94">
        <f>SUMIFS('caseload data'!S:S,'caseload data'!$D:$D,"TPO",'caseload data'!$C:$C,'custody caseload'!$B$15,'caseload data'!$B:$B,"custody")</f>
        <v>0</v>
      </c>
      <c r="R19" s="94">
        <f>SUMIFS('caseload data'!T:T,'caseload data'!$D:$D,"TPO",'caseload data'!$C:$C,'custody caseload'!$B$15,'caseload data'!$B:$B,"custody")</f>
        <v>0</v>
      </c>
      <c r="S19" s="64"/>
      <c r="T19" s="97" t="s">
        <v>1008</v>
      </c>
      <c r="U19" s="145">
        <f>SUMIFS('caseload data'!E:E,'caseload data'!$D:$D,"TPO",'caseload data'!$C:$C,'custody caseload'!$T$15,'caseload data'!$B:$B,"custody")</f>
        <v>0</v>
      </c>
      <c r="V19" s="145">
        <f>SUMIFS('caseload data'!F:F,'caseload data'!$D:$D,"TPO",'caseload data'!$C:$C,'custody caseload'!$T$15,'caseload data'!$B:$B,"custody")</f>
        <v>0</v>
      </c>
      <c r="W19" s="145">
        <f>SUMIFS('caseload data'!G:G,'caseload data'!$D:$D,"TPO",'caseload data'!$C:$C,'custody caseload'!$T$15,'caseload data'!$B:$B,"custody")</f>
        <v>0</v>
      </c>
      <c r="X19" s="145">
        <f>SUMIFS('caseload data'!H:H,'caseload data'!$D:$D,"TPO",'caseload data'!$C:$C,'custody caseload'!$T$15,'caseload data'!$B:$B,"custody")</f>
        <v>0</v>
      </c>
      <c r="Y19" s="145">
        <f>SUMIFS('caseload data'!I:I,'caseload data'!$D:$D,"TPO",'caseload data'!$C:$C,'custody caseload'!$T$15,'caseload data'!$B:$B,"custody")</f>
        <v>0</v>
      </c>
      <c r="Z19" s="145">
        <f>SUMIFS('caseload data'!J:J,'caseload data'!$D:$D,"TPO",'caseload data'!$C:$C,'custody caseload'!$T$15,'caseload data'!$B:$B,"custody")</f>
        <v>0</v>
      </c>
      <c r="AA19" s="145">
        <f>SUMIFS('caseload data'!K:K,'caseload data'!$D:$D,"TPO",'caseload data'!$C:$C,'custody caseload'!$T$15,'caseload data'!$B:$B,"custody")</f>
        <v>0</v>
      </c>
      <c r="AB19" s="145">
        <f>SUMIFS('caseload data'!L:L,'caseload data'!$D:$D,"TPO",'caseload data'!$C:$C,'custody caseload'!$T$15,'caseload data'!$B:$B,"custody")</f>
        <v>0</v>
      </c>
      <c r="AC19" s="94">
        <f>SUMIFS('caseload data'!M:M,'caseload data'!$D:$D,"TPO",'caseload data'!$C:$C,'custody caseload'!$T$15,'caseload data'!$B:$B,"custody")</f>
        <v>0</v>
      </c>
      <c r="AD19" s="94">
        <f>SUMIFS('caseload data'!N:N,'caseload data'!$D:$D,"TPO",'caseload data'!$C:$C,'custody caseload'!$T$15,'caseload data'!$B:$B,"custody")</f>
        <v>0</v>
      </c>
      <c r="AE19" s="94">
        <f>SUMIFS('caseload data'!O:O,'caseload data'!$D:$D,"TPO",'caseload data'!$C:$C,'custody caseload'!$T$15,'caseload data'!$B:$B,"custody")</f>
        <v>0</v>
      </c>
      <c r="AF19" s="94">
        <f>SUMIFS('caseload data'!P:P,'caseload data'!$D:$D,"TPO",'caseload data'!$C:$C,'custody caseload'!$T$15,'caseload data'!$B:$B,"custody")</f>
        <v>0</v>
      </c>
      <c r="AG19" s="94">
        <f>SUMIFS('caseload data'!Q:Q,'caseload data'!$D:$D,"TPO",'caseload data'!$C:$C,'custody caseload'!$T$15,'caseload data'!$B:$B,"custody")</f>
        <v>0</v>
      </c>
      <c r="AH19" s="94">
        <f>SUMIFS('caseload data'!R:R,'caseload data'!$D:$D,"TPO",'caseload data'!$C:$C,'custody caseload'!$T$15,'caseload data'!$B:$B,"custody")</f>
        <v>0</v>
      </c>
      <c r="AI19" s="94">
        <f>SUMIFS('caseload data'!S:S,'caseload data'!$D:$D,"TPO",'caseload data'!$C:$C,'custody caseload'!$T$15,'caseload data'!$B:$B,"custody")</f>
        <v>0</v>
      </c>
      <c r="AJ19" s="94">
        <f>SUMIFS('caseload data'!T:T,'caseload data'!$D:$D,"TPO",'caseload data'!$C:$C,'custody caseload'!$T$15,'caseload data'!$B:$B,"custody")</f>
        <v>0</v>
      </c>
    </row>
    <row r="20" spans="2:36" x14ac:dyDescent="0.15">
      <c r="B20" s="98" t="s">
        <v>1009</v>
      </c>
      <c r="C20" s="94">
        <f>SUMIFS('caseload data'!E:E,'caseload data'!$D:$D,"SPO",'caseload data'!$C:$C,'custody caseload'!$B$15,'caseload data'!$B:$B,"custody")</f>
        <v>0</v>
      </c>
      <c r="D20" s="94">
        <f>SUMIFS('caseload data'!F:F,'caseload data'!$D:$D,"SPO",'caseload data'!$C:$C,'custody caseload'!$B$15,'caseload data'!$B:$B,"custody")</f>
        <v>0</v>
      </c>
      <c r="E20" s="94">
        <f>SUMIFS('caseload data'!G:G,'caseload data'!$D:$D,"SPO",'caseload data'!$C:$C,'custody caseload'!$B$15,'caseload data'!$B:$B,"custody")</f>
        <v>0</v>
      </c>
      <c r="F20" s="94">
        <f>SUMIFS('caseload data'!H:H,'caseload data'!$D:$D,"SPO",'caseload data'!$C:$C,'custody caseload'!$B$15,'caseload data'!$B:$B,"custody")</f>
        <v>0</v>
      </c>
      <c r="G20" s="94">
        <f>SUMIFS('caseload data'!I:I,'caseload data'!$D:$D,"SPO",'caseload data'!$C:$C,'custody caseload'!$B$15,'caseload data'!$B:$B,"custody")</f>
        <v>0</v>
      </c>
      <c r="H20" s="94">
        <f>SUMIFS('caseload data'!J:J,'caseload data'!$D:$D,"SPO",'caseload data'!$C:$C,'custody caseload'!$B$15,'caseload data'!$B:$B,"custody")</f>
        <v>0</v>
      </c>
      <c r="I20" s="94">
        <f>SUMIFS('caseload data'!K:K,'caseload data'!$D:$D,"SPO",'caseload data'!$C:$C,'custody caseload'!$B$15,'caseload data'!$B:$B,"custody")</f>
        <v>0</v>
      </c>
      <c r="J20" s="94">
        <f>SUMIFS('caseload data'!L:L,'caseload data'!$D:$D,"SPO",'caseload data'!$C:$C,'custody caseload'!$B$15,'caseload data'!$B:$B,"custody")</f>
        <v>0</v>
      </c>
      <c r="K20" s="94">
        <f>SUMIFS('caseload data'!M:M,'caseload data'!$D:$D,"SPO",'caseload data'!$C:$C,'custody caseload'!$B$15,'caseload data'!$B:$B,"custody")</f>
        <v>0</v>
      </c>
      <c r="L20" s="94">
        <f>SUMIFS('caseload data'!N:N,'caseload data'!$D:$D,"SPO",'caseload data'!$C:$C,'custody caseload'!$B$15,'caseload data'!$B:$B,"custody")</f>
        <v>0</v>
      </c>
      <c r="M20" s="94">
        <f>SUMIFS('caseload data'!O:O,'caseload data'!$D:$D,"SPO",'caseload data'!$C:$C,'custody caseload'!$B$15,'caseload data'!$B:$B,"custody")</f>
        <v>0</v>
      </c>
      <c r="N20" s="94">
        <f>SUMIFS('caseload data'!P:P,'caseload data'!$D:$D,"SPO",'caseload data'!$C:$C,'custody caseload'!$B$15,'caseload data'!$B:$B,"custody")</f>
        <v>0</v>
      </c>
      <c r="O20" s="94">
        <f>SUMIFS('caseload data'!Q:Q,'caseload data'!$D:$D,"SPO",'caseload data'!$C:$C,'custody caseload'!$B$15,'caseload data'!$B:$B,"custody")</f>
        <v>0</v>
      </c>
      <c r="P20" s="94">
        <f>SUMIFS('caseload data'!R:R,'caseload data'!$D:$D,"SPO",'caseload data'!$C:$C,'custody caseload'!$B$15,'caseload data'!$B:$B,"custody")</f>
        <v>0</v>
      </c>
      <c r="Q20" s="94">
        <f>SUMIFS('caseload data'!S:S,'caseload data'!$D:$D,"SPO",'caseload data'!$C:$C,'custody caseload'!$B$15,'caseload data'!$B:$B,"custody")</f>
        <v>0</v>
      </c>
      <c r="R20" s="94">
        <f>SUMIFS('caseload data'!T:T,'caseload data'!$D:$D,"SPO",'caseload data'!$C:$C,'custody caseload'!$B$15,'caseload data'!$B:$B,"custody")</f>
        <v>0</v>
      </c>
      <c r="S20" s="64"/>
      <c r="T20" s="98" t="s">
        <v>1009</v>
      </c>
      <c r="U20" s="94">
        <f>SUMIFS('caseload data'!E:E,'caseload data'!$D:$D,"SPO",'caseload data'!$C:$C,'custody caseload'!$T$15,'caseload data'!$B:$B,"custody")</f>
        <v>0</v>
      </c>
      <c r="V20" s="94">
        <f>SUMIFS('caseload data'!F:F,'caseload data'!$D:$D,"SPO",'caseload data'!$C:$C,'custody caseload'!$T$15,'caseload data'!$B:$B,"custody")</f>
        <v>0</v>
      </c>
      <c r="W20" s="94">
        <f>SUMIFS('caseload data'!G:G,'caseload data'!$D:$D,"SPO",'caseload data'!$C:$C,'custody caseload'!$T$15,'caseload data'!$B:$B,"custody")</f>
        <v>0</v>
      </c>
      <c r="X20" s="94">
        <f>SUMIFS('caseload data'!H:H,'caseload data'!$D:$D,"SPO",'caseload data'!$C:$C,'custody caseload'!$T$15,'caseload data'!$B:$B,"custody")</f>
        <v>0</v>
      </c>
      <c r="Y20" s="94">
        <f>SUMIFS('caseload data'!I:I,'caseload data'!$D:$D,"SPO",'caseload data'!$C:$C,'custody caseload'!$T$15,'caseload data'!$B:$B,"custody")</f>
        <v>0</v>
      </c>
      <c r="Z20" s="94">
        <f>SUMIFS('caseload data'!J:J,'caseload data'!$D:$D,"SPO",'caseload data'!$C:$C,'custody caseload'!$T$15,'caseload data'!$B:$B,"custody")</f>
        <v>0</v>
      </c>
      <c r="AA20" s="94">
        <f>SUMIFS('caseload data'!K:K,'caseload data'!$D:$D,"SPO",'caseload data'!$C:$C,'custody caseload'!$T$15,'caseload data'!$B:$B,"custody")</f>
        <v>0</v>
      </c>
      <c r="AB20" s="94">
        <f>SUMIFS('caseload data'!L:L,'caseload data'!$D:$D,"SPO",'caseload data'!$C:$C,'custody caseload'!$T$15,'caseload data'!$B:$B,"custody")</f>
        <v>0</v>
      </c>
      <c r="AC20" s="94">
        <f>SUMIFS('caseload data'!M:M,'caseload data'!$D:$D,"SPO",'caseload data'!$C:$C,'custody caseload'!$T$15,'caseload data'!$B:$B,"custody")</f>
        <v>0</v>
      </c>
      <c r="AD20" s="94">
        <f>SUMIFS('caseload data'!N:N,'caseload data'!$D:$D,"SPO",'caseload data'!$C:$C,'custody caseload'!$T$15,'caseload data'!$B:$B,"custody")</f>
        <v>0</v>
      </c>
      <c r="AE20" s="94">
        <f>SUMIFS('caseload data'!O:O,'caseload data'!$D:$D,"SPO",'caseload data'!$C:$C,'custody caseload'!$T$15,'caseload data'!$B:$B,"custody")</f>
        <v>0</v>
      </c>
      <c r="AF20" s="94">
        <f>SUMIFS('caseload data'!P:P,'caseload data'!$D:$D,"SPO",'caseload data'!$C:$C,'custody caseload'!$T$15,'caseload data'!$B:$B,"custody")</f>
        <v>0</v>
      </c>
      <c r="AG20" s="94">
        <f>SUMIFS('caseload data'!Q:Q,'caseload data'!$D:$D,"SPO",'caseload data'!$C:$C,'custody caseload'!$T$15,'caseload data'!$B:$B,"custody")</f>
        <v>0</v>
      </c>
      <c r="AH20" s="94">
        <f>SUMIFS('caseload data'!R:R,'caseload data'!$D:$D,"SPO",'caseload data'!$C:$C,'custody caseload'!$T$15,'caseload data'!$B:$B,"custody")</f>
        <v>0</v>
      </c>
      <c r="AI20" s="94">
        <f>SUMIFS('caseload data'!S:S,'caseload data'!$D:$D,"SPO",'caseload data'!$C:$C,'custody caseload'!$T$15,'caseload data'!$B:$B,"custody")</f>
        <v>0</v>
      </c>
      <c r="AJ20" s="94">
        <f>SUMIFS('caseload data'!T:T,'caseload data'!$D:$D,"SPO",'caseload data'!$C:$C,'custody caseload'!$T$15,'caseload data'!$B:$B,"custody")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142" t="str">
        <f>HLOOKUP($B$5,Region_Table,6,0)</f>
        <v>Lincolnshire East and West - N53</v>
      </c>
      <c r="C22" s="523" t="s">
        <v>1131</v>
      </c>
      <c r="D22" s="524"/>
      <c r="E22" s="524"/>
      <c r="F22" s="524"/>
      <c r="G22" s="524"/>
      <c r="H22" s="524"/>
      <c r="I22" s="524"/>
      <c r="J22" s="524"/>
      <c r="K22" s="524"/>
      <c r="L22" s="524"/>
      <c r="M22" s="533"/>
      <c r="N22" s="533"/>
      <c r="O22" s="534"/>
      <c r="P22" s="510">
        <f>SUMIFS('caseload data'!V:V,'caseload data'!B:B,"custody",'caseload data'!$C:$C,'custody caseload'!B22)</f>
        <v>0</v>
      </c>
      <c r="Q22" s="527"/>
      <c r="R22" s="528"/>
      <c r="S22" s="64"/>
      <c r="T22" s="142" t="str">
        <f>HLOOKUP($B$5,Region_Table,7,0)</f>
        <v>Nottingham City</v>
      </c>
      <c r="U22" s="523" t="s">
        <v>1131</v>
      </c>
      <c r="V22" s="524"/>
      <c r="W22" s="524"/>
      <c r="X22" s="524"/>
      <c r="Y22" s="524"/>
      <c r="Z22" s="524"/>
      <c r="AA22" s="524"/>
      <c r="AB22" s="524"/>
      <c r="AC22" s="524"/>
      <c r="AD22" s="524"/>
      <c r="AE22" s="533"/>
      <c r="AF22" s="533"/>
      <c r="AG22" s="534"/>
      <c r="AH22" s="510">
        <f>SUMIFS('caseload data'!V:V,'caseload data'!B:B,"custody",'caseload data'!$C:$C,'custody caseload'!T22)</f>
        <v>0</v>
      </c>
      <c r="AI22" s="527"/>
      <c r="AJ22" s="528"/>
    </row>
    <row r="23" spans="2:36" x14ac:dyDescent="0.15">
      <c r="B23" s="95" t="s">
        <v>1006</v>
      </c>
      <c r="C23" s="38" t="s">
        <v>869</v>
      </c>
      <c r="D23" s="38" t="s">
        <v>870</v>
      </c>
      <c r="E23" s="38" t="s">
        <v>871</v>
      </c>
      <c r="F23" s="38" t="s">
        <v>872</v>
      </c>
      <c r="G23" s="38" t="s">
        <v>873</v>
      </c>
      <c r="H23" s="38" t="s">
        <v>874</v>
      </c>
      <c r="I23" s="38" t="s">
        <v>875</v>
      </c>
      <c r="J23" s="38" t="s">
        <v>876</v>
      </c>
      <c r="K23" s="38" t="s">
        <v>877</v>
      </c>
      <c r="L23" s="38" t="s">
        <v>878</v>
      </c>
      <c r="M23" s="38" t="s">
        <v>879</v>
      </c>
      <c r="N23" s="38" t="s">
        <v>880</v>
      </c>
      <c r="O23" s="38" t="s">
        <v>881</v>
      </c>
      <c r="P23" s="38" t="s">
        <v>882</v>
      </c>
      <c r="Q23" s="38" t="s">
        <v>883</v>
      </c>
      <c r="R23" s="38" t="s">
        <v>884</v>
      </c>
      <c r="S23" s="64"/>
      <c r="T23" s="95" t="s">
        <v>1006</v>
      </c>
      <c r="U23" s="38" t="s">
        <v>869</v>
      </c>
      <c r="V23" s="38" t="s">
        <v>870</v>
      </c>
      <c r="W23" s="38" t="s">
        <v>871</v>
      </c>
      <c r="X23" s="38" t="s">
        <v>872</v>
      </c>
      <c r="Y23" s="38" t="s">
        <v>873</v>
      </c>
      <c r="Z23" s="38" t="s">
        <v>874</v>
      </c>
      <c r="AA23" s="38" t="s">
        <v>875</v>
      </c>
      <c r="AB23" s="38" t="s">
        <v>876</v>
      </c>
      <c r="AC23" s="38" t="s">
        <v>877</v>
      </c>
      <c r="AD23" s="38" t="s">
        <v>878</v>
      </c>
      <c r="AE23" s="38" t="s">
        <v>879</v>
      </c>
      <c r="AF23" s="38" t="s">
        <v>880</v>
      </c>
      <c r="AG23" s="38" t="s">
        <v>881</v>
      </c>
      <c r="AH23" s="38" t="s">
        <v>882</v>
      </c>
      <c r="AI23" s="38" t="s">
        <v>883</v>
      </c>
      <c r="AJ23" s="38" t="s">
        <v>884</v>
      </c>
    </row>
    <row r="24" spans="2:36" x14ac:dyDescent="0.15">
      <c r="B24" s="96" t="s">
        <v>1002</v>
      </c>
      <c r="C24" s="94">
        <f>SUMIFS('caseload data'!E:E,'caseload data'!$D:$D,"PO",'caseload data'!$C:$C,'custody caseload'!$B$22,'caseload data'!$B:$B,"custody")</f>
        <v>0</v>
      </c>
      <c r="D24" s="94">
        <f>SUMIFS('caseload data'!F:F,'caseload data'!$D:$D,"PO",'caseload data'!$C:$C,'custody caseload'!$B$22,'caseload data'!$B:$B,"custody")</f>
        <v>0</v>
      </c>
      <c r="E24" s="94">
        <f>SUMIFS('caseload data'!G:G,'caseload data'!$D:$D,"PO",'caseload data'!$C:$C,'custody caseload'!$B$22,'caseload data'!$B:$B,"custody")</f>
        <v>0</v>
      </c>
      <c r="F24" s="94">
        <f>SUMIFS('caseload data'!H:H,'caseload data'!$D:$D,"PO",'caseload data'!$C:$C,'custody caseload'!$B$22,'caseload data'!$B:$B,"custody")</f>
        <v>0</v>
      </c>
      <c r="G24" s="94">
        <f>SUMIFS('caseload data'!I:I,'caseload data'!$D:$D,"PO",'caseload data'!$C:$C,'custody caseload'!$B$22,'caseload data'!$B:$B,"custody")</f>
        <v>0</v>
      </c>
      <c r="H24" s="94">
        <f>SUMIFS('caseload data'!J:J,'caseload data'!$D:$D,"PO",'caseload data'!$C:$C,'custody caseload'!$B$22,'caseload data'!$B:$B,"custody")</f>
        <v>0</v>
      </c>
      <c r="I24" s="94">
        <f>SUMIFS('caseload data'!K:K,'caseload data'!$D:$D,"PO",'caseload data'!$C:$C,'custody caseload'!$B$22,'caseload data'!$B:$B,"custody")</f>
        <v>0</v>
      </c>
      <c r="J24" s="94">
        <f>SUMIFS('caseload data'!L:L,'caseload data'!$D:$D,"PO",'caseload data'!$C:$C,'custody caseload'!$B$22,'caseload data'!$B:$B,"custody")</f>
        <v>0</v>
      </c>
      <c r="K24" s="94">
        <f>SUMIFS('caseload data'!M:M,'caseload data'!$D:$D,"PO",'caseload data'!$C:$C,'custody caseload'!$B$22,'caseload data'!$B:$B,"custody")</f>
        <v>0</v>
      </c>
      <c r="L24" s="94">
        <f>SUMIFS('caseload data'!N:N,'caseload data'!$D:$D,"PO",'caseload data'!$C:$C,'custody caseload'!$B$22,'caseload data'!$B:$B,"custody")</f>
        <v>0</v>
      </c>
      <c r="M24" s="94">
        <f>SUMIFS('caseload data'!O:O,'caseload data'!$D:$D,"PO",'caseload data'!$C:$C,'custody caseload'!$B$22,'caseload data'!$B:$B,"custody")</f>
        <v>0</v>
      </c>
      <c r="N24" s="94">
        <f>SUMIFS('caseload data'!P:P,'caseload data'!$D:$D,"PO",'caseload data'!$C:$C,'custody caseload'!$B$22,'caseload data'!$B:$B,"custody")</f>
        <v>0</v>
      </c>
      <c r="O24" s="94">
        <f>SUMIFS('caseload data'!Q:Q,'caseload data'!$D:$D,"PO",'caseload data'!$C:$C,'custody caseload'!$B$22,'caseload data'!$B:$B,"custody")</f>
        <v>0</v>
      </c>
      <c r="P24" s="94">
        <f>SUMIFS('caseload data'!R:R,'caseload data'!$D:$D,"PO",'caseload data'!$C:$C,'custody caseload'!$B$22,'caseload data'!$B:$B,"custody")</f>
        <v>0</v>
      </c>
      <c r="Q24" s="94">
        <f>SUMIFS('caseload data'!S:S,'caseload data'!$D:$D,"PO",'caseload data'!$C:$C,'custody caseload'!$B$22,'caseload data'!$B:$B,"custody")</f>
        <v>0</v>
      </c>
      <c r="R24" s="94">
        <f>SUMIFS('caseload data'!T:T,'caseload data'!$D:$D,"PO",'caseload data'!$C:$C,'custody caseload'!$B$22,'caseload data'!$B:$B,"custody")</f>
        <v>0</v>
      </c>
      <c r="S24" s="64"/>
      <c r="T24" s="96" t="s">
        <v>1002</v>
      </c>
      <c r="U24" s="94">
        <f>SUMIFS('caseload data'!E:E,'caseload data'!$D:$D,"PO",'caseload data'!$C:$C,'custody caseload'!$T$22,'caseload data'!$B:$B,"custody")</f>
        <v>0</v>
      </c>
      <c r="V24" s="94">
        <f>SUMIFS('caseload data'!F:F,'caseload data'!$D:$D,"PO",'caseload data'!$C:$C,'custody caseload'!$T$22,'caseload data'!$B:$B,"custody")</f>
        <v>0</v>
      </c>
      <c r="W24" s="94">
        <f>SUMIFS('caseload data'!G:G,'caseload data'!$D:$D,"PO",'caseload data'!$C:$C,'custody caseload'!$T$22,'caseload data'!$B:$B,"custody")</f>
        <v>0</v>
      </c>
      <c r="X24" s="94">
        <f>SUMIFS('caseload data'!H:H,'caseload data'!$D:$D,"PO",'caseload data'!$C:$C,'custody caseload'!$T$22,'caseload data'!$B:$B,"custody")</f>
        <v>0</v>
      </c>
      <c r="Y24" s="94">
        <f>SUMIFS('caseload data'!I:I,'caseload data'!$D:$D,"PO",'caseload data'!$C:$C,'custody caseload'!$T$22,'caseload data'!$B:$B,"custody")</f>
        <v>0</v>
      </c>
      <c r="Z24" s="94">
        <f>SUMIFS('caseload data'!J:J,'caseload data'!$D:$D,"PO",'caseload data'!$C:$C,'custody caseload'!$T$22,'caseload data'!$B:$B,"custody")</f>
        <v>0</v>
      </c>
      <c r="AA24" s="94">
        <f>SUMIFS('caseload data'!K:K,'caseload data'!$D:$D,"PO",'caseload data'!$C:$C,'custody caseload'!$T$22,'caseload data'!$B:$B,"custody")</f>
        <v>0</v>
      </c>
      <c r="AB24" s="94">
        <f>SUMIFS('caseload data'!L:L,'caseload data'!$D:$D,"PO",'caseload data'!$C:$C,'custody caseload'!$T$22,'caseload data'!$B:$B,"custody")</f>
        <v>0</v>
      </c>
      <c r="AC24" s="94">
        <f>SUMIFS('caseload data'!M:M,'caseload data'!$D:$D,"PO",'caseload data'!$C:$C,'custody caseload'!$T$22,'caseload data'!$B:$B,"custody")</f>
        <v>0</v>
      </c>
      <c r="AD24" s="94">
        <f>SUMIFS('caseload data'!N:N,'caseload data'!$D:$D,"PO",'caseload data'!$C:$C,'custody caseload'!$T$22,'caseload data'!$B:$B,"custody")</f>
        <v>0</v>
      </c>
      <c r="AE24" s="94">
        <f>SUMIFS('caseload data'!O:O,'caseload data'!$D:$D,"PO",'caseload data'!$C:$C,'custody caseload'!$T$22,'caseload data'!$B:$B,"custody")</f>
        <v>0</v>
      </c>
      <c r="AF24" s="94">
        <f>SUMIFS('caseload data'!P:P,'caseload data'!$D:$D,"PO",'caseload data'!$C:$C,'custody caseload'!$T$22,'caseload data'!$B:$B,"custody")</f>
        <v>0</v>
      </c>
      <c r="AG24" s="94">
        <f>SUMIFS('caseload data'!Q:Q,'caseload data'!$D:$D,"PO",'caseload data'!$C:$C,'custody caseload'!$T$22,'caseload data'!$B:$B,"custody")</f>
        <v>0</v>
      </c>
      <c r="AH24" s="94">
        <f>SUMIFS('caseload data'!R:R,'caseload data'!$D:$D,"PO",'caseload data'!$C:$C,'custody caseload'!$T$22,'caseload data'!$B:$B,"custody")</f>
        <v>0</v>
      </c>
      <c r="AI24" s="94">
        <f>SUMIFS('caseload data'!S:S,'caseload data'!$D:$D,"PO",'caseload data'!$C:$C,'custody caseload'!$T$22,'caseload data'!$B:$B,"custody")</f>
        <v>0</v>
      </c>
      <c r="AJ24" s="94">
        <f>SUMIFS('caseload data'!T:T,'caseload data'!$D:$D,"PO",'caseload data'!$C:$C,'custody caseload'!$T$22,'caseload data'!$B:$B,"custody")</f>
        <v>0</v>
      </c>
    </row>
    <row r="25" spans="2:36" ht="15" x14ac:dyDescent="0.2">
      <c r="B25" s="97" t="s">
        <v>1007</v>
      </c>
      <c r="C25" s="145">
        <f>SUMIFS('caseload data'!E:E,'caseload data'!$D:$D,"PSO",'caseload data'!$C:$C,'custody caseload'!$B$22,'caseload data'!$B:$B,"custody")</f>
        <v>0</v>
      </c>
      <c r="D25" s="145">
        <f>SUMIFS('caseload data'!F:F,'caseload data'!$D:$D,"PSO",'caseload data'!$C:$C,'custody caseload'!$B$22,'caseload data'!$B:$B,"custody")</f>
        <v>0</v>
      </c>
      <c r="E25" s="145">
        <f>SUMIFS('caseload data'!G:G,'caseload data'!$D:$D,"PSO",'caseload data'!$C:$C,'custody caseload'!$B$22,'caseload data'!$B:$B,"custody")</f>
        <v>0</v>
      </c>
      <c r="F25" s="145">
        <f>SUMIFS('caseload data'!H:H,'caseload data'!$D:$D,"PSO",'caseload data'!$C:$C,'custody caseload'!$B$22,'caseload data'!$B:$B,"custody")</f>
        <v>0</v>
      </c>
      <c r="G25" s="145">
        <f>SUMIFS('caseload data'!I:I,'caseload data'!$D:$D,"PSO",'caseload data'!$C:$C,'custody caseload'!$B$22,'caseload data'!$B:$B,"custody")</f>
        <v>0</v>
      </c>
      <c r="H25" s="145">
        <f>SUMIFS('caseload data'!J:J,'caseload data'!$D:$D,"PSO",'caseload data'!$C:$C,'custody caseload'!$B$22,'caseload data'!$B:$B,"custody")</f>
        <v>0</v>
      </c>
      <c r="I25" s="145">
        <f>SUMIFS('caseload data'!K:K,'caseload data'!$D:$D,"PSO",'caseload data'!$C:$C,'custody caseload'!$B$22,'caseload data'!$B:$B,"custody")</f>
        <v>0</v>
      </c>
      <c r="J25" s="145">
        <f>SUMIFS('caseload data'!L:L,'caseload data'!$D:$D,"PSO",'caseload data'!$C:$C,'custody caseload'!$B$22,'caseload data'!$B:$B,"custody")</f>
        <v>0</v>
      </c>
      <c r="K25" s="94">
        <f>SUMIFS('caseload data'!M:M,'caseload data'!$D:$D,"PSO",'caseload data'!$C:$C,'custody caseload'!$B$22,'caseload data'!$B:$B,"custody")</f>
        <v>0</v>
      </c>
      <c r="L25" s="94">
        <f>SUMIFS('caseload data'!N:N,'caseload data'!$D:$D,"PSO",'caseload data'!$C:$C,'custody caseload'!$B$22,'caseload data'!$B:$B,"custody")</f>
        <v>0</v>
      </c>
      <c r="M25" s="94">
        <f>SUMIFS('caseload data'!O:O,'caseload data'!$D:$D,"PSO",'caseload data'!$C:$C,'custody caseload'!$B$22,'caseload data'!$B:$B,"custody")</f>
        <v>0</v>
      </c>
      <c r="N25" s="94">
        <f>SUMIFS('caseload data'!P:P,'caseload data'!$D:$D,"PSO",'caseload data'!$C:$C,'custody caseload'!$B$22,'caseload data'!$B:$B,"custody")</f>
        <v>0</v>
      </c>
      <c r="O25" s="94">
        <f>SUMIFS('caseload data'!Q:Q,'caseload data'!$D:$D,"PSO",'caseload data'!$C:$C,'custody caseload'!$B$22,'caseload data'!$B:$B,"custody")</f>
        <v>0</v>
      </c>
      <c r="P25" s="94">
        <f>SUMIFS('caseload data'!R:R,'caseload data'!$D:$D,"PSO",'caseload data'!$C:$C,'custody caseload'!$B$22,'caseload data'!$B:$B,"custody")</f>
        <v>0</v>
      </c>
      <c r="Q25" s="94">
        <f>SUMIFS('caseload data'!S:S,'caseload data'!$D:$D,"PSO",'caseload data'!$C:$C,'custody caseload'!$B$22,'caseload data'!$B:$B,"custody")</f>
        <v>0</v>
      </c>
      <c r="R25" s="94">
        <f>SUMIFS('caseload data'!T:T,'caseload data'!$D:$D,"PSO",'caseload data'!$C:$C,'custody caseload'!$B$22,'caseload data'!$B:$B,"custody")</f>
        <v>0</v>
      </c>
      <c r="S25" s="64"/>
      <c r="T25" s="97" t="s">
        <v>1007</v>
      </c>
      <c r="U25" s="145">
        <f>SUMIFS('caseload data'!E:E,'caseload data'!$D:$D,"PSO",'caseload data'!$C:$C,'custody caseload'!$T$22,'caseload data'!$B:$B,"custody")</f>
        <v>0</v>
      </c>
      <c r="V25" s="145">
        <f>SUMIFS('caseload data'!F:F,'caseload data'!$D:$D,"PSO",'caseload data'!$C:$C,'custody caseload'!$T$22,'caseload data'!$B:$B,"custody")</f>
        <v>0</v>
      </c>
      <c r="W25" s="145">
        <f>SUMIFS('caseload data'!G:G,'caseload data'!$D:$D,"PSO",'caseload data'!$C:$C,'custody caseload'!$T$22,'caseload data'!$B:$B,"custody")</f>
        <v>0</v>
      </c>
      <c r="X25" s="145">
        <f>SUMIFS('caseload data'!H:H,'caseload data'!$D:$D,"PSO",'caseload data'!$C:$C,'custody caseload'!$T$22,'caseload data'!$B:$B,"custody")</f>
        <v>0</v>
      </c>
      <c r="Y25" s="145">
        <f>SUMIFS('caseload data'!I:I,'caseload data'!$D:$D,"PSO",'caseload data'!$C:$C,'custody caseload'!$T$22,'caseload data'!$B:$B,"custody")</f>
        <v>0</v>
      </c>
      <c r="Z25" s="145">
        <f>SUMIFS('caseload data'!J:J,'caseload data'!$D:$D,"PSO",'caseload data'!$C:$C,'custody caseload'!$T$22,'caseload data'!$B:$B,"custody")</f>
        <v>0</v>
      </c>
      <c r="AA25" s="145">
        <f>SUMIFS('caseload data'!K:K,'caseload data'!$D:$D,"PSO",'caseload data'!$C:$C,'custody caseload'!$T$22,'caseload data'!$B:$B,"custody")</f>
        <v>0</v>
      </c>
      <c r="AB25" s="145">
        <f>SUMIFS('caseload data'!L:L,'caseload data'!$D:$D,"PSO",'caseload data'!$C:$C,'custody caseload'!$T$22,'caseload data'!$B:$B,"custody")</f>
        <v>0</v>
      </c>
      <c r="AC25" s="94">
        <f>SUMIFS('caseload data'!M:M,'caseload data'!$D:$D,"PSO",'caseload data'!$C:$C,'custody caseload'!$T$22,'caseload data'!$B:$B,"custody")</f>
        <v>0</v>
      </c>
      <c r="AD25" s="94">
        <f>SUMIFS('caseload data'!N:N,'caseload data'!$D:$D,"PSO",'caseload data'!$C:$C,'custody caseload'!$T$22,'caseload data'!$B:$B,"custody")</f>
        <v>0</v>
      </c>
      <c r="AE25" s="94">
        <f>SUMIFS('caseload data'!O:O,'caseload data'!$D:$D,"PSO",'caseload data'!$C:$C,'custody caseload'!$T$22,'caseload data'!$B:$B,"custody")</f>
        <v>0</v>
      </c>
      <c r="AF25" s="94">
        <f>SUMIFS('caseload data'!P:P,'caseload data'!$D:$D,"PSO",'caseload data'!$C:$C,'custody caseload'!$T$22,'caseload data'!$B:$B,"custody")</f>
        <v>0</v>
      </c>
      <c r="AG25" s="94">
        <f>SUMIFS('caseload data'!Q:Q,'caseload data'!$D:$D,"PSO",'caseload data'!$C:$C,'custody caseload'!$T$22,'caseload data'!$B:$B,"custody")</f>
        <v>0</v>
      </c>
      <c r="AH25" s="94">
        <f>SUMIFS('caseload data'!R:R,'caseload data'!$D:$D,"PSO",'caseload data'!$C:$C,'custody caseload'!$T$22,'caseload data'!$B:$B,"custody")</f>
        <v>0</v>
      </c>
      <c r="AI25" s="94">
        <f>SUMIFS('caseload data'!S:S,'caseload data'!$D:$D,"PSO",'caseload data'!$C:$C,'custody caseload'!$T$22,'caseload data'!$B:$B,"custody")</f>
        <v>0</v>
      </c>
      <c r="AJ25" s="94">
        <f>SUMIFS('caseload data'!T:T,'caseload data'!$D:$D,"PSO",'caseload data'!$C:$C,'custody caseload'!$T$22,'caseload data'!$B:$B,"custody")</f>
        <v>0</v>
      </c>
    </row>
    <row r="26" spans="2:36" ht="15" x14ac:dyDescent="0.2">
      <c r="B26" s="97" t="s">
        <v>1008</v>
      </c>
      <c r="C26" s="145">
        <f>SUMIFS('caseload data'!E:E,'caseload data'!$D:$D,"TPO",'caseload data'!$C:$C,'custody caseload'!$B$22,'caseload data'!$B:$B,"custody")</f>
        <v>0</v>
      </c>
      <c r="D26" s="145">
        <f>SUMIFS('caseload data'!F:F,'caseload data'!$D:$D,"TPO",'caseload data'!$C:$C,'custody caseload'!$B$22,'caseload data'!$B:$B,"custody")</f>
        <v>0</v>
      </c>
      <c r="E26" s="145">
        <f>SUMIFS('caseload data'!G:G,'caseload data'!$D:$D,"TPO",'caseload data'!$C:$C,'custody caseload'!$B$22,'caseload data'!$B:$B,"custody")</f>
        <v>0</v>
      </c>
      <c r="F26" s="145">
        <f>SUMIFS('caseload data'!H:H,'caseload data'!$D:$D,"TPO",'caseload data'!$C:$C,'custody caseload'!$B$22,'caseload data'!$B:$B,"custody")</f>
        <v>0</v>
      </c>
      <c r="G26" s="145">
        <f>SUMIFS('caseload data'!I:I,'caseload data'!$D:$D,"TPO",'caseload data'!$C:$C,'custody caseload'!$B$22,'caseload data'!$B:$B,"custody")</f>
        <v>0</v>
      </c>
      <c r="H26" s="145">
        <f>SUMIFS('caseload data'!J:J,'caseload data'!$D:$D,"TPO",'caseload data'!$C:$C,'custody caseload'!$B$22,'caseload data'!$B:$B,"custody")</f>
        <v>0</v>
      </c>
      <c r="I26" s="145">
        <f>SUMIFS('caseload data'!K:K,'caseload data'!$D:$D,"TPO",'caseload data'!$C:$C,'custody caseload'!$B$22,'caseload data'!$B:$B,"custody")</f>
        <v>0</v>
      </c>
      <c r="J26" s="145">
        <f>SUMIFS('caseload data'!L:L,'caseload data'!$D:$D,"TPO",'caseload data'!$C:$C,'custody caseload'!$B$22,'caseload data'!$B:$B,"custody")</f>
        <v>0</v>
      </c>
      <c r="K26" s="94">
        <f>SUMIFS('caseload data'!M:M,'caseload data'!$D:$D,"TPO",'caseload data'!$C:$C,'custody caseload'!$B$22,'caseload data'!$B:$B,"custody")</f>
        <v>0</v>
      </c>
      <c r="L26" s="94">
        <f>SUMIFS('caseload data'!N:N,'caseload data'!$D:$D,"TPO",'caseload data'!$C:$C,'custody caseload'!$B$22,'caseload data'!$B:$B,"custody")</f>
        <v>0</v>
      </c>
      <c r="M26" s="94">
        <f>SUMIFS('caseload data'!O:O,'caseload data'!$D:$D,"TPO",'caseload data'!$C:$C,'custody caseload'!$B$22,'caseload data'!$B:$B,"custody")</f>
        <v>0</v>
      </c>
      <c r="N26" s="94">
        <f>SUMIFS('caseload data'!P:P,'caseload data'!$D:$D,"TPO",'caseload data'!$C:$C,'custody caseload'!$B$22,'caseload data'!$B:$B,"custody")</f>
        <v>0</v>
      </c>
      <c r="O26" s="94">
        <f>SUMIFS('caseload data'!Q:Q,'caseload data'!$D:$D,"TPO",'caseload data'!$C:$C,'custody caseload'!$B$22,'caseload data'!$B:$B,"custody")</f>
        <v>0</v>
      </c>
      <c r="P26" s="94">
        <f>SUMIFS('caseload data'!R:R,'caseload data'!$D:$D,"TPO",'caseload data'!$C:$C,'custody caseload'!$B$22,'caseload data'!$B:$B,"custody")</f>
        <v>0</v>
      </c>
      <c r="Q26" s="94">
        <f>SUMIFS('caseload data'!S:S,'caseload data'!$D:$D,"TPO",'caseload data'!$C:$C,'custody caseload'!$B$22,'caseload data'!$B:$B,"custody")</f>
        <v>0</v>
      </c>
      <c r="R26" s="94">
        <f>SUMIFS('caseload data'!T:T,'caseload data'!$D:$D,"TPO",'caseload data'!$C:$C,'custody caseload'!$B$22,'caseload data'!$B:$B,"custody")</f>
        <v>0</v>
      </c>
      <c r="S26" s="64"/>
      <c r="T26" s="97" t="s">
        <v>1008</v>
      </c>
      <c r="U26" s="145">
        <f>SUMIFS('caseload data'!E:E,'caseload data'!$D:$D,"TPO",'caseload data'!$C:$C,'custody caseload'!$T$22,'caseload data'!$B:$B,"custody")</f>
        <v>0</v>
      </c>
      <c r="V26" s="145">
        <f>SUMIFS('caseload data'!F:F,'caseload data'!$D:$D,"TPO",'caseload data'!$C:$C,'custody caseload'!$T$22,'caseload data'!$B:$B,"custody")</f>
        <v>0</v>
      </c>
      <c r="W26" s="145">
        <f>SUMIFS('caseload data'!G:G,'caseload data'!$D:$D,"TPO",'caseload data'!$C:$C,'custody caseload'!$T$22,'caseload data'!$B:$B,"custody")</f>
        <v>0</v>
      </c>
      <c r="X26" s="145">
        <f>SUMIFS('caseload data'!H:H,'caseload data'!$D:$D,"TPO",'caseload data'!$C:$C,'custody caseload'!$T$22,'caseload data'!$B:$B,"custody")</f>
        <v>0</v>
      </c>
      <c r="Y26" s="145">
        <f>SUMIFS('caseload data'!I:I,'caseload data'!$D:$D,"TPO",'caseload data'!$C:$C,'custody caseload'!$T$22,'caseload data'!$B:$B,"custody")</f>
        <v>0</v>
      </c>
      <c r="Z26" s="145">
        <f>SUMIFS('caseload data'!J:J,'caseload data'!$D:$D,"TPO",'caseload data'!$C:$C,'custody caseload'!$T$22,'caseload data'!$B:$B,"custody")</f>
        <v>0</v>
      </c>
      <c r="AA26" s="145">
        <f>SUMIFS('caseload data'!K:K,'caseload data'!$D:$D,"TPO",'caseload data'!$C:$C,'custody caseload'!$T$22,'caseload data'!$B:$B,"custody")</f>
        <v>0</v>
      </c>
      <c r="AB26" s="145">
        <f>SUMIFS('caseload data'!L:L,'caseload data'!$D:$D,"TPO",'caseload data'!$C:$C,'custody caseload'!$T$22,'caseload data'!$B:$B,"custody")</f>
        <v>0</v>
      </c>
      <c r="AC26" s="94">
        <f>SUMIFS('caseload data'!M:M,'caseload data'!$D:$D,"TPO",'caseload data'!$C:$C,'custody caseload'!$T$22,'caseload data'!$B:$B,"custody")</f>
        <v>0</v>
      </c>
      <c r="AD26" s="94">
        <f>SUMIFS('caseload data'!N:N,'caseload data'!$D:$D,"TPO",'caseload data'!$C:$C,'custody caseload'!$T$22,'caseload data'!$B:$B,"custody")</f>
        <v>0</v>
      </c>
      <c r="AE26" s="94">
        <f>SUMIFS('caseload data'!O:O,'caseload data'!$D:$D,"TPO",'caseload data'!$C:$C,'custody caseload'!$T$22,'caseload data'!$B:$B,"custody")</f>
        <v>0</v>
      </c>
      <c r="AF26" s="94">
        <f>SUMIFS('caseload data'!P:P,'caseload data'!$D:$D,"TPO",'caseload data'!$C:$C,'custody caseload'!$T$22,'caseload data'!$B:$B,"custody")</f>
        <v>0</v>
      </c>
      <c r="AG26" s="94">
        <f>SUMIFS('caseload data'!Q:Q,'caseload data'!$D:$D,"TPO",'caseload data'!$C:$C,'custody caseload'!$T$22,'caseload data'!$B:$B,"custody")</f>
        <v>0</v>
      </c>
      <c r="AH26" s="94">
        <f>SUMIFS('caseload data'!R:R,'caseload data'!$D:$D,"TPO",'caseload data'!$C:$C,'custody caseload'!$T$22,'caseload data'!$B:$B,"custody")</f>
        <v>0</v>
      </c>
      <c r="AI26" s="94">
        <f>SUMIFS('caseload data'!S:S,'caseload data'!$D:$D,"TPO",'caseload data'!$C:$C,'custody caseload'!$T$22,'caseload data'!$B:$B,"custody")</f>
        <v>0</v>
      </c>
      <c r="AJ26" s="94">
        <f>SUMIFS('caseload data'!T:T,'caseload data'!$D:$D,"TPO",'caseload data'!$C:$C,'custody caseload'!$T$22,'caseload data'!$B:$B,"custody")</f>
        <v>0</v>
      </c>
    </row>
    <row r="27" spans="2:36" x14ac:dyDescent="0.15">
      <c r="B27" s="98" t="s">
        <v>1009</v>
      </c>
      <c r="C27" s="94">
        <f>SUMIFS('caseload data'!E:E,'caseload data'!$D:$D,"SPO",'caseload data'!$C:$C,'custody caseload'!$B$22,'caseload data'!$B:$B,"custody")</f>
        <v>0</v>
      </c>
      <c r="D27" s="94">
        <f>SUMIFS('caseload data'!F:F,'caseload data'!$D:$D,"SPO",'caseload data'!$C:$C,'custody caseload'!$B$22,'caseload data'!$B:$B,"custody")</f>
        <v>0</v>
      </c>
      <c r="E27" s="94">
        <f>SUMIFS('caseload data'!G:G,'caseload data'!$D:$D,"SPO",'caseload data'!$C:$C,'custody caseload'!$B$22,'caseload data'!$B:$B,"custody")</f>
        <v>0</v>
      </c>
      <c r="F27" s="94">
        <f>SUMIFS('caseload data'!H:H,'caseload data'!$D:$D,"SPO",'caseload data'!$C:$C,'custody caseload'!$B$22,'caseload data'!$B:$B,"custody")</f>
        <v>0</v>
      </c>
      <c r="G27" s="94">
        <f>SUMIFS('caseload data'!I:I,'caseload data'!$D:$D,"SPO",'caseload data'!$C:$C,'custody caseload'!$B$22,'caseload data'!$B:$B,"custody")</f>
        <v>0</v>
      </c>
      <c r="H27" s="94">
        <f>SUMIFS('caseload data'!J:J,'caseload data'!$D:$D,"SPO",'caseload data'!$C:$C,'custody caseload'!$B$22,'caseload data'!$B:$B,"custody")</f>
        <v>0</v>
      </c>
      <c r="I27" s="94">
        <f>SUMIFS('caseload data'!K:K,'caseload data'!$D:$D,"SPO",'caseload data'!$C:$C,'custody caseload'!$B$22,'caseload data'!$B:$B,"custody")</f>
        <v>0</v>
      </c>
      <c r="J27" s="94">
        <f>SUMIFS('caseload data'!L:L,'caseload data'!$D:$D,"SPO",'caseload data'!$C:$C,'custody caseload'!$B$22,'caseload data'!$B:$B,"custody")</f>
        <v>0</v>
      </c>
      <c r="K27" s="94">
        <f>SUMIFS('caseload data'!M:M,'caseload data'!$D:$D,"SPO",'caseload data'!$C:$C,'custody caseload'!$B$22,'caseload data'!$B:$B,"custody")</f>
        <v>0</v>
      </c>
      <c r="L27" s="94">
        <f>SUMIFS('caseload data'!N:N,'caseload data'!$D:$D,"SPO",'caseload data'!$C:$C,'custody caseload'!$B$22,'caseload data'!$B:$B,"custody")</f>
        <v>0</v>
      </c>
      <c r="M27" s="94">
        <f>SUMIFS('caseload data'!O:O,'caseload data'!$D:$D,"SPO",'caseload data'!$C:$C,'custody caseload'!$B$22,'caseload data'!$B:$B,"custody")</f>
        <v>0</v>
      </c>
      <c r="N27" s="94">
        <f>SUMIFS('caseload data'!P:P,'caseload data'!$D:$D,"SPO",'caseload data'!$C:$C,'custody caseload'!$B$22,'caseload data'!$B:$B,"custody")</f>
        <v>0</v>
      </c>
      <c r="O27" s="94">
        <f>SUMIFS('caseload data'!Q:Q,'caseload data'!$D:$D,"SPO",'caseload data'!$C:$C,'custody caseload'!$B$22,'caseload data'!$B:$B,"custody")</f>
        <v>0</v>
      </c>
      <c r="P27" s="94">
        <f>SUMIFS('caseload data'!R:R,'caseload data'!$D:$D,"SPO",'caseload data'!$C:$C,'custody caseload'!$B$22,'caseload data'!$B:$B,"custody")</f>
        <v>0</v>
      </c>
      <c r="Q27" s="94">
        <f>SUMIFS('caseload data'!S:S,'caseload data'!$D:$D,"SPO",'caseload data'!$C:$C,'custody caseload'!$B$22,'caseload data'!$B:$B,"custody")</f>
        <v>0</v>
      </c>
      <c r="R27" s="94">
        <f>SUMIFS('caseload data'!T:T,'caseload data'!$D:$D,"SPO",'caseload data'!$C:$C,'custody caseload'!$B$22,'caseload data'!$B:$B,"custody")</f>
        <v>0</v>
      </c>
      <c r="S27" s="64"/>
      <c r="T27" s="98" t="s">
        <v>1009</v>
      </c>
      <c r="U27" s="94">
        <f>SUMIFS('caseload data'!E:E,'caseload data'!$D:$D,"SPO",'caseload data'!$C:$C,'custody caseload'!$T$22,'caseload data'!$B:$B,"custody")</f>
        <v>0</v>
      </c>
      <c r="V27" s="94">
        <f>SUMIFS('caseload data'!F:F,'caseload data'!$D:$D,"SPO",'caseload data'!$C:$C,'custody caseload'!$T$22,'caseload data'!$B:$B,"custody")</f>
        <v>0</v>
      </c>
      <c r="W27" s="94">
        <f>SUMIFS('caseload data'!G:G,'caseload data'!$D:$D,"SPO",'caseload data'!$C:$C,'custody caseload'!$T$22,'caseload data'!$B:$B,"custody")</f>
        <v>0</v>
      </c>
      <c r="X27" s="94">
        <f>SUMIFS('caseload data'!H:H,'caseload data'!$D:$D,"SPO",'caseload data'!$C:$C,'custody caseload'!$T$22,'caseload data'!$B:$B,"custody")</f>
        <v>0</v>
      </c>
      <c r="Y27" s="94">
        <f>SUMIFS('caseload data'!I:I,'caseload data'!$D:$D,"SPO",'caseload data'!$C:$C,'custody caseload'!$T$22,'caseload data'!$B:$B,"custody")</f>
        <v>0</v>
      </c>
      <c r="Z27" s="94">
        <f>SUMIFS('caseload data'!J:J,'caseload data'!$D:$D,"SPO",'caseload data'!$C:$C,'custody caseload'!$T$22,'caseload data'!$B:$B,"custody")</f>
        <v>0</v>
      </c>
      <c r="AA27" s="94">
        <f>SUMIFS('caseload data'!K:K,'caseload data'!$D:$D,"SPO",'caseload data'!$C:$C,'custody caseload'!$T$22,'caseload data'!$B:$B,"custody")</f>
        <v>0</v>
      </c>
      <c r="AB27" s="94">
        <f>SUMIFS('caseload data'!L:L,'caseload data'!$D:$D,"SPO",'caseload data'!$C:$C,'custody caseload'!$T$22,'caseload data'!$B:$B,"custody")</f>
        <v>0</v>
      </c>
      <c r="AC27" s="94">
        <f>SUMIFS('caseload data'!M:M,'caseload data'!$D:$D,"SPO",'caseload data'!$C:$C,'custody caseload'!$T$22,'caseload data'!$B:$B,"custody")</f>
        <v>0</v>
      </c>
      <c r="AD27" s="94">
        <f>SUMIFS('caseload data'!N:N,'caseload data'!$D:$D,"SPO",'caseload data'!$C:$C,'custody caseload'!$T$22,'caseload data'!$B:$B,"custody")</f>
        <v>0</v>
      </c>
      <c r="AE27" s="94">
        <f>SUMIFS('caseload data'!O:O,'caseload data'!$D:$D,"SPO",'caseload data'!$C:$C,'custody caseload'!$T$22,'caseload data'!$B:$B,"custody")</f>
        <v>0</v>
      </c>
      <c r="AF27" s="94">
        <f>SUMIFS('caseload data'!P:P,'caseload data'!$D:$D,"SPO",'caseload data'!$C:$C,'custody caseload'!$T$22,'caseload data'!$B:$B,"custody")</f>
        <v>0</v>
      </c>
      <c r="AG27" s="94">
        <f>SUMIFS('caseload data'!Q:Q,'caseload data'!$D:$D,"SPO",'caseload data'!$C:$C,'custody caseload'!$T$22,'caseload data'!$B:$B,"custody")</f>
        <v>0</v>
      </c>
      <c r="AH27" s="94">
        <f>SUMIFS('caseload data'!R:R,'caseload data'!$D:$D,"SPO",'caseload data'!$C:$C,'custody caseload'!$T$22,'caseload data'!$B:$B,"custody")</f>
        <v>0</v>
      </c>
      <c r="AI27" s="94">
        <f>SUMIFS('caseload data'!S:S,'caseload data'!$D:$D,"SPO",'caseload data'!$C:$C,'custody caseload'!$T$22,'caseload data'!$B:$B,"custody")</f>
        <v>0</v>
      </c>
      <c r="AJ27" s="94">
        <f>SUMIFS('caseload data'!T:T,'caseload data'!$D:$D,"SPO",'caseload data'!$C:$C,'custody caseload'!$T$22,'caseload data'!$B:$B,"custody")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142" t="str">
        <f>HLOOKUP($B$5,Region_Table,8,0)</f>
        <v>Nottinghamshire - N53</v>
      </c>
      <c r="C29" s="523" t="s">
        <v>1131</v>
      </c>
      <c r="D29" s="524"/>
      <c r="E29" s="524"/>
      <c r="F29" s="524"/>
      <c r="G29" s="524"/>
      <c r="H29" s="524"/>
      <c r="I29" s="524"/>
      <c r="J29" s="524"/>
      <c r="K29" s="524"/>
      <c r="L29" s="524"/>
      <c r="M29" s="533"/>
      <c r="N29" s="533"/>
      <c r="O29" s="534"/>
      <c r="P29" s="510">
        <f>SUMIFS('caseload data'!V:V,'caseload data'!B:B,"custody",'caseload data'!$C:$C,'custody caseload'!B29)</f>
        <v>0</v>
      </c>
      <c r="Q29" s="527"/>
      <c r="R29" s="528"/>
      <c r="S29" s="64"/>
      <c r="T29" s="142" t="str">
        <f>HLOOKUP($B$5,Region_Table,9,0)</f>
        <v>Unpaid Work and Attendance Centres - N53</v>
      </c>
      <c r="U29" s="523" t="s">
        <v>1131</v>
      </c>
      <c r="V29" s="524"/>
      <c r="W29" s="524"/>
      <c r="X29" s="524"/>
      <c r="Y29" s="524"/>
      <c r="Z29" s="524"/>
      <c r="AA29" s="524"/>
      <c r="AB29" s="524"/>
      <c r="AC29" s="524"/>
      <c r="AD29" s="524"/>
      <c r="AE29" s="533"/>
      <c r="AF29" s="533"/>
      <c r="AG29" s="534"/>
      <c r="AH29" s="510">
        <f>SUMIFS('caseload data'!V:V,'caseload data'!B:B,"custody",'caseload data'!$C:$C,'custody caseload'!T29)</f>
        <v>0</v>
      </c>
      <c r="AI29" s="527"/>
      <c r="AJ29" s="528"/>
    </row>
    <row r="30" spans="2:36" x14ac:dyDescent="0.15">
      <c r="B30" s="95" t="s">
        <v>1006</v>
      </c>
      <c r="C30" s="38" t="s">
        <v>869</v>
      </c>
      <c r="D30" s="38" t="s">
        <v>870</v>
      </c>
      <c r="E30" s="38" t="s">
        <v>871</v>
      </c>
      <c r="F30" s="38" t="s">
        <v>872</v>
      </c>
      <c r="G30" s="38" t="s">
        <v>873</v>
      </c>
      <c r="H30" s="38" t="s">
        <v>874</v>
      </c>
      <c r="I30" s="38" t="s">
        <v>875</v>
      </c>
      <c r="J30" s="38" t="s">
        <v>876</v>
      </c>
      <c r="K30" s="38" t="s">
        <v>877</v>
      </c>
      <c r="L30" s="38" t="s">
        <v>878</v>
      </c>
      <c r="M30" s="38" t="s">
        <v>879</v>
      </c>
      <c r="N30" s="38" t="s">
        <v>880</v>
      </c>
      <c r="O30" s="38" t="s">
        <v>881</v>
      </c>
      <c r="P30" s="38" t="s">
        <v>882</v>
      </c>
      <c r="Q30" s="38" t="s">
        <v>883</v>
      </c>
      <c r="R30" s="38" t="s">
        <v>884</v>
      </c>
      <c r="S30" s="64"/>
      <c r="T30" s="95" t="s">
        <v>1006</v>
      </c>
      <c r="U30" s="38" t="s">
        <v>869</v>
      </c>
      <c r="V30" s="38" t="s">
        <v>870</v>
      </c>
      <c r="W30" s="38" t="s">
        <v>871</v>
      </c>
      <c r="X30" s="38" t="s">
        <v>872</v>
      </c>
      <c r="Y30" s="38" t="s">
        <v>873</v>
      </c>
      <c r="Z30" s="38" t="s">
        <v>874</v>
      </c>
      <c r="AA30" s="38" t="s">
        <v>875</v>
      </c>
      <c r="AB30" s="38" t="s">
        <v>876</v>
      </c>
      <c r="AC30" s="38" t="s">
        <v>877</v>
      </c>
      <c r="AD30" s="38" t="s">
        <v>878</v>
      </c>
      <c r="AE30" s="38" t="s">
        <v>879</v>
      </c>
      <c r="AF30" s="38" t="s">
        <v>880</v>
      </c>
      <c r="AG30" s="38" t="s">
        <v>881</v>
      </c>
      <c r="AH30" s="38" t="s">
        <v>882</v>
      </c>
      <c r="AI30" s="38" t="s">
        <v>883</v>
      </c>
      <c r="AJ30" s="38" t="s">
        <v>884</v>
      </c>
    </row>
    <row r="31" spans="2:36" x14ac:dyDescent="0.15">
      <c r="B31" s="96" t="s">
        <v>1002</v>
      </c>
      <c r="C31" s="94">
        <f>SUMIFS('caseload data'!E:E,'caseload data'!$D:$D,"PO",'caseload data'!$C:$C,'custody caseload'!$B$29,'caseload data'!$B:$B,"custody")</f>
        <v>0</v>
      </c>
      <c r="D31" s="94">
        <f>SUMIFS('caseload data'!F:F,'caseload data'!$D:$D,"PO",'caseload data'!$C:$C,'custody caseload'!$B$29,'caseload data'!$B:$B,"custody")</f>
        <v>0</v>
      </c>
      <c r="E31" s="94">
        <f>SUMIFS('caseload data'!G:G,'caseload data'!$D:$D,"PO",'caseload data'!$C:$C,'custody caseload'!$B$29,'caseload data'!$B:$B,"custody")</f>
        <v>0</v>
      </c>
      <c r="F31" s="94">
        <f>SUMIFS('caseload data'!H:H,'caseload data'!$D:$D,"PO",'caseload data'!$C:$C,'custody caseload'!$B$29,'caseload data'!$B:$B,"custody")</f>
        <v>0</v>
      </c>
      <c r="G31" s="94">
        <f>SUMIFS('caseload data'!I:I,'caseload data'!$D:$D,"PO",'caseload data'!$C:$C,'custody caseload'!$B$29,'caseload data'!$B:$B,"custody")</f>
        <v>0</v>
      </c>
      <c r="H31" s="94">
        <f>SUMIFS('caseload data'!J:J,'caseload data'!$D:$D,"PO",'caseload data'!$C:$C,'custody caseload'!$B$29,'caseload data'!$B:$B,"custody")</f>
        <v>0</v>
      </c>
      <c r="I31" s="94">
        <f>SUMIFS('caseload data'!K:K,'caseload data'!$D:$D,"PO",'caseload data'!$C:$C,'custody caseload'!$B$29,'caseload data'!$B:$B,"custody")</f>
        <v>0</v>
      </c>
      <c r="J31" s="94">
        <f>SUMIFS('caseload data'!L:L,'caseload data'!$D:$D,"PO",'caseload data'!$C:$C,'custody caseload'!$B$29,'caseload data'!$B:$B,"custody")</f>
        <v>0</v>
      </c>
      <c r="K31" s="94">
        <f>SUMIFS('caseload data'!M:M,'caseload data'!$D:$D,"PO",'caseload data'!$C:$C,'custody caseload'!$B$29,'caseload data'!$B:$B,"custody")</f>
        <v>0</v>
      </c>
      <c r="L31" s="94">
        <f>SUMIFS('caseload data'!N:N,'caseload data'!$D:$D,"PO",'caseload data'!$C:$C,'custody caseload'!$B$29,'caseload data'!$B:$B,"custody")</f>
        <v>0</v>
      </c>
      <c r="M31" s="94">
        <f>SUMIFS('caseload data'!O:O,'caseload data'!$D:$D,"PO",'caseload data'!$C:$C,'custody caseload'!$B$29,'caseload data'!$B:$B,"custody")</f>
        <v>0</v>
      </c>
      <c r="N31" s="94">
        <f>SUMIFS('caseload data'!P:P,'caseload data'!$D:$D,"PO",'caseload data'!$C:$C,'custody caseload'!$B$29,'caseload data'!$B:$B,"custody")</f>
        <v>0</v>
      </c>
      <c r="O31" s="94">
        <f>SUMIFS('caseload data'!Q:Q,'caseload data'!$D:$D,"PO",'caseload data'!$C:$C,'custody caseload'!$B$29,'caseload data'!$B:$B,"custody")</f>
        <v>0</v>
      </c>
      <c r="P31" s="94">
        <f>SUMIFS('caseload data'!R:R,'caseload data'!$D:$D,"PO",'caseload data'!$C:$C,'custody caseload'!$B$29,'caseload data'!$B:$B,"custody")</f>
        <v>0</v>
      </c>
      <c r="Q31" s="94">
        <f>SUMIFS('caseload data'!S:S,'caseload data'!$D:$D,"PO",'caseload data'!$C:$C,'custody caseload'!$B$29,'caseload data'!$B:$B,"custody")</f>
        <v>0</v>
      </c>
      <c r="R31" s="94">
        <f>SUMIFS('caseload data'!T:T,'caseload data'!$D:$D,"PO",'caseload data'!$C:$C,'custody caseload'!$B$29,'caseload data'!$B:$B,"custody")</f>
        <v>0</v>
      </c>
      <c r="S31" s="64"/>
      <c r="T31" s="96" t="s">
        <v>1002</v>
      </c>
      <c r="U31" s="94">
        <f>SUMIFS('caseload data'!E:E,'caseload data'!$D:$D,"PO",'caseload data'!$C:$C,'custody caseload'!$T$29,'caseload data'!$B:$B,"custody")</f>
        <v>0</v>
      </c>
      <c r="V31" s="94">
        <f>SUMIFS('caseload data'!F:F,'caseload data'!$D:$D,"PO",'caseload data'!$C:$C,'custody caseload'!$T$29,'caseload data'!$B:$B,"custody")</f>
        <v>0</v>
      </c>
      <c r="W31" s="94">
        <f>SUMIFS('caseload data'!G:G,'caseload data'!$D:$D,"PO",'caseload data'!$C:$C,'custody caseload'!$T$29,'caseload data'!$B:$B,"custody")</f>
        <v>0</v>
      </c>
      <c r="X31" s="94">
        <f>SUMIFS('caseload data'!H:H,'caseload data'!$D:$D,"PO",'caseload data'!$C:$C,'custody caseload'!$T$29,'caseload data'!$B:$B,"custody")</f>
        <v>0</v>
      </c>
      <c r="Y31" s="94">
        <f>SUMIFS('caseload data'!I:I,'caseload data'!$D:$D,"PO",'caseload data'!$C:$C,'custody caseload'!$T$29,'caseload data'!$B:$B,"custody")</f>
        <v>0</v>
      </c>
      <c r="Z31" s="94">
        <f>SUMIFS('caseload data'!J:J,'caseload data'!$D:$D,"PO",'caseload data'!$C:$C,'custody caseload'!$T$29,'caseload data'!$B:$B,"custody")</f>
        <v>0</v>
      </c>
      <c r="AA31" s="94">
        <f>SUMIFS('caseload data'!K:K,'caseload data'!$D:$D,"PO",'caseload data'!$C:$C,'custody caseload'!$T$29,'caseload data'!$B:$B,"custody")</f>
        <v>0</v>
      </c>
      <c r="AB31" s="94">
        <f>SUMIFS('caseload data'!L:L,'caseload data'!$D:$D,"PO",'caseload data'!$C:$C,'custody caseload'!$T$29,'caseload data'!$B:$B,"custody")</f>
        <v>0</v>
      </c>
      <c r="AC31" s="94">
        <f>SUMIFS('caseload data'!M:M,'caseload data'!$D:$D,"PO",'caseload data'!$C:$C,'custody caseload'!$T$29,'caseload data'!$B:$B,"custody")</f>
        <v>0</v>
      </c>
      <c r="AD31" s="94">
        <f>SUMIFS('caseload data'!N:N,'caseload data'!$D:$D,"PO",'caseload data'!$C:$C,'custody caseload'!$T$29,'caseload data'!$B:$B,"custody")</f>
        <v>0</v>
      </c>
      <c r="AE31" s="94">
        <f>SUMIFS('caseload data'!O:O,'caseload data'!$D:$D,"PO",'caseload data'!$C:$C,'custody caseload'!$T$29,'caseload data'!$B:$B,"custody")</f>
        <v>0</v>
      </c>
      <c r="AF31" s="94">
        <f>SUMIFS('caseload data'!P:P,'caseload data'!$D:$D,"PO",'caseload data'!$C:$C,'custody caseload'!$T$29,'caseload data'!$B:$B,"custody")</f>
        <v>0</v>
      </c>
      <c r="AG31" s="94">
        <f>SUMIFS('caseload data'!Q:Q,'caseload data'!$D:$D,"PO",'caseload data'!$C:$C,'custody caseload'!$T$29,'caseload data'!$B:$B,"custody")</f>
        <v>0</v>
      </c>
      <c r="AH31" s="94">
        <f>SUMIFS('caseload data'!R:R,'caseload data'!$D:$D,"PO",'caseload data'!$C:$C,'custody caseload'!$T$29,'caseload data'!$B:$B,"custody")</f>
        <v>0</v>
      </c>
      <c r="AI31" s="94">
        <f>SUMIFS('caseload data'!S:S,'caseload data'!$D:$D,"PO",'caseload data'!$C:$C,'custody caseload'!$T$29,'caseload data'!$B:$B,"custody")</f>
        <v>0</v>
      </c>
      <c r="AJ31" s="94">
        <f>SUMIFS('caseload data'!T:T,'caseload data'!$D:$D,"PO",'caseload data'!$C:$C,'custody caseload'!$T$29,'caseload data'!$B:$B,"custody")</f>
        <v>0</v>
      </c>
    </row>
    <row r="32" spans="2:36" ht="15" x14ac:dyDescent="0.2">
      <c r="B32" s="97" t="s">
        <v>1007</v>
      </c>
      <c r="C32" s="145">
        <f>SUMIFS('caseload data'!E:E,'caseload data'!$D:$D,"PSO",'caseload data'!$C:$C,'custody caseload'!$B$29,'caseload data'!$B:$B,"custody")</f>
        <v>0</v>
      </c>
      <c r="D32" s="145">
        <f>SUMIFS('caseload data'!F:F,'caseload data'!$D:$D,"PSO",'caseload data'!$C:$C,'custody caseload'!$B$29,'caseload data'!$B:$B,"custody")</f>
        <v>0</v>
      </c>
      <c r="E32" s="145">
        <f>SUMIFS('caseload data'!G:G,'caseload data'!$D:$D,"PSO",'caseload data'!$C:$C,'custody caseload'!$B$29,'caseload data'!$B:$B,"custody")</f>
        <v>0</v>
      </c>
      <c r="F32" s="145">
        <f>SUMIFS('caseload data'!H:H,'caseload data'!$D:$D,"PSO",'caseload data'!$C:$C,'custody caseload'!$B$29,'caseload data'!$B:$B,"custody")</f>
        <v>0</v>
      </c>
      <c r="G32" s="145">
        <f>SUMIFS('caseload data'!I:I,'caseload data'!$D:$D,"PSO",'caseload data'!$C:$C,'custody caseload'!$B$29,'caseload data'!$B:$B,"custody")</f>
        <v>0</v>
      </c>
      <c r="H32" s="145">
        <f>SUMIFS('caseload data'!J:J,'caseload data'!$D:$D,"PSO",'caseload data'!$C:$C,'custody caseload'!$B$29,'caseload data'!$B:$B,"custody")</f>
        <v>0</v>
      </c>
      <c r="I32" s="145">
        <f>SUMIFS('caseload data'!K:K,'caseload data'!$D:$D,"PSO",'caseload data'!$C:$C,'custody caseload'!$B$29,'caseload data'!$B:$B,"custody")</f>
        <v>0</v>
      </c>
      <c r="J32" s="145">
        <f>SUMIFS('caseload data'!L:L,'caseload data'!$D:$D,"PSO",'caseload data'!$C:$C,'custody caseload'!$B$29,'caseload data'!$B:$B,"custody")</f>
        <v>0</v>
      </c>
      <c r="K32" s="94">
        <f>SUMIFS('caseload data'!M:M,'caseload data'!$D:$D,"PSO",'caseload data'!$C:$C,'custody caseload'!$B$29,'caseload data'!$B:$B,"custody")</f>
        <v>0</v>
      </c>
      <c r="L32" s="94">
        <f>SUMIFS('caseload data'!N:N,'caseload data'!$D:$D,"PSO",'caseload data'!$C:$C,'custody caseload'!$B$29,'caseload data'!$B:$B,"custody")</f>
        <v>0</v>
      </c>
      <c r="M32" s="94">
        <f>SUMIFS('caseload data'!O:O,'caseload data'!$D:$D,"PSO",'caseload data'!$C:$C,'custody caseload'!$B$29,'caseload data'!$B:$B,"custody")</f>
        <v>0</v>
      </c>
      <c r="N32" s="94">
        <f>SUMIFS('caseload data'!P:P,'caseload data'!$D:$D,"PSO",'caseload data'!$C:$C,'custody caseload'!$B$29,'caseload data'!$B:$B,"custody")</f>
        <v>0</v>
      </c>
      <c r="O32" s="94">
        <f>SUMIFS('caseload data'!Q:Q,'caseload data'!$D:$D,"PSO",'caseload data'!$C:$C,'custody caseload'!$B$29,'caseload data'!$B:$B,"custody")</f>
        <v>0</v>
      </c>
      <c r="P32" s="94">
        <f>SUMIFS('caseload data'!R:R,'caseload data'!$D:$D,"PSO",'caseload data'!$C:$C,'custody caseload'!$B$29,'caseload data'!$B:$B,"custody")</f>
        <v>0</v>
      </c>
      <c r="Q32" s="94">
        <f>SUMIFS('caseload data'!S:S,'caseload data'!$D:$D,"PSO",'caseload data'!$C:$C,'custody caseload'!$B$29,'caseload data'!$B:$B,"custody")</f>
        <v>0</v>
      </c>
      <c r="R32" s="94">
        <f>SUMIFS('caseload data'!T:T,'caseload data'!$D:$D,"PSO",'caseload data'!$C:$C,'custody caseload'!$B$29,'caseload data'!$B:$B,"custody")</f>
        <v>0</v>
      </c>
      <c r="S32" s="64"/>
      <c r="T32" s="97" t="s">
        <v>1007</v>
      </c>
      <c r="U32" s="145">
        <f>SUMIFS('caseload data'!E:E,'caseload data'!$D:$D,"PSO",'caseload data'!$C:$C,'custody caseload'!$T$29,'caseload data'!$B:$B,"custody")</f>
        <v>0</v>
      </c>
      <c r="V32" s="145">
        <f>SUMIFS('caseload data'!F:F,'caseload data'!$D:$D,"PSO",'caseload data'!$C:$C,'custody caseload'!$T$29,'caseload data'!$B:$B,"custody")</f>
        <v>0</v>
      </c>
      <c r="W32" s="145">
        <f>SUMIFS('caseload data'!G:G,'caseload data'!$D:$D,"PSO",'caseload data'!$C:$C,'custody caseload'!$T$29,'caseload data'!$B:$B,"custody")</f>
        <v>0</v>
      </c>
      <c r="X32" s="145">
        <f>SUMIFS('caseload data'!H:H,'caseload data'!$D:$D,"PSO",'caseload data'!$C:$C,'custody caseload'!$T$29,'caseload data'!$B:$B,"custody")</f>
        <v>0</v>
      </c>
      <c r="Y32" s="145">
        <f>SUMIFS('caseload data'!I:I,'caseload data'!$D:$D,"PSO",'caseload data'!$C:$C,'custody caseload'!$T$29,'caseload data'!$B:$B,"custody")</f>
        <v>0</v>
      </c>
      <c r="Z32" s="145">
        <f>SUMIFS('caseload data'!J:J,'caseload data'!$D:$D,"PSO",'caseload data'!$C:$C,'custody caseload'!$T$29,'caseload data'!$B:$B,"custody")</f>
        <v>0</v>
      </c>
      <c r="AA32" s="145">
        <f>SUMIFS('caseload data'!K:K,'caseload data'!$D:$D,"PSO",'caseload data'!$C:$C,'custody caseload'!$T$29,'caseload data'!$B:$B,"custody")</f>
        <v>0</v>
      </c>
      <c r="AB32" s="145">
        <f>SUMIFS('caseload data'!L:L,'caseload data'!$D:$D,"PSO",'caseload data'!$C:$C,'custody caseload'!$T$29,'caseload data'!$B:$B,"custody")</f>
        <v>0</v>
      </c>
      <c r="AC32" s="94">
        <f>SUMIFS('caseload data'!M:M,'caseload data'!$D:$D,"PSO",'caseload data'!$C:$C,'custody caseload'!$T$29,'caseload data'!$B:$B,"custody")</f>
        <v>0</v>
      </c>
      <c r="AD32" s="94">
        <f>SUMIFS('caseload data'!N:N,'caseload data'!$D:$D,"PSO",'caseload data'!$C:$C,'custody caseload'!$T$29,'caseload data'!$B:$B,"custody")</f>
        <v>0</v>
      </c>
      <c r="AE32" s="94">
        <f>SUMIFS('caseload data'!O:O,'caseload data'!$D:$D,"PSO",'caseload data'!$C:$C,'custody caseload'!$T$29,'caseload data'!$B:$B,"custody")</f>
        <v>0</v>
      </c>
      <c r="AF32" s="94">
        <f>SUMIFS('caseload data'!P:P,'caseload data'!$D:$D,"PSO",'caseload data'!$C:$C,'custody caseload'!$T$29,'caseload data'!$B:$B,"custody")</f>
        <v>0</v>
      </c>
      <c r="AG32" s="94">
        <f>SUMIFS('caseload data'!Q:Q,'caseload data'!$D:$D,"PSO",'caseload data'!$C:$C,'custody caseload'!$T$29,'caseload data'!$B:$B,"custody")</f>
        <v>0</v>
      </c>
      <c r="AH32" s="94">
        <f>SUMIFS('caseload data'!R:R,'caseload data'!$D:$D,"PSO",'caseload data'!$C:$C,'custody caseload'!$T$29,'caseload data'!$B:$B,"custody")</f>
        <v>0</v>
      </c>
      <c r="AI32" s="94">
        <f>SUMIFS('caseload data'!S:S,'caseload data'!$D:$D,"PSO",'caseload data'!$C:$C,'custody caseload'!$T$29,'caseload data'!$B:$B,"custody")</f>
        <v>0</v>
      </c>
      <c r="AJ32" s="94">
        <f>SUMIFS('caseload data'!T:T,'caseload data'!$D:$D,"PSO",'caseload data'!$C:$C,'custody caseload'!$T$29,'caseload data'!$B:$B,"custody")</f>
        <v>0</v>
      </c>
    </row>
    <row r="33" spans="2:36" ht="15" x14ac:dyDescent="0.2">
      <c r="B33" s="97" t="s">
        <v>1008</v>
      </c>
      <c r="C33" s="145">
        <f>SUMIFS('caseload data'!E:E,'caseload data'!$D:$D,"TPO",'caseload data'!$C:$C,'custody caseload'!$B$29,'caseload data'!$B:$B,"custody")</f>
        <v>0</v>
      </c>
      <c r="D33" s="145">
        <f>SUMIFS('caseload data'!F:F,'caseload data'!$D:$D,"TPO",'caseload data'!$C:$C,'custody caseload'!$B$29,'caseload data'!$B:$B,"custody")</f>
        <v>0</v>
      </c>
      <c r="E33" s="145">
        <f>SUMIFS('caseload data'!G:G,'caseload data'!$D:$D,"TPO",'caseload data'!$C:$C,'custody caseload'!$B$29,'caseload data'!$B:$B,"custody")</f>
        <v>0</v>
      </c>
      <c r="F33" s="145">
        <f>SUMIFS('caseload data'!H:H,'caseload data'!$D:$D,"TPO",'caseload data'!$C:$C,'custody caseload'!$B$29,'caseload data'!$B:$B,"custody")</f>
        <v>0</v>
      </c>
      <c r="G33" s="145">
        <f>SUMIFS('caseload data'!I:I,'caseload data'!$D:$D,"TPO",'caseload data'!$C:$C,'custody caseload'!$B$29,'caseload data'!$B:$B,"custody")</f>
        <v>0</v>
      </c>
      <c r="H33" s="145">
        <f>SUMIFS('caseload data'!J:J,'caseload data'!$D:$D,"TPO",'caseload data'!$C:$C,'custody caseload'!$B$29,'caseload data'!$B:$B,"custody")</f>
        <v>0</v>
      </c>
      <c r="I33" s="145">
        <f>SUMIFS('caseload data'!K:K,'caseload data'!$D:$D,"TPO",'caseload data'!$C:$C,'custody caseload'!$B$29,'caseload data'!$B:$B,"custody")</f>
        <v>0</v>
      </c>
      <c r="J33" s="145">
        <f>SUMIFS('caseload data'!L:L,'caseload data'!$D:$D,"TPO",'caseload data'!$C:$C,'custody caseload'!$B$29,'caseload data'!$B:$B,"custody")</f>
        <v>0</v>
      </c>
      <c r="K33" s="94">
        <f>SUMIFS('caseload data'!M:M,'caseload data'!$D:$D,"TPO",'caseload data'!$C:$C,'custody caseload'!$B$29,'caseload data'!$B:$B,"custody")</f>
        <v>0</v>
      </c>
      <c r="L33" s="94">
        <f>SUMIFS('caseload data'!N:N,'caseload data'!$D:$D,"TPO",'caseload data'!$C:$C,'custody caseload'!$B$29,'caseload data'!$B:$B,"custody")</f>
        <v>0</v>
      </c>
      <c r="M33" s="94">
        <f>SUMIFS('caseload data'!O:O,'caseload data'!$D:$D,"TPO",'caseload data'!$C:$C,'custody caseload'!$B$29,'caseload data'!$B:$B,"custody")</f>
        <v>0</v>
      </c>
      <c r="N33" s="94">
        <f>SUMIFS('caseload data'!P:P,'caseload data'!$D:$D,"TPO",'caseload data'!$C:$C,'custody caseload'!$B$29,'caseload data'!$B:$B,"custody")</f>
        <v>0</v>
      </c>
      <c r="O33" s="94">
        <f>SUMIFS('caseload data'!Q:Q,'caseload data'!$D:$D,"TPO",'caseload data'!$C:$C,'custody caseload'!$B$29,'caseload data'!$B:$B,"custody")</f>
        <v>0</v>
      </c>
      <c r="P33" s="94">
        <f>SUMIFS('caseload data'!R:R,'caseload data'!$D:$D,"TPO",'caseload data'!$C:$C,'custody caseload'!$B$29,'caseload data'!$B:$B,"custody")</f>
        <v>0</v>
      </c>
      <c r="Q33" s="94">
        <f>SUMIFS('caseload data'!S:S,'caseload data'!$D:$D,"TPO",'caseload data'!$C:$C,'custody caseload'!$B$29,'caseload data'!$B:$B,"custody")</f>
        <v>0</v>
      </c>
      <c r="R33" s="94">
        <f>SUMIFS('caseload data'!T:T,'caseload data'!$D:$D,"TPO",'caseload data'!$C:$C,'custody caseload'!$B$29,'caseload data'!$B:$B,"custody")</f>
        <v>0</v>
      </c>
      <c r="S33" s="64"/>
      <c r="T33" s="97" t="s">
        <v>1008</v>
      </c>
      <c r="U33" s="145">
        <f>SUMIFS('caseload data'!E:E,'caseload data'!$D:$D,"TPO",'caseload data'!$C:$C,'custody caseload'!$T$29,'caseload data'!$B:$B,"custody")</f>
        <v>0</v>
      </c>
      <c r="V33" s="145">
        <f>SUMIFS('caseload data'!F:F,'caseload data'!$D:$D,"TPO",'caseload data'!$C:$C,'custody caseload'!$T$29,'caseload data'!$B:$B,"custody")</f>
        <v>0</v>
      </c>
      <c r="W33" s="145">
        <f>SUMIFS('caseload data'!G:G,'caseload data'!$D:$D,"TPO",'caseload data'!$C:$C,'custody caseload'!$T$29,'caseload data'!$B:$B,"custody")</f>
        <v>0</v>
      </c>
      <c r="X33" s="145">
        <f>SUMIFS('caseload data'!H:H,'caseload data'!$D:$D,"TPO",'caseload data'!$C:$C,'custody caseload'!$T$29,'caseload data'!$B:$B,"custody")</f>
        <v>0</v>
      </c>
      <c r="Y33" s="145">
        <f>SUMIFS('caseload data'!I:I,'caseload data'!$D:$D,"TPO",'caseload data'!$C:$C,'custody caseload'!$T$29,'caseload data'!$B:$B,"custody")</f>
        <v>0</v>
      </c>
      <c r="Z33" s="145">
        <f>SUMIFS('caseload data'!J:J,'caseload data'!$D:$D,"TPO",'caseload data'!$C:$C,'custody caseload'!$T$29,'caseload data'!$B:$B,"custody")</f>
        <v>0</v>
      </c>
      <c r="AA33" s="145">
        <f>SUMIFS('caseload data'!K:K,'caseload data'!$D:$D,"TPO",'caseload data'!$C:$C,'custody caseload'!$T$29,'caseload data'!$B:$B,"custody")</f>
        <v>0</v>
      </c>
      <c r="AB33" s="145">
        <f>SUMIFS('caseload data'!L:L,'caseload data'!$D:$D,"TPO",'caseload data'!$C:$C,'custody caseload'!$T$29,'caseload data'!$B:$B,"custody")</f>
        <v>0</v>
      </c>
      <c r="AC33" s="94">
        <f>SUMIFS('caseload data'!M:M,'caseload data'!$D:$D,"TPO",'caseload data'!$C:$C,'custody caseload'!$T$29,'caseload data'!$B:$B,"custody")</f>
        <v>0</v>
      </c>
      <c r="AD33" s="94">
        <f>SUMIFS('caseload data'!N:N,'caseload data'!$D:$D,"TPO",'caseload data'!$C:$C,'custody caseload'!$T$29,'caseload data'!$B:$B,"custody")</f>
        <v>0</v>
      </c>
      <c r="AE33" s="94">
        <f>SUMIFS('caseload data'!O:O,'caseload data'!$D:$D,"TPO",'caseload data'!$C:$C,'custody caseload'!$T$29,'caseload data'!$B:$B,"custody")</f>
        <v>0</v>
      </c>
      <c r="AF33" s="94">
        <f>SUMIFS('caseload data'!P:P,'caseload data'!$D:$D,"TPO",'caseload data'!$C:$C,'custody caseload'!$T$29,'caseload data'!$B:$B,"custody")</f>
        <v>0</v>
      </c>
      <c r="AG33" s="94">
        <f>SUMIFS('caseload data'!Q:Q,'caseload data'!$D:$D,"TPO",'caseload data'!$C:$C,'custody caseload'!$T$29,'caseload data'!$B:$B,"custody")</f>
        <v>0</v>
      </c>
      <c r="AH33" s="94">
        <f>SUMIFS('caseload data'!R:R,'caseload data'!$D:$D,"TPO",'caseload data'!$C:$C,'custody caseload'!$T$29,'caseload data'!$B:$B,"custody")</f>
        <v>0</v>
      </c>
      <c r="AI33" s="94">
        <f>SUMIFS('caseload data'!S:S,'caseload data'!$D:$D,"TPO",'caseload data'!$C:$C,'custody caseload'!$T$29,'caseload data'!$B:$B,"custody")</f>
        <v>0</v>
      </c>
      <c r="AJ33" s="94">
        <f>SUMIFS('caseload data'!T:T,'caseload data'!$D:$D,"TPO",'caseload data'!$C:$C,'custody caseload'!$T$29,'caseload data'!$B:$B,"custody")</f>
        <v>0</v>
      </c>
    </row>
    <row r="34" spans="2:36" x14ac:dyDescent="0.15">
      <c r="B34" s="98" t="s">
        <v>1009</v>
      </c>
      <c r="C34" s="94">
        <f>SUMIFS('caseload data'!E:E,'caseload data'!$D:$D,"SPO",'caseload data'!$C:$C,'custody caseload'!$B$29,'caseload data'!$B:$B,"custody")</f>
        <v>0</v>
      </c>
      <c r="D34" s="94">
        <f>SUMIFS('caseload data'!F:F,'caseload data'!$D:$D,"SPO",'caseload data'!$C:$C,'custody caseload'!$B$29,'caseload data'!$B:$B,"custody")</f>
        <v>0</v>
      </c>
      <c r="E34" s="94">
        <f>SUMIFS('caseload data'!G:G,'caseload data'!$D:$D,"SPO",'caseload data'!$C:$C,'custody caseload'!$B$29,'caseload data'!$B:$B,"custody")</f>
        <v>0</v>
      </c>
      <c r="F34" s="94">
        <f>SUMIFS('caseload data'!H:H,'caseload data'!$D:$D,"SPO",'caseload data'!$C:$C,'custody caseload'!$B$29,'caseload data'!$B:$B,"custody")</f>
        <v>0</v>
      </c>
      <c r="G34" s="94">
        <f>SUMIFS('caseload data'!I:I,'caseload data'!$D:$D,"SPO",'caseload data'!$C:$C,'custody caseload'!$B$29,'caseload data'!$B:$B,"custody")</f>
        <v>0</v>
      </c>
      <c r="H34" s="94">
        <f>SUMIFS('caseload data'!J:J,'caseload data'!$D:$D,"SPO",'caseload data'!$C:$C,'custody caseload'!$B$29,'caseload data'!$B:$B,"custody")</f>
        <v>0</v>
      </c>
      <c r="I34" s="94">
        <f>SUMIFS('caseload data'!K:K,'caseload data'!$D:$D,"SPO",'caseload data'!$C:$C,'custody caseload'!$B$29,'caseload data'!$B:$B,"custody")</f>
        <v>0</v>
      </c>
      <c r="J34" s="94">
        <f>SUMIFS('caseload data'!L:L,'caseload data'!$D:$D,"SPO",'caseload data'!$C:$C,'custody caseload'!$B$29,'caseload data'!$B:$B,"custody")</f>
        <v>0</v>
      </c>
      <c r="K34" s="94">
        <f>SUMIFS('caseload data'!M:M,'caseload data'!$D:$D,"SPO",'caseload data'!$C:$C,'custody caseload'!$B$29,'caseload data'!$B:$B,"custody")</f>
        <v>0</v>
      </c>
      <c r="L34" s="94">
        <f>SUMIFS('caseload data'!N:N,'caseload data'!$D:$D,"SPO",'caseload data'!$C:$C,'custody caseload'!$B$29,'caseload data'!$B:$B,"custody")</f>
        <v>0</v>
      </c>
      <c r="M34" s="94">
        <f>SUMIFS('caseload data'!O:O,'caseload data'!$D:$D,"SPO",'caseload data'!$C:$C,'custody caseload'!$B$29,'caseload data'!$B:$B,"custody")</f>
        <v>0</v>
      </c>
      <c r="N34" s="94">
        <f>SUMIFS('caseload data'!P:P,'caseload data'!$D:$D,"SPO",'caseload data'!$C:$C,'custody caseload'!$B$29,'caseload data'!$B:$B,"custody")</f>
        <v>0</v>
      </c>
      <c r="O34" s="94">
        <f>SUMIFS('caseload data'!Q:Q,'caseload data'!$D:$D,"SPO",'caseload data'!$C:$C,'custody caseload'!$B$29,'caseload data'!$B:$B,"custody")</f>
        <v>0</v>
      </c>
      <c r="P34" s="94">
        <f>SUMIFS('caseload data'!R:R,'caseload data'!$D:$D,"SPO",'caseload data'!$C:$C,'custody caseload'!$B$29,'caseload data'!$B:$B,"custody")</f>
        <v>0</v>
      </c>
      <c r="Q34" s="94">
        <f>SUMIFS('caseload data'!S:S,'caseload data'!$D:$D,"SPO",'caseload data'!$C:$C,'custody caseload'!$B$29,'caseload data'!$B:$B,"custody")</f>
        <v>0</v>
      </c>
      <c r="R34" s="94">
        <f>SUMIFS('caseload data'!T:T,'caseload data'!$D:$D,"SPO",'caseload data'!$C:$C,'custody caseload'!$B$29,'caseload data'!$B:$B,"custody")</f>
        <v>0</v>
      </c>
      <c r="S34" s="64"/>
      <c r="T34" s="98" t="s">
        <v>1009</v>
      </c>
      <c r="U34" s="94">
        <f>SUMIFS('caseload data'!E:E,'caseload data'!$D:$D,"SPO",'caseload data'!$C:$C,'custody caseload'!$T$29,'caseload data'!$B:$B,"custody")</f>
        <v>0</v>
      </c>
      <c r="V34" s="94">
        <f>SUMIFS('caseload data'!F:F,'caseload data'!$D:$D,"SPO",'caseload data'!$C:$C,'custody caseload'!$T$29,'caseload data'!$B:$B,"custody")</f>
        <v>0</v>
      </c>
      <c r="W34" s="94">
        <f>SUMIFS('caseload data'!G:G,'caseload data'!$D:$D,"SPO",'caseload data'!$C:$C,'custody caseload'!$T$29,'caseload data'!$B:$B,"custody")</f>
        <v>0</v>
      </c>
      <c r="X34" s="94">
        <f>SUMIFS('caseload data'!H:H,'caseload data'!$D:$D,"SPO",'caseload data'!$C:$C,'custody caseload'!$T$29,'caseload data'!$B:$B,"custody")</f>
        <v>0</v>
      </c>
      <c r="Y34" s="94">
        <f>SUMIFS('caseload data'!I:I,'caseload data'!$D:$D,"SPO",'caseload data'!$C:$C,'custody caseload'!$T$29,'caseload data'!$B:$B,"custody")</f>
        <v>0</v>
      </c>
      <c r="Z34" s="94">
        <f>SUMIFS('caseload data'!J:J,'caseload data'!$D:$D,"SPO",'caseload data'!$C:$C,'custody caseload'!$T$29,'caseload data'!$B:$B,"custody")</f>
        <v>0</v>
      </c>
      <c r="AA34" s="94">
        <f>SUMIFS('caseload data'!K:K,'caseload data'!$D:$D,"SPO",'caseload data'!$C:$C,'custody caseload'!$T$29,'caseload data'!$B:$B,"custody")</f>
        <v>0</v>
      </c>
      <c r="AB34" s="94">
        <f>SUMIFS('caseload data'!L:L,'caseload data'!$D:$D,"SPO",'caseload data'!$C:$C,'custody caseload'!$T$29,'caseload data'!$B:$B,"custody")</f>
        <v>0</v>
      </c>
      <c r="AC34" s="94">
        <f>SUMIFS('caseload data'!M:M,'caseload data'!$D:$D,"SPO",'caseload data'!$C:$C,'custody caseload'!$T$29,'caseload data'!$B:$B,"custody")</f>
        <v>0</v>
      </c>
      <c r="AD34" s="94">
        <f>SUMIFS('caseload data'!N:N,'caseload data'!$D:$D,"SPO",'caseload data'!$C:$C,'custody caseload'!$T$29,'caseload data'!$B:$B,"custody")</f>
        <v>0</v>
      </c>
      <c r="AE34" s="94">
        <f>SUMIFS('caseload data'!O:O,'caseload data'!$D:$D,"SPO",'caseload data'!$C:$C,'custody caseload'!$T$29,'caseload data'!$B:$B,"custody")</f>
        <v>0</v>
      </c>
      <c r="AF34" s="94">
        <f>SUMIFS('caseload data'!P:P,'caseload data'!$D:$D,"SPO",'caseload data'!$C:$C,'custody caseload'!$T$29,'caseload data'!$B:$B,"custody")</f>
        <v>0</v>
      </c>
      <c r="AG34" s="94">
        <f>SUMIFS('caseload data'!Q:Q,'caseload data'!$D:$D,"SPO",'caseload data'!$C:$C,'custody caseload'!$T$29,'caseload data'!$B:$B,"custody")</f>
        <v>0</v>
      </c>
      <c r="AH34" s="94">
        <f>SUMIFS('caseload data'!R:R,'caseload data'!$D:$D,"SPO",'caseload data'!$C:$C,'custody caseload'!$T$29,'caseload data'!$B:$B,"custody")</f>
        <v>0</v>
      </c>
      <c r="AI34" s="94">
        <f>SUMIFS('caseload data'!S:S,'caseload data'!$D:$D,"SPO",'caseload data'!$C:$C,'custody caseload'!$T$29,'caseload data'!$B:$B,"custody")</f>
        <v>0</v>
      </c>
      <c r="AJ34" s="94">
        <f>SUMIFS('caseload data'!T:T,'caseload data'!$D:$D,"SPO",'caseload data'!$C:$C,'custody caseload'!$T$29,'caseload data'!$B:$B,"custody")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142">
        <f>HLOOKUP($B$5,Region_Table,10,0)</f>
        <v>0</v>
      </c>
      <c r="C36" s="523" t="s">
        <v>1132</v>
      </c>
      <c r="D36" s="524"/>
      <c r="E36" s="524"/>
      <c r="F36" s="524"/>
      <c r="G36" s="524"/>
      <c r="H36" s="524"/>
      <c r="I36" s="524"/>
      <c r="J36" s="524"/>
      <c r="K36" s="524"/>
      <c r="L36" s="524"/>
      <c r="M36" s="533"/>
      <c r="N36" s="533"/>
      <c r="O36" s="534"/>
      <c r="P36" s="510">
        <f>SUMIFS('caseload data'!V:V,'caseload data'!B:B,"custody",'caseload data'!$C:$C,'custody caseload'!B36)</f>
        <v>0</v>
      </c>
      <c r="Q36" s="527"/>
      <c r="R36" s="528"/>
      <c r="S36" s="64"/>
      <c r="T36" s="142">
        <f>HLOOKUP($B$5,Region_Table,11,0)</f>
        <v>0</v>
      </c>
      <c r="U36" s="523" t="s">
        <v>1131</v>
      </c>
      <c r="V36" s="524"/>
      <c r="W36" s="524"/>
      <c r="X36" s="524"/>
      <c r="Y36" s="524"/>
      <c r="Z36" s="524"/>
      <c r="AA36" s="524"/>
      <c r="AB36" s="524"/>
      <c r="AC36" s="524"/>
      <c r="AD36" s="524"/>
      <c r="AE36" s="533"/>
      <c r="AF36" s="533"/>
      <c r="AG36" s="534"/>
      <c r="AH36" s="510">
        <f>SUMIFS('caseload data'!V:V,'caseload data'!B:B,"custody",'caseload data'!$C:$C,'custody caseload'!T36)</f>
        <v>0</v>
      </c>
      <c r="AI36" s="527"/>
      <c r="AJ36" s="528"/>
    </row>
    <row r="37" spans="2:36" x14ac:dyDescent="0.15">
      <c r="B37" s="95" t="s">
        <v>1006</v>
      </c>
      <c r="C37" s="38" t="s">
        <v>869</v>
      </c>
      <c r="D37" s="38" t="s">
        <v>870</v>
      </c>
      <c r="E37" s="38" t="s">
        <v>871</v>
      </c>
      <c r="F37" s="38" t="s">
        <v>872</v>
      </c>
      <c r="G37" s="38" t="s">
        <v>873</v>
      </c>
      <c r="H37" s="38" t="s">
        <v>874</v>
      </c>
      <c r="I37" s="38" t="s">
        <v>875</v>
      </c>
      <c r="J37" s="38" t="s">
        <v>876</v>
      </c>
      <c r="K37" s="38" t="s">
        <v>877</v>
      </c>
      <c r="L37" s="38" t="s">
        <v>878</v>
      </c>
      <c r="M37" s="38" t="s">
        <v>879</v>
      </c>
      <c r="N37" s="38" t="s">
        <v>880</v>
      </c>
      <c r="O37" s="38" t="s">
        <v>881</v>
      </c>
      <c r="P37" s="38" t="s">
        <v>882</v>
      </c>
      <c r="Q37" s="38" t="s">
        <v>883</v>
      </c>
      <c r="R37" s="38" t="s">
        <v>884</v>
      </c>
      <c r="S37" s="64"/>
      <c r="T37" s="95" t="s">
        <v>1006</v>
      </c>
      <c r="U37" s="38" t="s">
        <v>869</v>
      </c>
      <c r="V37" s="38" t="s">
        <v>870</v>
      </c>
      <c r="W37" s="38" t="s">
        <v>871</v>
      </c>
      <c r="X37" s="38" t="s">
        <v>872</v>
      </c>
      <c r="Y37" s="38" t="s">
        <v>873</v>
      </c>
      <c r="Z37" s="38" t="s">
        <v>874</v>
      </c>
      <c r="AA37" s="38" t="s">
        <v>875</v>
      </c>
      <c r="AB37" s="38" t="s">
        <v>876</v>
      </c>
      <c r="AC37" s="38" t="s">
        <v>877</v>
      </c>
      <c r="AD37" s="38" t="s">
        <v>878</v>
      </c>
      <c r="AE37" s="38" t="s">
        <v>879</v>
      </c>
      <c r="AF37" s="38" t="s">
        <v>880</v>
      </c>
      <c r="AG37" s="38" t="s">
        <v>881</v>
      </c>
      <c r="AH37" s="38" t="s">
        <v>882</v>
      </c>
      <c r="AI37" s="38" t="s">
        <v>883</v>
      </c>
      <c r="AJ37" s="38" t="s">
        <v>884</v>
      </c>
    </row>
    <row r="38" spans="2:36" x14ac:dyDescent="0.15">
      <c r="B38" s="96" t="s">
        <v>1002</v>
      </c>
      <c r="C38" s="94">
        <f>SUMIFS('caseload data'!E:E,'caseload data'!$D:$D,"PO",'caseload data'!$C:$C,'custody caseload'!$B$36,'caseload data'!$B:$B,"custody")</f>
        <v>0</v>
      </c>
      <c r="D38" s="94">
        <f>SUMIFS('caseload data'!F:F,'caseload data'!$D:$D,"PO",'caseload data'!$C:$C,'custody caseload'!$B$36,'caseload data'!$B:$B,"custody")</f>
        <v>0</v>
      </c>
      <c r="E38" s="94">
        <f>SUMIFS('caseload data'!G:G,'caseload data'!$D:$D,"PO",'caseload data'!$C:$C,'custody caseload'!$B$36,'caseload data'!$B:$B,"custody")</f>
        <v>0</v>
      </c>
      <c r="F38" s="94">
        <f>SUMIFS('caseload data'!H:H,'caseload data'!$D:$D,"PO",'caseload data'!$C:$C,'custody caseload'!$B$36,'caseload data'!$B:$B,"custody")</f>
        <v>0</v>
      </c>
      <c r="G38" s="94">
        <f>SUMIFS('caseload data'!I:I,'caseload data'!$D:$D,"PO",'caseload data'!$C:$C,'custody caseload'!$B$36,'caseload data'!$B:$B,"custody")</f>
        <v>0</v>
      </c>
      <c r="H38" s="94">
        <f>SUMIFS('caseload data'!J:J,'caseload data'!$D:$D,"PO",'caseload data'!$C:$C,'custody caseload'!$B$36,'caseload data'!$B:$B,"custody")</f>
        <v>0</v>
      </c>
      <c r="I38" s="94">
        <f>SUMIFS('caseload data'!K:K,'caseload data'!$D:$D,"PO",'caseload data'!$C:$C,'custody caseload'!$B$36,'caseload data'!$B:$B,"custody")</f>
        <v>0</v>
      </c>
      <c r="J38" s="94">
        <f>SUMIFS('caseload data'!L:L,'caseload data'!$D:$D,"PO",'caseload data'!$C:$C,'custody caseload'!$B$36,'caseload data'!$B:$B,"custody")</f>
        <v>0</v>
      </c>
      <c r="K38" s="94">
        <f>SUMIFS('caseload data'!M:M,'caseload data'!$D:$D,"PO",'caseload data'!$C:$C,'custody caseload'!$B$36,'caseload data'!$B:$B,"custody")</f>
        <v>0</v>
      </c>
      <c r="L38" s="94">
        <f>SUMIFS('caseload data'!N:N,'caseload data'!$D:$D,"PO",'caseload data'!$C:$C,'custody caseload'!$B$36,'caseload data'!$B:$B,"custody")</f>
        <v>0</v>
      </c>
      <c r="M38" s="94">
        <f>SUMIFS('caseload data'!O:O,'caseload data'!$D:$D,"PO",'caseload data'!$C:$C,'custody caseload'!$B$36,'caseload data'!$B:$B,"custody")</f>
        <v>0</v>
      </c>
      <c r="N38" s="94">
        <f>SUMIFS('caseload data'!P:P,'caseload data'!$D:$D,"PO",'caseload data'!$C:$C,'custody caseload'!$B$36,'caseload data'!$B:$B,"custody")</f>
        <v>0</v>
      </c>
      <c r="O38" s="94">
        <f>SUMIFS('caseload data'!Q:Q,'caseload data'!$D:$D,"PO",'caseload data'!$C:$C,'custody caseload'!$B$36,'caseload data'!$B:$B,"custody")</f>
        <v>0</v>
      </c>
      <c r="P38" s="94">
        <f>SUMIFS('caseload data'!R:R,'caseload data'!$D:$D,"PO",'caseload data'!$C:$C,'custody caseload'!$B$36,'caseload data'!$B:$B,"custody")</f>
        <v>0</v>
      </c>
      <c r="Q38" s="94">
        <f>SUMIFS('caseload data'!S:S,'caseload data'!$D:$D,"PO",'caseload data'!$C:$C,'custody caseload'!$B$36,'caseload data'!$B:$B,"custody")</f>
        <v>0</v>
      </c>
      <c r="R38" s="94">
        <f>SUMIFS('caseload data'!T:T,'caseload data'!$D:$D,"PO",'caseload data'!$C:$C,'custody caseload'!$B$36,'caseload data'!$B:$B,"custody")</f>
        <v>0</v>
      </c>
      <c r="S38" s="64"/>
      <c r="T38" s="96" t="s">
        <v>1002</v>
      </c>
      <c r="U38" s="94">
        <f>SUMIFS('caseload data'!E:E,'caseload data'!$D:$D,"PO",'caseload data'!$C:$C,'custody caseload'!$T$36,'caseload data'!$B:$B,"custody")</f>
        <v>0</v>
      </c>
      <c r="V38" s="94">
        <f>SUMIFS('caseload data'!F:F,'caseload data'!$D:$D,"PO",'caseload data'!$C:$C,'custody caseload'!$T$36,'caseload data'!$B:$B,"custody")</f>
        <v>0</v>
      </c>
      <c r="W38" s="94">
        <f>SUMIFS('caseload data'!G:G,'caseload data'!$D:$D,"PO",'caseload data'!$C:$C,'custody caseload'!$T$36,'caseload data'!$B:$B,"custody")</f>
        <v>0</v>
      </c>
      <c r="X38" s="94">
        <f>SUMIFS('caseload data'!H:H,'caseload data'!$D:$D,"PO",'caseload data'!$C:$C,'custody caseload'!$T$36,'caseload data'!$B:$B,"custody")</f>
        <v>0</v>
      </c>
      <c r="Y38" s="94">
        <f>SUMIFS('caseload data'!I:I,'caseload data'!$D:$D,"PO",'caseload data'!$C:$C,'custody caseload'!$T$36,'caseload data'!$B:$B,"custody")</f>
        <v>0</v>
      </c>
      <c r="Z38" s="94">
        <f>SUMIFS('caseload data'!J:J,'caseload data'!$D:$D,"PO",'caseload data'!$C:$C,'custody caseload'!$T$36,'caseload data'!$B:$B,"custody")</f>
        <v>0</v>
      </c>
      <c r="AA38" s="94">
        <f>SUMIFS('caseload data'!K:K,'caseload data'!$D:$D,"PO",'caseload data'!$C:$C,'custody caseload'!$T$36,'caseload data'!$B:$B,"custody")</f>
        <v>0</v>
      </c>
      <c r="AB38" s="94">
        <f>SUMIFS('caseload data'!L:L,'caseload data'!$D:$D,"PO",'caseload data'!$C:$C,'custody caseload'!$T$36,'caseload data'!$B:$B,"custody")</f>
        <v>0</v>
      </c>
      <c r="AC38" s="94">
        <f>SUMIFS('caseload data'!M:M,'caseload data'!$D:$D,"PO",'caseload data'!$C:$C,'custody caseload'!$T$36,'caseload data'!$B:$B,"custody")</f>
        <v>0</v>
      </c>
      <c r="AD38" s="94">
        <f>SUMIFS('caseload data'!N:N,'caseload data'!$D:$D,"PO",'caseload data'!$C:$C,'custody caseload'!$T$36,'caseload data'!$B:$B,"custody")</f>
        <v>0</v>
      </c>
      <c r="AE38" s="94">
        <f>SUMIFS('caseload data'!O:O,'caseload data'!$D:$D,"PO",'caseload data'!$C:$C,'custody caseload'!$T$36,'caseload data'!$B:$B,"custody")</f>
        <v>0</v>
      </c>
      <c r="AF38" s="94">
        <f>SUMIFS('caseload data'!P:P,'caseload data'!$D:$D,"PO",'caseload data'!$C:$C,'custody caseload'!$T$36,'caseload data'!$B:$B,"custody")</f>
        <v>0</v>
      </c>
      <c r="AG38" s="94">
        <f>SUMIFS('caseload data'!Q:Q,'caseload data'!$D:$D,"PO",'caseload data'!$C:$C,'custody caseload'!$T$36,'caseload data'!$B:$B,"custody")</f>
        <v>0</v>
      </c>
      <c r="AH38" s="94">
        <f>SUMIFS('caseload data'!R:R,'caseload data'!$D:$D,"PO",'caseload data'!$C:$C,'custody caseload'!$T$36,'caseload data'!$B:$B,"custody")</f>
        <v>0</v>
      </c>
      <c r="AI38" s="94">
        <f>SUMIFS('caseload data'!S:S,'caseload data'!$D:$D,"PO",'caseload data'!$C:$C,'custody caseload'!$T$36,'caseload data'!$B:$B,"custody")</f>
        <v>0</v>
      </c>
      <c r="AJ38" s="94">
        <f>SUMIFS('caseload data'!T:T,'caseload data'!$D:$D,"PO",'caseload data'!$C:$C,'custody caseload'!$T$36,'caseload data'!$B:$B,"custody")</f>
        <v>0</v>
      </c>
    </row>
    <row r="39" spans="2:36" ht="15" x14ac:dyDescent="0.2">
      <c r="B39" s="97" t="s">
        <v>1007</v>
      </c>
      <c r="C39" s="145">
        <f>SUMIFS('caseload data'!E:E,'caseload data'!$D:$D,"PSO",'caseload data'!$C:$C,'custody caseload'!$B$36,'caseload data'!$B:$B,"custody")</f>
        <v>0</v>
      </c>
      <c r="D39" s="145">
        <f>SUMIFS('caseload data'!F:F,'caseload data'!$D:$D,"PSO",'caseload data'!$C:$C,'custody caseload'!$B$36,'caseload data'!$B:$B,"custody")</f>
        <v>0</v>
      </c>
      <c r="E39" s="145">
        <f>SUMIFS('caseload data'!G:G,'caseload data'!$D:$D,"PSO",'caseload data'!$C:$C,'custody caseload'!$B$36,'caseload data'!$B:$B,"custody")</f>
        <v>0</v>
      </c>
      <c r="F39" s="145">
        <f>SUMIFS('caseload data'!H:H,'caseload data'!$D:$D,"PSO",'caseload data'!$C:$C,'custody caseload'!$B$36,'caseload data'!$B:$B,"custody")</f>
        <v>0</v>
      </c>
      <c r="G39" s="145">
        <f>SUMIFS('caseload data'!I:I,'caseload data'!$D:$D,"PSO",'caseload data'!$C:$C,'custody caseload'!$B$36,'caseload data'!$B:$B,"custody")</f>
        <v>0</v>
      </c>
      <c r="H39" s="145">
        <f>SUMIFS('caseload data'!J:J,'caseload data'!$D:$D,"PSO",'caseload data'!$C:$C,'custody caseload'!$B$36,'caseload data'!$B:$B,"custody")</f>
        <v>0</v>
      </c>
      <c r="I39" s="145">
        <f>SUMIFS('caseload data'!K:K,'caseload data'!$D:$D,"PSO",'caseload data'!$C:$C,'custody caseload'!$B$36,'caseload data'!$B:$B,"custody")</f>
        <v>0</v>
      </c>
      <c r="J39" s="145">
        <f>SUMIFS('caseload data'!L:L,'caseload data'!$D:$D,"PSO",'caseload data'!$C:$C,'custody caseload'!$B$36,'caseload data'!$B:$B,"custody")</f>
        <v>0</v>
      </c>
      <c r="K39" s="94">
        <f>SUMIFS('caseload data'!M:M,'caseload data'!$D:$D,"PSO",'caseload data'!$C:$C,'custody caseload'!$B$36,'caseload data'!$B:$B,"custody")</f>
        <v>0</v>
      </c>
      <c r="L39" s="94">
        <f>SUMIFS('caseload data'!N:N,'caseload data'!$D:$D,"PSO",'caseload data'!$C:$C,'custody caseload'!$B$36,'caseload data'!$B:$B,"custody")</f>
        <v>0</v>
      </c>
      <c r="M39" s="94">
        <f>SUMIFS('caseload data'!O:O,'caseload data'!$D:$D,"PSO",'caseload data'!$C:$C,'custody caseload'!$B$36,'caseload data'!$B:$B,"custody")</f>
        <v>0</v>
      </c>
      <c r="N39" s="94">
        <f>SUMIFS('caseload data'!P:P,'caseload data'!$D:$D,"PSO",'caseload data'!$C:$C,'custody caseload'!$B$36,'caseload data'!$B:$B,"custody")</f>
        <v>0</v>
      </c>
      <c r="O39" s="94">
        <f>SUMIFS('caseload data'!Q:Q,'caseload data'!$D:$D,"PSO",'caseload data'!$C:$C,'custody caseload'!$B$36,'caseload data'!$B:$B,"custody")</f>
        <v>0</v>
      </c>
      <c r="P39" s="94">
        <f>SUMIFS('caseload data'!R:R,'caseload data'!$D:$D,"PSO",'caseload data'!$C:$C,'custody caseload'!$B$36,'caseload data'!$B:$B,"custody")</f>
        <v>0</v>
      </c>
      <c r="Q39" s="94">
        <f>SUMIFS('caseload data'!S:S,'caseload data'!$D:$D,"PSO",'caseload data'!$C:$C,'custody caseload'!$B$36,'caseload data'!$B:$B,"custody")</f>
        <v>0</v>
      </c>
      <c r="R39" s="94">
        <f>SUMIFS('caseload data'!T:T,'caseload data'!$D:$D,"PSO",'caseload data'!$C:$C,'custody caseload'!$B$36,'caseload data'!$B:$B,"custody")</f>
        <v>0</v>
      </c>
      <c r="S39" s="64"/>
      <c r="T39" s="97" t="s">
        <v>1007</v>
      </c>
      <c r="U39" s="145">
        <f>SUMIFS('caseload data'!E:E,'caseload data'!$D:$D,"PSO",'caseload data'!$C:$C,'custody caseload'!$T$36,'caseload data'!$B:$B,"custody")</f>
        <v>0</v>
      </c>
      <c r="V39" s="145">
        <f>SUMIFS('caseload data'!F:F,'caseload data'!$D:$D,"PSO",'caseload data'!$C:$C,'custody caseload'!$T$36,'caseload data'!$B:$B,"custody")</f>
        <v>0</v>
      </c>
      <c r="W39" s="145">
        <f>SUMIFS('caseload data'!G:G,'caseload data'!$D:$D,"PSO",'caseload data'!$C:$C,'custody caseload'!$T$36,'caseload data'!$B:$B,"custody")</f>
        <v>0</v>
      </c>
      <c r="X39" s="145">
        <f>SUMIFS('caseload data'!H:H,'caseload data'!$D:$D,"PSO",'caseload data'!$C:$C,'custody caseload'!$T$36,'caseload data'!$B:$B,"custody")</f>
        <v>0</v>
      </c>
      <c r="Y39" s="145">
        <f>SUMIFS('caseload data'!I:I,'caseload data'!$D:$D,"PSO",'caseload data'!$C:$C,'custody caseload'!$T$36,'caseload data'!$B:$B,"custody")</f>
        <v>0</v>
      </c>
      <c r="Z39" s="145">
        <f>SUMIFS('caseload data'!J:J,'caseload data'!$D:$D,"PSO",'caseload data'!$C:$C,'custody caseload'!$T$36,'caseload data'!$B:$B,"custody")</f>
        <v>0</v>
      </c>
      <c r="AA39" s="145">
        <f>SUMIFS('caseload data'!K:K,'caseload data'!$D:$D,"PSO",'caseload data'!$C:$C,'custody caseload'!$T$36,'caseload data'!$B:$B,"custody")</f>
        <v>0</v>
      </c>
      <c r="AB39" s="145">
        <f>SUMIFS('caseload data'!L:L,'caseload data'!$D:$D,"PSO",'caseload data'!$C:$C,'custody caseload'!$T$36,'caseload data'!$B:$B,"custody")</f>
        <v>0</v>
      </c>
      <c r="AC39" s="94">
        <f>SUMIFS('caseload data'!M:M,'caseload data'!$D:$D,"PSO",'caseload data'!$C:$C,'custody caseload'!$T$36,'caseload data'!$B:$B,"custody")</f>
        <v>0</v>
      </c>
      <c r="AD39" s="94">
        <f>SUMIFS('caseload data'!N:N,'caseload data'!$D:$D,"PSO",'caseload data'!$C:$C,'custody caseload'!$T$36,'caseload data'!$B:$B,"custody")</f>
        <v>0</v>
      </c>
      <c r="AE39" s="94">
        <f>SUMIFS('caseload data'!O:O,'caseload data'!$D:$D,"PSO",'caseload data'!$C:$C,'custody caseload'!$T$36,'caseload data'!$B:$B,"custody")</f>
        <v>0</v>
      </c>
      <c r="AF39" s="94">
        <f>SUMIFS('caseload data'!P:P,'caseload data'!$D:$D,"PSO",'caseload data'!$C:$C,'custody caseload'!$T$36,'caseload data'!$B:$B,"custody")</f>
        <v>0</v>
      </c>
      <c r="AG39" s="94">
        <f>SUMIFS('caseload data'!Q:Q,'caseload data'!$D:$D,"PSO",'caseload data'!$C:$C,'custody caseload'!$T$36,'caseload data'!$B:$B,"custody")</f>
        <v>0</v>
      </c>
      <c r="AH39" s="94">
        <f>SUMIFS('caseload data'!R:R,'caseload data'!$D:$D,"PSO",'caseload data'!$C:$C,'custody caseload'!$T$36,'caseload data'!$B:$B,"custody")</f>
        <v>0</v>
      </c>
      <c r="AI39" s="94">
        <f>SUMIFS('caseload data'!S:S,'caseload data'!$D:$D,"PSO",'caseload data'!$C:$C,'custody caseload'!$T$36,'caseload data'!$B:$B,"custody")</f>
        <v>0</v>
      </c>
      <c r="AJ39" s="94">
        <f>SUMIFS('caseload data'!T:T,'caseload data'!$D:$D,"PSO",'caseload data'!$C:$C,'custody caseload'!$T$36,'caseload data'!$B:$B,"custody")</f>
        <v>0</v>
      </c>
    </row>
    <row r="40" spans="2:36" ht="15" x14ac:dyDescent="0.2">
      <c r="B40" s="97" t="s">
        <v>1008</v>
      </c>
      <c r="C40" s="145">
        <f>SUMIFS('caseload data'!E:E,'caseload data'!$D:$D,"TPO",'caseload data'!$C:$C,'custody caseload'!$B$36,'caseload data'!$B:$B,"custody")</f>
        <v>0</v>
      </c>
      <c r="D40" s="145">
        <f>SUMIFS('caseload data'!F:F,'caseload data'!$D:$D,"TPO",'caseload data'!$C:$C,'custody caseload'!$B$36,'caseload data'!$B:$B,"custody")</f>
        <v>0</v>
      </c>
      <c r="E40" s="145">
        <f>SUMIFS('caseload data'!G:G,'caseload data'!$D:$D,"TPO",'caseload data'!$C:$C,'custody caseload'!$B$36,'caseload data'!$B:$B,"custody")</f>
        <v>0</v>
      </c>
      <c r="F40" s="145">
        <f>SUMIFS('caseload data'!H:H,'caseload data'!$D:$D,"TPO",'caseload data'!$C:$C,'custody caseload'!$B$36,'caseload data'!$B:$B,"custody")</f>
        <v>0</v>
      </c>
      <c r="G40" s="145">
        <f>SUMIFS('caseload data'!I:I,'caseload data'!$D:$D,"TPO",'caseload data'!$C:$C,'custody caseload'!$B$36,'caseload data'!$B:$B,"custody")</f>
        <v>0</v>
      </c>
      <c r="H40" s="145">
        <f>SUMIFS('caseload data'!J:J,'caseload data'!$D:$D,"TPO",'caseload data'!$C:$C,'custody caseload'!$B$36,'caseload data'!$B:$B,"custody")</f>
        <v>0</v>
      </c>
      <c r="I40" s="145">
        <f>SUMIFS('caseload data'!K:K,'caseload data'!$D:$D,"TPO",'caseload data'!$C:$C,'custody caseload'!$B$36,'caseload data'!$B:$B,"custody")</f>
        <v>0</v>
      </c>
      <c r="J40" s="145">
        <f>SUMIFS('caseload data'!L:L,'caseload data'!$D:$D,"TPO",'caseload data'!$C:$C,'custody caseload'!$B$36,'caseload data'!$B:$B,"custody")</f>
        <v>0</v>
      </c>
      <c r="K40" s="94">
        <f>SUMIFS('caseload data'!M:M,'caseload data'!$D:$D,"TPO",'caseload data'!$C:$C,'custody caseload'!$B$36,'caseload data'!$B:$B,"custody")</f>
        <v>0</v>
      </c>
      <c r="L40" s="94">
        <f>SUMIFS('caseload data'!N:N,'caseload data'!$D:$D,"TPO",'caseload data'!$C:$C,'custody caseload'!$B$36,'caseload data'!$B:$B,"custody")</f>
        <v>0</v>
      </c>
      <c r="M40" s="94">
        <f>SUMIFS('caseload data'!O:O,'caseload data'!$D:$D,"TPO",'caseload data'!$C:$C,'custody caseload'!$B$36,'caseload data'!$B:$B,"custody")</f>
        <v>0</v>
      </c>
      <c r="N40" s="94">
        <f>SUMIFS('caseload data'!P:P,'caseload data'!$D:$D,"TPO",'caseload data'!$C:$C,'custody caseload'!$B$36,'caseload data'!$B:$B,"custody")</f>
        <v>0</v>
      </c>
      <c r="O40" s="94">
        <f>SUMIFS('caseload data'!Q:Q,'caseload data'!$D:$D,"TPO",'caseload data'!$C:$C,'custody caseload'!$B$36,'caseload data'!$B:$B,"custody")</f>
        <v>0</v>
      </c>
      <c r="P40" s="94">
        <f>SUMIFS('caseload data'!R:R,'caseload data'!$D:$D,"TPO",'caseload data'!$C:$C,'custody caseload'!$B$36,'caseload data'!$B:$B,"custody")</f>
        <v>0</v>
      </c>
      <c r="Q40" s="94">
        <f>SUMIFS('caseload data'!S:S,'caseload data'!$D:$D,"TPO",'caseload data'!$C:$C,'custody caseload'!$B$36,'caseload data'!$B:$B,"custody")</f>
        <v>0</v>
      </c>
      <c r="R40" s="94">
        <f>SUMIFS('caseload data'!T:T,'caseload data'!$D:$D,"TPO",'caseload data'!$C:$C,'custody caseload'!$B$36,'caseload data'!$B:$B,"custody")</f>
        <v>0</v>
      </c>
      <c r="S40" s="64"/>
      <c r="T40" s="97" t="s">
        <v>1008</v>
      </c>
      <c r="U40" s="145">
        <f>SUMIFS('caseload data'!E:E,'caseload data'!$D:$D,"TPO",'caseload data'!$C:$C,'custody caseload'!$T$36,'caseload data'!$B:$B,"custody")</f>
        <v>0</v>
      </c>
      <c r="V40" s="145">
        <f>SUMIFS('caseload data'!F:F,'caseload data'!$D:$D,"TPO",'caseload data'!$C:$C,'custody caseload'!$T$36,'caseload data'!$B:$B,"custody")</f>
        <v>0</v>
      </c>
      <c r="W40" s="145">
        <f>SUMIFS('caseload data'!G:G,'caseload data'!$D:$D,"TPO",'caseload data'!$C:$C,'custody caseload'!$T$36,'caseload data'!$B:$B,"custody")</f>
        <v>0</v>
      </c>
      <c r="X40" s="145">
        <f>SUMIFS('caseload data'!H:H,'caseload data'!$D:$D,"TPO",'caseload data'!$C:$C,'custody caseload'!$T$36,'caseload data'!$B:$B,"custody")</f>
        <v>0</v>
      </c>
      <c r="Y40" s="145">
        <f>SUMIFS('caseload data'!I:I,'caseload data'!$D:$D,"TPO",'caseload data'!$C:$C,'custody caseload'!$T$36,'caseload data'!$B:$B,"custody")</f>
        <v>0</v>
      </c>
      <c r="Z40" s="145">
        <f>SUMIFS('caseload data'!J:J,'caseload data'!$D:$D,"TPO",'caseload data'!$C:$C,'custody caseload'!$T$36,'caseload data'!$B:$B,"custody")</f>
        <v>0</v>
      </c>
      <c r="AA40" s="145">
        <f>SUMIFS('caseload data'!K:K,'caseload data'!$D:$D,"TPO",'caseload data'!$C:$C,'custody caseload'!$T$36,'caseload data'!$B:$B,"custody")</f>
        <v>0</v>
      </c>
      <c r="AB40" s="145">
        <f>SUMIFS('caseload data'!L:L,'caseload data'!$D:$D,"TPO",'caseload data'!$C:$C,'custody caseload'!$T$36,'caseload data'!$B:$B,"custody")</f>
        <v>0</v>
      </c>
      <c r="AC40" s="94">
        <f>SUMIFS('caseload data'!M:M,'caseload data'!$D:$D,"TPO",'caseload data'!$C:$C,'custody caseload'!$T$36,'caseload data'!$B:$B,"custody")</f>
        <v>0</v>
      </c>
      <c r="AD40" s="94">
        <f>SUMIFS('caseload data'!N:N,'caseload data'!$D:$D,"TPO",'caseload data'!$C:$C,'custody caseload'!$T$36,'caseload data'!$B:$B,"custody")</f>
        <v>0</v>
      </c>
      <c r="AE40" s="94">
        <f>SUMIFS('caseload data'!O:O,'caseload data'!$D:$D,"TPO",'caseload data'!$C:$C,'custody caseload'!$T$36,'caseload data'!$B:$B,"custody")</f>
        <v>0</v>
      </c>
      <c r="AF40" s="94">
        <f>SUMIFS('caseload data'!P:P,'caseload data'!$D:$D,"TPO",'caseload data'!$C:$C,'custody caseload'!$T$36,'caseload data'!$B:$B,"custody")</f>
        <v>0</v>
      </c>
      <c r="AG40" s="94">
        <f>SUMIFS('caseload data'!Q:Q,'caseload data'!$D:$D,"TPO",'caseload data'!$C:$C,'custody caseload'!$T$36,'caseload data'!$B:$B,"custody")</f>
        <v>0</v>
      </c>
      <c r="AH40" s="94">
        <f>SUMIFS('caseload data'!R:R,'caseload data'!$D:$D,"TPO",'caseload data'!$C:$C,'custody caseload'!$T$36,'caseload data'!$B:$B,"custody")</f>
        <v>0</v>
      </c>
      <c r="AI40" s="94">
        <f>SUMIFS('caseload data'!S:S,'caseload data'!$D:$D,"TPO",'caseload data'!$C:$C,'custody caseload'!$T$36,'caseload data'!$B:$B,"custody")</f>
        <v>0</v>
      </c>
      <c r="AJ40" s="94">
        <f>SUMIFS('caseload data'!T:T,'caseload data'!$D:$D,"TPO",'caseload data'!$C:$C,'custody caseload'!$T$36,'caseload data'!$B:$B,"custody")</f>
        <v>0</v>
      </c>
    </row>
    <row r="41" spans="2:36" x14ac:dyDescent="0.15">
      <c r="B41" s="98" t="s">
        <v>1009</v>
      </c>
      <c r="C41" s="94">
        <f>SUMIFS('caseload data'!E:E,'caseload data'!$D:$D,"SPO",'caseload data'!$C:$C,'custody caseload'!$B$36,'caseload data'!$B:$B,"custody")</f>
        <v>0</v>
      </c>
      <c r="D41" s="94">
        <f>SUMIFS('caseload data'!F:F,'caseload data'!$D:$D,"SPO",'caseload data'!$C:$C,'custody caseload'!$B$36,'caseload data'!$B:$B,"custody")</f>
        <v>0</v>
      </c>
      <c r="E41" s="94">
        <f>SUMIFS('caseload data'!G:G,'caseload data'!$D:$D,"SPO",'caseload data'!$C:$C,'custody caseload'!$B$36,'caseload data'!$B:$B,"custody")</f>
        <v>0</v>
      </c>
      <c r="F41" s="94">
        <f>SUMIFS('caseload data'!H:H,'caseload data'!$D:$D,"SPO",'caseload data'!$C:$C,'custody caseload'!$B$36,'caseload data'!$B:$B,"custody")</f>
        <v>0</v>
      </c>
      <c r="G41" s="94">
        <f>SUMIFS('caseload data'!I:I,'caseload data'!$D:$D,"SPO",'caseload data'!$C:$C,'custody caseload'!$B$36,'caseload data'!$B:$B,"custody")</f>
        <v>0</v>
      </c>
      <c r="H41" s="94">
        <f>SUMIFS('caseload data'!J:J,'caseload data'!$D:$D,"SPO",'caseload data'!$C:$C,'custody caseload'!$B$36,'caseload data'!$B:$B,"custody")</f>
        <v>0</v>
      </c>
      <c r="I41" s="94">
        <f>SUMIFS('caseload data'!K:K,'caseload data'!$D:$D,"SPO",'caseload data'!$C:$C,'custody caseload'!$B$36,'caseload data'!$B:$B,"custody")</f>
        <v>0</v>
      </c>
      <c r="J41" s="94">
        <f>SUMIFS('caseload data'!L:L,'caseload data'!$D:$D,"SPO",'caseload data'!$C:$C,'custody caseload'!$B$36,'caseload data'!$B:$B,"custody")</f>
        <v>0</v>
      </c>
      <c r="K41" s="94">
        <f>SUMIFS('caseload data'!M:M,'caseload data'!$D:$D,"SPO",'caseload data'!$C:$C,'custody caseload'!$B$36,'caseload data'!$B:$B,"custody")</f>
        <v>0</v>
      </c>
      <c r="L41" s="94">
        <f>SUMIFS('caseload data'!N:N,'caseload data'!$D:$D,"SPO",'caseload data'!$C:$C,'custody caseload'!$B$36,'caseload data'!$B:$B,"custody")</f>
        <v>0</v>
      </c>
      <c r="M41" s="94">
        <f>SUMIFS('caseload data'!O:O,'caseload data'!$D:$D,"SPO",'caseload data'!$C:$C,'custody caseload'!$B$36,'caseload data'!$B:$B,"custody")</f>
        <v>0</v>
      </c>
      <c r="N41" s="94">
        <f>SUMIFS('caseload data'!P:P,'caseload data'!$D:$D,"SPO",'caseload data'!$C:$C,'custody caseload'!$B$36,'caseload data'!$B:$B,"custody")</f>
        <v>0</v>
      </c>
      <c r="O41" s="94">
        <f>SUMIFS('caseload data'!Q:Q,'caseload data'!$D:$D,"SPO",'caseload data'!$C:$C,'custody caseload'!$B$36,'caseload data'!$B:$B,"custody")</f>
        <v>0</v>
      </c>
      <c r="P41" s="94">
        <f>SUMIFS('caseload data'!R:R,'caseload data'!$D:$D,"SPO",'caseload data'!$C:$C,'custody caseload'!$B$36,'caseload data'!$B:$B,"custody")</f>
        <v>0</v>
      </c>
      <c r="Q41" s="94">
        <f>SUMIFS('caseload data'!S:S,'caseload data'!$D:$D,"SPO",'caseload data'!$C:$C,'custody caseload'!$B$36,'caseload data'!$B:$B,"custody")</f>
        <v>0</v>
      </c>
      <c r="R41" s="94">
        <f>SUMIFS('caseload data'!T:T,'caseload data'!$D:$D,"SPO",'caseload data'!$C:$C,'custody caseload'!$B$36,'caseload data'!$B:$B,"custody")</f>
        <v>0</v>
      </c>
      <c r="S41" s="64"/>
      <c r="T41" s="98" t="s">
        <v>1009</v>
      </c>
      <c r="U41" s="94">
        <f>SUMIFS('caseload data'!E:E,'caseload data'!$D:$D,"SPO",'caseload data'!$C:$C,'custody caseload'!$T$36,'caseload data'!$B:$B,"custody")</f>
        <v>0</v>
      </c>
      <c r="V41" s="94">
        <f>SUMIFS('caseload data'!F:F,'caseload data'!$D:$D,"SPO",'caseload data'!$C:$C,'custody caseload'!$T$36,'caseload data'!$B:$B,"custody")</f>
        <v>0</v>
      </c>
      <c r="W41" s="94">
        <f>SUMIFS('caseload data'!G:G,'caseload data'!$D:$D,"SPO",'caseload data'!$C:$C,'custody caseload'!$T$36,'caseload data'!$B:$B,"custody")</f>
        <v>0</v>
      </c>
      <c r="X41" s="94">
        <f>SUMIFS('caseload data'!H:H,'caseload data'!$D:$D,"SPO",'caseload data'!$C:$C,'custody caseload'!$T$36,'caseload data'!$B:$B,"custody")</f>
        <v>0</v>
      </c>
      <c r="Y41" s="94">
        <f>SUMIFS('caseload data'!I:I,'caseload data'!$D:$D,"SPO",'caseload data'!$C:$C,'custody caseload'!$T$36,'caseload data'!$B:$B,"custody")</f>
        <v>0</v>
      </c>
      <c r="Z41" s="94">
        <f>SUMIFS('caseload data'!J:J,'caseload data'!$D:$D,"SPO",'caseload data'!$C:$C,'custody caseload'!$T$36,'caseload data'!$B:$B,"custody")</f>
        <v>0</v>
      </c>
      <c r="AA41" s="94">
        <f>SUMIFS('caseload data'!K:K,'caseload data'!$D:$D,"SPO",'caseload data'!$C:$C,'custody caseload'!$T$36,'caseload data'!$B:$B,"custody")</f>
        <v>0</v>
      </c>
      <c r="AB41" s="94">
        <f>SUMIFS('caseload data'!L:L,'caseload data'!$D:$D,"SPO",'caseload data'!$C:$C,'custody caseload'!$T$36,'caseload data'!$B:$B,"custody")</f>
        <v>0</v>
      </c>
      <c r="AC41" s="94">
        <f>SUMIFS('caseload data'!M:M,'caseload data'!$D:$D,"SPO",'caseload data'!$C:$C,'custody caseload'!$T$36,'caseload data'!$B:$B,"custody")</f>
        <v>0</v>
      </c>
      <c r="AD41" s="94">
        <f>SUMIFS('caseload data'!N:N,'caseload data'!$D:$D,"SPO",'caseload data'!$C:$C,'custody caseload'!$T$36,'caseload data'!$B:$B,"custody")</f>
        <v>0</v>
      </c>
      <c r="AE41" s="94">
        <f>SUMIFS('caseload data'!O:O,'caseload data'!$D:$D,"SPO",'caseload data'!$C:$C,'custody caseload'!$T$36,'caseload data'!$B:$B,"custody")</f>
        <v>0</v>
      </c>
      <c r="AF41" s="94">
        <f>SUMIFS('caseload data'!P:P,'caseload data'!$D:$D,"SPO",'caseload data'!$C:$C,'custody caseload'!$T$36,'caseload data'!$B:$B,"custody")</f>
        <v>0</v>
      </c>
      <c r="AG41" s="94">
        <f>SUMIFS('caseload data'!Q:Q,'caseload data'!$D:$D,"SPO",'caseload data'!$C:$C,'custody caseload'!$T$36,'caseload data'!$B:$B,"custody")</f>
        <v>0</v>
      </c>
      <c r="AH41" s="94">
        <f>SUMIFS('caseload data'!R:R,'caseload data'!$D:$D,"SPO",'caseload data'!$C:$C,'custody caseload'!$T$36,'caseload data'!$B:$B,"custody")</f>
        <v>0</v>
      </c>
      <c r="AI41" s="94">
        <f>SUMIFS('caseload data'!S:S,'caseload data'!$D:$D,"SPO",'caseload data'!$C:$C,'custody caseload'!$T$36,'caseload data'!$B:$B,"custody")</f>
        <v>0</v>
      </c>
      <c r="AJ41" s="94">
        <f>SUMIFS('caseload data'!T:T,'caseload data'!$D:$D,"SPO",'caseload data'!$C:$C,'custody caseload'!$T$36,'caseload data'!$B:$B,"custody")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29.25" customHeight="1" x14ac:dyDescent="0.15">
      <c r="B43" s="142">
        <f>HLOOKUP($B$5,Region_Table,12,0)</f>
        <v>0</v>
      </c>
      <c r="C43" s="523" t="s">
        <v>1131</v>
      </c>
      <c r="D43" s="524"/>
      <c r="E43" s="524"/>
      <c r="F43" s="524"/>
      <c r="G43" s="524"/>
      <c r="H43" s="524"/>
      <c r="I43" s="524"/>
      <c r="J43" s="524"/>
      <c r="K43" s="524"/>
      <c r="L43" s="524"/>
      <c r="M43" s="533"/>
      <c r="N43" s="533"/>
      <c r="O43" s="534"/>
      <c r="P43" s="510">
        <f>SUMIFS('caseload data'!V:V,'caseload data'!B:B,"custody",'caseload data'!$C:$C,'custody caseload'!B43)</f>
        <v>0</v>
      </c>
      <c r="Q43" s="527"/>
      <c r="R43" s="528"/>
      <c r="S43" s="64"/>
      <c r="T43" s="142">
        <f>HLOOKUP($B$5,Region_Table,13,0)</f>
        <v>0</v>
      </c>
      <c r="U43" s="523" t="s">
        <v>1131</v>
      </c>
      <c r="V43" s="524"/>
      <c r="W43" s="524"/>
      <c r="X43" s="524"/>
      <c r="Y43" s="524"/>
      <c r="Z43" s="524"/>
      <c r="AA43" s="524"/>
      <c r="AB43" s="524"/>
      <c r="AC43" s="524"/>
      <c r="AD43" s="524"/>
      <c r="AE43" s="533"/>
      <c r="AF43" s="533"/>
      <c r="AG43" s="534"/>
      <c r="AH43" s="510">
        <f>SUMIFS('caseload data'!V:V,'caseload data'!B:B,"custody",'caseload data'!$C:$C,'custody caseload'!T43)</f>
        <v>0</v>
      </c>
      <c r="AI43" s="527"/>
      <c r="AJ43" s="528"/>
    </row>
    <row r="44" spans="2:36" x14ac:dyDescent="0.15">
      <c r="B44" s="95" t="s">
        <v>1006</v>
      </c>
      <c r="C44" s="38" t="s">
        <v>869</v>
      </c>
      <c r="D44" s="38" t="s">
        <v>870</v>
      </c>
      <c r="E44" s="38" t="s">
        <v>871</v>
      </c>
      <c r="F44" s="38" t="s">
        <v>872</v>
      </c>
      <c r="G44" s="38" t="s">
        <v>873</v>
      </c>
      <c r="H44" s="38" t="s">
        <v>874</v>
      </c>
      <c r="I44" s="38" t="s">
        <v>875</v>
      </c>
      <c r="J44" s="38" t="s">
        <v>876</v>
      </c>
      <c r="K44" s="38" t="s">
        <v>877</v>
      </c>
      <c r="L44" s="38" t="s">
        <v>878</v>
      </c>
      <c r="M44" s="38" t="s">
        <v>879</v>
      </c>
      <c r="N44" s="38" t="s">
        <v>880</v>
      </c>
      <c r="O44" s="38" t="s">
        <v>881</v>
      </c>
      <c r="P44" s="38" t="s">
        <v>882</v>
      </c>
      <c r="Q44" s="38" t="s">
        <v>883</v>
      </c>
      <c r="R44" s="38" t="s">
        <v>884</v>
      </c>
      <c r="S44" s="64"/>
      <c r="T44" s="95" t="s">
        <v>1006</v>
      </c>
      <c r="U44" s="38" t="s">
        <v>869</v>
      </c>
      <c r="V44" s="38" t="s">
        <v>870</v>
      </c>
      <c r="W44" s="38" t="s">
        <v>871</v>
      </c>
      <c r="X44" s="38" t="s">
        <v>872</v>
      </c>
      <c r="Y44" s="38" t="s">
        <v>873</v>
      </c>
      <c r="Z44" s="38" t="s">
        <v>874</v>
      </c>
      <c r="AA44" s="38" t="s">
        <v>875</v>
      </c>
      <c r="AB44" s="38" t="s">
        <v>876</v>
      </c>
      <c r="AC44" s="38" t="s">
        <v>877</v>
      </c>
      <c r="AD44" s="38" t="s">
        <v>878</v>
      </c>
      <c r="AE44" s="38" t="s">
        <v>879</v>
      </c>
      <c r="AF44" s="38" t="s">
        <v>880</v>
      </c>
      <c r="AG44" s="38" t="s">
        <v>881</v>
      </c>
      <c r="AH44" s="38" t="s">
        <v>882</v>
      </c>
      <c r="AI44" s="38" t="s">
        <v>883</v>
      </c>
      <c r="AJ44" s="38" t="s">
        <v>884</v>
      </c>
    </row>
    <row r="45" spans="2:36" x14ac:dyDescent="0.15">
      <c r="B45" s="96" t="s">
        <v>1002</v>
      </c>
      <c r="C45" s="94">
        <f>SUMIFS('caseload data'!E:E,'caseload data'!$D:$D,"PO",'caseload data'!$C:$C,'custody caseload'!$B$43,'caseload data'!$B:$B,"custody")</f>
        <v>0</v>
      </c>
      <c r="D45" s="94">
        <f>SUMIFS('caseload data'!F:F,'caseload data'!$D:$D,"PO",'caseload data'!$C:$C,'custody caseload'!$B$43,'caseload data'!$B:$B,"custody")</f>
        <v>0</v>
      </c>
      <c r="E45" s="94">
        <f>SUMIFS('caseload data'!G:G,'caseload data'!$D:$D,"PO",'caseload data'!$C:$C,'custody caseload'!$B$43,'caseload data'!$B:$B,"custody")</f>
        <v>0</v>
      </c>
      <c r="F45" s="94">
        <f>SUMIFS('caseload data'!H:H,'caseload data'!$D:$D,"PO",'caseload data'!$C:$C,'custody caseload'!$B$43,'caseload data'!$B:$B,"custody")</f>
        <v>0</v>
      </c>
      <c r="G45" s="94">
        <f>SUMIFS('caseload data'!I:I,'caseload data'!$D:$D,"PO",'caseload data'!$C:$C,'custody caseload'!$B$43,'caseload data'!$B:$B,"custody")</f>
        <v>0</v>
      </c>
      <c r="H45" s="94">
        <f>SUMIFS('caseload data'!J:J,'caseload data'!$D:$D,"PO",'caseload data'!$C:$C,'custody caseload'!$B$43,'caseload data'!$B:$B,"custody")</f>
        <v>0</v>
      </c>
      <c r="I45" s="94">
        <f>SUMIFS('caseload data'!K:K,'caseload data'!$D:$D,"PO",'caseload data'!$C:$C,'custody caseload'!$B$43,'caseload data'!$B:$B,"custody")</f>
        <v>0</v>
      </c>
      <c r="J45" s="94">
        <f>SUMIFS('caseload data'!L:L,'caseload data'!$D:$D,"PO",'caseload data'!$C:$C,'custody caseload'!$B$43,'caseload data'!$B:$B,"custody")</f>
        <v>0</v>
      </c>
      <c r="K45" s="94">
        <f>SUMIFS('caseload data'!M:M,'caseload data'!$D:$D,"PO",'caseload data'!$C:$C,'custody caseload'!$B$43,'caseload data'!$B:$B,"custody")</f>
        <v>0</v>
      </c>
      <c r="L45" s="94">
        <f>SUMIFS('caseload data'!N:N,'caseload data'!$D:$D,"PO",'caseload data'!$C:$C,'custody caseload'!$B$43,'caseload data'!$B:$B,"custody")</f>
        <v>0</v>
      </c>
      <c r="M45" s="94">
        <f>SUMIFS('caseload data'!O:O,'caseload data'!$D:$D,"PO",'caseload data'!$C:$C,'custody caseload'!$B$43,'caseload data'!$B:$B,"custody")</f>
        <v>0</v>
      </c>
      <c r="N45" s="94">
        <f>SUMIFS('caseload data'!P:P,'caseload data'!$D:$D,"PO",'caseload data'!$C:$C,'custody caseload'!$B$43,'caseload data'!$B:$B,"custody")</f>
        <v>0</v>
      </c>
      <c r="O45" s="94">
        <f>SUMIFS('caseload data'!Q:Q,'caseload data'!$D:$D,"PO",'caseload data'!$C:$C,'custody caseload'!$B$43,'caseload data'!$B:$B,"custody")</f>
        <v>0</v>
      </c>
      <c r="P45" s="94">
        <f>SUMIFS('caseload data'!R:R,'caseload data'!$D:$D,"PO",'caseload data'!$C:$C,'custody caseload'!$B$43,'caseload data'!$B:$B,"custody")</f>
        <v>0</v>
      </c>
      <c r="Q45" s="94">
        <f>SUMIFS('caseload data'!S:S,'caseload data'!$D:$D,"PO",'caseload data'!$C:$C,'custody caseload'!$B$43,'caseload data'!$B:$B,"custody")</f>
        <v>0</v>
      </c>
      <c r="R45" s="94">
        <f>SUMIFS('caseload data'!T:T,'caseload data'!$D:$D,"PO",'caseload data'!$C:$C,'custody caseload'!$B$43,'caseload data'!$B:$B,"custody")</f>
        <v>0</v>
      </c>
      <c r="S45" s="64"/>
      <c r="T45" s="96" t="s">
        <v>1002</v>
      </c>
      <c r="U45" s="94">
        <f>SUMIFS('caseload data'!E:E,'caseload data'!$D:$D,"PO",'caseload data'!$C:$C,'custody caseload'!$T$43,'caseload data'!$B:$B,"custody")</f>
        <v>0</v>
      </c>
      <c r="V45" s="94">
        <f>SUMIFS('caseload data'!F:F,'caseload data'!$D:$D,"PO",'caseload data'!$C:$C,'custody caseload'!$T$43,'caseload data'!$B:$B,"custody")</f>
        <v>0</v>
      </c>
      <c r="W45" s="94">
        <f>SUMIFS('caseload data'!G:G,'caseload data'!$D:$D,"PO",'caseload data'!$C:$C,'custody caseload'!$T$43,'caseload data'!$B:$B,"custody")</f>
        <v>0</v>
      </c>
      <c r="X45" s="94">
        <f>SUMIFS('caseload data'!H:H,'caseload data'!$D:$D,"PO",'caseload data'!$C:$C,'custody caseload'!$T$43,'caseload data'!$B:$B,"custody")</f>
        <v>0</v>
      </c>
      <c r="Y45" s="94">
        <f>SUMIFS('caseload data'!I:I,'caseload data'!$D:$D,"PO",'caseload data'!$C:$C,'custody caseload'!$T$43,'caseload data'!$B:$B,"custody")</f>
        <v>0</v>
      </c>
      <c r="Z45" s="94">
        <f>SUMIFS('caseload data'!J:J,'caseload data'!$D:$D,"PO",'caseload data'!$C:$C,'custody caseload'!$T$43,'caseload data'!$B:$B,"custody")</f>
        <v>0</v>
      </c>
      <c r="AA45" s="94">
        <f>SUMIFS('caseload data'!K:K,'caseload data'!$D:$D,"PO",'caseload data'!$C:$C,'custody caseload'!$T$43,'caseload data'!$B:$B,"custody")</f>
        <v>0</v>
      </c>
      <c r="AB45" s="94">
        <f>SUMIFS('caseload data'!L:L,'caseload data'!$D:$D,"PO",'caseload data'!$C:$C,'custody caseload'!$T$43,'caseload data'!$B:$B,"custody")</f>
        <v>0</v>
      </c>
      <c r="AC45" s="94">
        <f>SUMIFS('caseload data'!M:M,'caseload data'!$D:$D,"PO",'caseload data'!$C:$C,'custody caseload'!$T$43,'caseload data'!$B:$B,"custody")</f>
        <v>0</v>
      </c>
      <c r="AD45" s="94">
        <f>SUMIFS('caseload data'!N:N,'caseload data'!$D:$D,"PO",'caseload data'!$C:$C,'custody caseload'!$T$43,'caseload data'!$B:$B,"custody")</f>
        <v>0</v>
      </c>
      <c r="AE45" s="94">
        <f>SUMIFS('caseload data'!O:O,'caseload data'!$D:$D,"PO",'caseload data'!$C:$C,'custody caseload'!$T$43,'caseload data'!$B:$B,"custody")</f>
        <v>0</v>
      </c>
      <c r="AF45" s="94">
        <f>SUMIFS('caseload data'!P:P,'caseload data'!$D:$D,"PO",'caseload data'!$C:$C,'custody caseload'!$T$43,'caseload data'!$B:$B,"custody")</f>
        <v>0</v>
      </c>
      <c r="AG45" s="94">
        <f>SUMIFS('caseload data'!Q:Q,'caseload data'!$D:$D,"PO",'caseload data'!$C:$C,'custody caseload'!$T$43,'caseload data'!$B:$B,"custody")</f>
        <v>0</v>
      </c>
      <c r="AH45" s="94">
        <f>SUMIFS('caseload data'!R:R,'caseload data'!$D:$D,"PO",'caseload data'!$C:$C,'custody caseload'!$T$43,'caseload data'!$B:$B,"custody")</f>
        <v>0</v>
      </c>
      <c r="AI45" s="94">
        <f>SUMIFS('caseload data'!S:S,'caseload data'!$D:$D,"PO",'caseload data'!$C:$C,'custody caseload'!$T$43,'caseload data'!$B:$B,"custody")</f>
        <v>0</v>
      </c>
      <c r="AJ45" s="94">
        <f>SUMIFS('caseload data'!T:T,'caseload data'!$D:$D,"PO",'caseload data'!$C:$C,'custody caseload'!$T$43,'caseload data'!$B:$B,"custody")</f>
        <v>0</v>
      </c>
    </row>
    <row r="46" spans="2:36" ht="15" x14ac:dyDescent="0.2">
      <c r="B46" s="97" t="s">
        <v>1007</v>
      </c>
      <c r="C46" s="145">
        <f>SUMIFS('caseload data'!E:E,'caseload data'!$D:$D,"PSO",'caseload data'!$C:$C,'custody caseload'!$B$43,'caseload data'!$B:$B,"custody")</f>
        <v>0</v>
      </c>
      <c r="D46" s="145">
        <f>SUMIFS('caseload data'!F:F,'caseload data'!$D:$D,"PSO",'caseload data'!$C:$C,'custody caseload'!$B$43,'caseload data'!$B:$B,"custody")</f>
        <v>0</v>
      </c>
      <c r="E46" s="145">
        <f>SUMIFS('caseload data'!G:G,'caseload data'!$D:$D,"PSO",'caseload data'!$C:$C,'custody caseload'!$B$43,'caseload data'!$B:$B,"custody")</f>
        <v>0</v>
      </c>
      <c r="F46" s="145">
        <f>SUMIFS('caseload data'!H:H,'caseload data'!$D:$D,"PSO",'caseload data'!$C:$C,'custody caseload'!$B$43,'caseload data'!$B:$B,"custody")</f>
        <v>0</v>
      </c>
      <c r="G46" s="145">
        <f>SUMIFS('caseload data'!I:I,'caseload data'!$D:$D,"PSO",'caseload data'!$C:$C,'custody caseload'!$B$43,'caseload data'!$B:$B,"custody")</f>
        <v>0</v>
      </c>
      <c r="H46" s="145">
        <f>SUMIFS('caseload data'!J:J,'caseload data'!$D:$D,"PSO",'caseload data'!$C:$C,'custody caseload'!$B$43,'caseload data'!$B:$B,"custody")</f>
        <v>0</v>
      </c>
      <c r="I46" s="145">
        <f>SUMIFS('caseload data'!K:K,'caseload data'!$D:$D,"PSO",'caseload data'!$C:$C,'custody caseload'!$B$43,'caseload data'!$B:$B,"custody")</f>
        <v>0</v>
      </c>
      <c r="J46" s="145">
        <f>SUMIFS('caseload data'!L:L,'caseload data'!$D:$D,"PSO",'caseload data'!$C:$C,'custody caseload'!$B$43,'caseload data'!$B:$B,"custody")</f>
        <v>0</v>
      </c>
      <c r="K46" s="94">
        <f>SUMIFS('caseload data'!M:M,'caseload data'!$D:$D,"PSO",'caseload data'!$C:$C,'custody caseload'!$B$43,'caseload data'!$B:$B,"custody")</f>
        <v>0</v>
      </c>
      <c r="L46" s="94">
        <f>SUMIFS('caseload data'!N:N,'caseload data'!$D:$D,"PSO",'caseload data'!$C:$C,'custody caseload'!$B$43,'caseload data'!$B:$B,"custody")</f>
        <v>0</v>
      </c>
      <c r="M46" s="94">
        <f>SUMIFS('caseload data'!O:O,'caseload data'!$D:$D,"PSO",'caseload data'!$C:$C,'custody caseload'!$B$43,'caseload data'!$B:$B,"custody")</f>
        <v>0</v>
      </c>
      <c r="N46" s="94">
        <f>SUMIFS('caseload data'!P:P,'caseload data'!$D:$D,"PSO",'caseload data'!$C:$C,'custody caseload'!$B$43,'caseload data'!$B:$B,"custody")</f>
        <v>0</v>
      </c>
      <c r="O46" s="94">
        <f>SUMIFS('caseload data'!Q:Q,'caseload data'!$D:$D,"PSO",'caseload data'!$C:$C,'custody caseload'!$B$43,'caseload data'!$B:$B,"custody")</f>
        <v>0</v>
      </c>
      <c r="P46" s="94">
        <f>SUMIFS('caseload data'!R:R,'caseload data'!$D:$D,"PSO",'caseload data'!$C:$C,'custody caseload'!$B$43,'caseload data'!$B:$B,"custody")</f>
        <v>0</v>
      </c>
      <c r="Q46" s="94">
        <f>SUMIFS('caseload data'!S:S,'caseload data'!$D:$D,"PSO",'caseload data'!$C:$C,'custody caseload'!$B$43,'caseload data'!$B:$B,"custody")</f>
        <v>0</v>
      </c>
      <c r="R46" s="94">
        <f>SUMIFS('caseload data'!T:T,'caseload data'!$D:$D,"PSO",'caseload data'!$C:$C,'custody caseload'!$B$43,'caseload data'!$B:$B,"custody")</f>
        <v>0</v>
      </c>
      <c r="S46" s="64"/>
      <c r="T46" s="97" t="s">
        <v>1007</v>
      </c>
      <c r="U46" s="145">
        <f>SUMIFS('caseload data'!E:E,'caseload data'!$D:$D,"PSO",'caseload data'!$C:$C,'custody caseload'!$T$43,'caseload data'!$B:$B,"custody")</f>
        <v>0</v>
      </c>
      <c r="V46" s="145">
        <f>SUMIFS('caseload data'!F:F,'caseload data'!$D:$D,"PSO",'caseload data'!$C:$C,'custody caseload'!$T$43,'caseload data'!$B:$B,"custody")</f>
        <v>0</v>
      </c>
      <c r="W46" s="145">
        <f>SUMIFS('caseload data'!G:G,'caseload data'!$D:$D,"PSO",'caseload data'!$C:$C,'custody caseload'!$T$43,'caseload data'!$B:$B,"custody")</f>
        <v>0</v>
      </c>
      <c r="X46" s="145">
        <f>SUMIFS('caseload data'!H:H,'caseload data'!$D:$D,"PSO",'caseload data'!$C:$C,'custody caseload'!$T$43,'caseload data'!$B:$B,"custody")</f>
        <v>0</v>
      </c>
      <c r="Y46" s="145">
        <f>SUMIFS('caseload data'!I:I,'caseload data'!$D:$D,"PSO",'caseload data'!$C:$C,'custody caseload'!$T$43,'caseload data'!$B:$B,"custody")</f>
        <v>0</v>
      </c>
      <c r="Z46" s="145">
        <f>SUMIFS('caseload data'!J:J,'caseload data'!$D:$D,"PSO",'caseload data'!$C:$C,'custody caseload'!$T$43,'caseload data'!$B:$B,"custody")</f>
        <v>0</v>
      </c>
      <c r="AA46" s="145">
        <f>SUMIFS('caseload data'!K:K,'caseload data'!$D:$D,"PSO",'caseload data'!$C:$C,'custody caseload'!$T$43,'caseload data'!$B:$B,"custody")</f>
        <v>0</v>
      </c>
      <c r="AB46" s="145">
        <f>SUMIFS('caseload data'!L:L,'caseload data'!$D:$D,"PSO",'caseload data'!$C:$C,'custody caseload'!$T$43,'caseload data'!$B:$B,"custody")</f>
        <v>0</v>
      </c>
      <c r="AC46" s="94">
        <f>SUMIFS('caseload data'!M:M,'caseload data'!$D:$D,"PSO",'caseload data'!$C:$C,'custody caseload'!$T$43,'caseload data'!$B:$B,"custody")</f>
        <v>0</v>
      </c>
      <c r="AD46" s="94">
        <f>SUMIFS('caseload data'!N:N,'caseload data'!$D:$D,"PSO",'caseload data'!$C:$C,'custody caseload'!$T$43,'caseload data'!$B:$B,"custody")</f>
        <v>0</v>
      </c>
      <c r="AE46" s="94">
        <f>SUMIFS('caseload data'!O:O,'caseload data'!$D:$D,"PSO",'caseload data'!$C:$C,'custody caseload'!$T$43,'caseload data'!$B:$B,"custody")</f>
        <v>0</v>
      </c>
      <c r="AF46" s="94">
        <f>SUMIFS('caseload data'!P:P,'caseload data'!$D:$D,"PSO",'caseload data'!$C:$C,'custody caseload'!$T$43,'caseload data'!$B:$B,"custody")</f>
        <v>0</v>
      </c>
      <c r="AG46" s="94">
        <f>SUMIFS('caseload data'!Q:Q,'caseload data'!$D:$D,"PSO",'caseload data'!$C:$C,'custody caseload'!$T$43,'caseload data'!$B:$B,"custody")</f>
        <v>0</v>
      </c>
      <c r="AH46" s="94">
        <f>SUMIFS('caseload data'!R:R,'caseload data'!$D:$D,"PSO",'caseload data'!$C:$C,'custody caseload'!$T$43,'caseload data'!$B:$B,"custody")</f>
        <v>0</v>
      </c>
      <c r="AI46" s="94">
        <f>SUMIFS('caseload data'!S:S,'caseload data'!$D:$D,"PSO",'caseload data'!$C:$C,'custody caseload'!$T$43,'caseload data'!$B:$B,"custody")</f>
        <v>0</v>
      </c>
      <c r="AJ46" s="94">
        <f>SUMIFS('caseload data'!T:T,'caseload data'!$D:$D,"PSO",'caseload data'!$C:$C,'custody caseload'!$T$43,'caseload data'!$B:$B,"custody")</f>
        <v>0</v>
      </c>
    </row>
    <row r="47" spans="2:36" ht="15" x14ac:dyDescent="0.2">
      <c r="B47" s="97" t="s">
        <v>1008</v>
      </c>
      <c r="C47" s="145">
        <f>SUMIFS('caseload data'!E:E,'caseload data'!$D:$D,"TPO",'caseload data'!$C:$C,'custody caseload'!$B$43,'caseload data'!$B:$B,"custody")</f>
        <v>0</v>
      </c>
      <c r="D47" s="145">
        <f>SUMIFS('caseload data'!F:F,'caseload data'!$D:$D,"TPO",'caseload data'!$C:$C,'custody caseload'!$B$43,'caseload data'!$B:$B,"custody")</f>
        <v>0</v>
      </c>
      <c r="E47" s="145">
        <f>SUMIFS('caseload data'!G:G,'caseload data'!$D:$D,"TPO",'caseload data'!$C:$C,'custody caseload'!$B$43,'caseload data'!$B:$B,"custody")</f>
        <v>0</v>
      </c>
      <c r="F47" s="145">
        <f>SUMIFS('caseload data'!H:H,'caseload data'!$D:$D,"TPO",'caseload data'!$C:$C,'custody caseload'!$B$43,'caseload data'!$B:$B,"custody")</f>
        <v>0</v>
      </c>
      <c r="G47" s="145">
        <f>SUMIFS('caseload data'!I:I,'caseload data'!$D:$D,"TPO",'caseload data'!$C:$C,'custody caseload'!$B$43,'caseload data'!$B:$B,"custody")</f>
        <v>0</v>
      </c>
      <c r="H47" s="145">
        <f>SUMIFS('caseload data'!J:J,'caseload data'!$D:$D,"TPO",'caseload data'!$C:$C,'custody caseload'!$B$43,'caseload data'!$B:$B,"custody")</f>
        <v>0</v>
      </c>
      <c r="I47" s="145">
        <f>SUMIFS('caseload data'!K:K,'caseload data'!$D:$D,"TPO",'caseload data'!$C:$C,'custody caseload'!$B$43,'caseload data'!$B:$B,"custody")</f>
        <v>0</v>
      </c>
      <c r="J47" s="145">
        <f>SUMIFS('caseload data'!L:L,'caseload data'!$D:$D,"TPO",'caseload data'!$C:$C,'custody caseload'!$B$43,'caseload data'!$B:$B,"custody")</f>
        <v>0</v>
      </c>
      <c r="K47" s="94">
        <f>SUMIFS('caseload data'!M:M,'caseload data'!$D:$D,"TPO",'caseload data'!$C:$C,'custody caseload'!$B$43,'caseload data'!$B:$B,"custody")</f>
        <v>0</v>
      </c>
      <c r="L47" s="94">
        <f>SUMIFS('caseload data'!N:N,'caseload data'!$D:$D,"TPO",'caseload data'!$C:$C,'custody caseload'!$B$43,'caseload data'!$B:$B,"custody")</f>
        <v>0</v>
      </c>
      <c r="M47" s="94">
        <f>SUMIFS('caseload data'!O:O,'caseload data'!$D:$D,"TPO",'caseload data'!$C:$C,'custody caseload'!$B$43,'caseload data'!$B:$B,"custody")</f>
        <v>0</v>
      </c>
      <c r="N47" s="94">
        <f>SUMIFS('caseload data'!P:P,'caseload data'!$D:$D,"TPO",'caseload data'!$C:$C,'custody caseload'!$B$43,'caseload data'!$B:$B,"custody")</f>
        <v>0</v>
      </c>
      <c r="O47" s="94">
        <f>SUMIFS('caseload data'!Q:Q,'caseload data'!$D:$D,"TPO",'caseload data'!$C:$C,'custody caseload'!$B$43,'caseload data'!$B:$B,"custody")</f>
        <v>0</v>
      </c>
      <c r="P47" s="94">
        <f>SUMIFS('caseload data'!R:R,'caseload data'!$D:$D,"TPO",'caseload data'!$C:$C,'custody caseload'!$B$43,'caseload data'!$B:$B,"custody")</f>
        <v>0</v>
      </c>
      <c r="Q47" s="94">
        <f>SUMIFS('caseload data'!S:S,'caseload data'!$D:$D,"TPO",'caseload data'!$C:$C,'custody caseload'!$B$43,'caseload data'!$B:$B,"custody")</f>
        <v>0</v>
      </c>
      <c r="R47" s="94">
        <f>SUMIFS('caseload data'!T:T,'caseload data'!$D:$D,"TPO",'caseload data'!$C:$C,'custody caseload'!$B$43,'caseload data'!$B:$B,"custody")</f>
        <v>0</v>
      </c>
      <c r="S47" s="64"/>
      <c r="T47" s="97" t="s">
        <v>1008</v>
      </c>
      <c r="U47" s="145">
        <f>SUMIFS('caseload data'!E:E,'caseload data'!$D:$D,"TPO",'caseload data'!$C:$C,'custody caseload'!$T$43,'caseload data'!$B:$B,"custody")</f>
        <v>0</v>
      </c>
      <c r="V47" s="145">
        <f>SUMIFS('caseload data'!F:F,'caseload data'!$D:$D,"TPO",'caseload data'!$C:$C,'custody caseload'!$T$43,'caseload data'!$B:$B,"custody")</f>
        <v>0</v>
      </c>
      <c r="W47" s="145">
        <f>SUMIFS('caseload data'!G:G,'caseload data'!$D:$D,"TPO",'caseload data'!$C:$C,'custody caseload'!$T$43,'caseload data'!$B:$B,"custody")</f>
        <v>0</v>
      </c>
      <c r="X47" s="145">
        <f>SUMIFS('caseload data'!H:H,'caseload data'!$D:$D,"TPO",'caseload data'!$C:$C,'custody caseload'!$T$43,'caseload data'!$B:$B,"custody")</f>
        <v>0</v>
      </c>
      <c r="Y47" s="145">
        <f>SUMIFS('caseload data'!I:I,'caseload data'!$D:$D,"TPO",'caseload data'!$C:$C,'custody caseload'!$T$43,'caseload data'!$B:$B,"custody")</f>
        <v>0</v>
      </c>
      <c r="Z47" s="145">
        <f>SUMIFS('caseload data'!J:J,'caseload data'!$D:$D,"TPO",'caseload data'!$C:$C,'custody caseload'!$T$43,'caseload data'!$B:$B,"custody")</f>
        <v>0</v>
      </c>
      <c r="AA47" s="145">
        <f>SUMIFS('caseload data'!K:K,'caseload data'!$D:$D,"TPO",'caseload data'!$C:$C,'custody caseload'!$T$43,'caseload data'!$B:$B,"custody")</f>
        <v>0</v>
      </c>
      <c r="AB47" s="145">
        <f>SUMIFS('caseload data'!L:L,'caseload data'!$D:$D,"TPO",'caseload data'!$C:$C,'custody caseload'!$T$43,'caseload data'!$B:$B,"custody")</f>
        <v>0</v>
      </c>
      <c r="AC47" s="94">
        <f>SUMIFS('caseload data'!M:M,'caseload data'!$D:$D,"TPO",'caseload data'!$C:$C,'custody caseload'!$T$43,'caseload data'!$B:$B,"custody")</f>
        <v>0</v>
      </c>
      <c r="AD47" s="94">
        <f>SUMIFS('caseload data'!N:N,'caseload data'!$D:$D,"TPO",'caseload data'!$C:$C,'custody caseload'!$T$43,'caseload data'!$B:$B,"custody")</f>
        <v>0</v>
      </c>
      <c r="AE47" s="94">
        <f>SUMIFS('caseload data'!O:O,'caseload data'!$D:$D,"TPO",'caseload data'!$C:$C,'custody caseload'!$T$43,'caseload data'!$B:$B,"custody")</f>
        <v>0</v>
      </c>
      <c r="AF47" s="94">
        <f>SUMIFS('caseload data'!P:P,'caseload data'!$D:$D,"TPO",'caseload data'!$C:$C,'custody caseload'!$T$43,'caseload data'!$B:$B,"custody")</f>
        <v>0</v>
      </c>
      <c r="AG47" s="94">
        <f>SUMIFS('caseload data'!Q:Q,'caseload data'!$D:$D,"TPO",'caseload data'!$C:$C,'custody caseload'!$T$43,'caseload data'!$B:$B,"custody")</f>
        <v>0</v>
      </c>
      <c r="AH47" s="94">
        <f>SUMIFS('caseload data'!R:R,'caseload data'!$D:$D,"TPO",'caseload data'!$C:$C,'custody caseload'!$T$43,'caseload data'!$B:$B,"custody")</f>
        <v>0</v>
      </c>
      <c r="AI47" s="94">
        <f>SUMIFS('caseload data'!S:S,'caseload data'!$D:$D,"TPO",'caseload data'!$C:$C,'custody caseload'!$T$43,'caseload data'!$B:$B,"custody")</f>
        <v>0</v>
      </c>
      <c r="AJ47" s="94">
        <f>SUMIFS('caseload data'!T:T,'caseload data'!$D:$D,"TPO",'caseload data'!$C:$C,'custody caseload'!$T$43,'caseload data'!$B:$B,"custody")</f>
        <v>0</v>
      </c>
    </row>
    <row r="48" spans="2:36" x14ac:dyDescent="0.15">
      <c r="B48" s="98" t="s">
        <v>1009</v>
      </c>
      <c r="C48" s="94">
        <f>SUMIFS('caseload data'!E:E,'caseload data'!$D:$D,"SPO",'caseload data'!$C:$C,'custody caseload'!$B$43,'caseload data'!$B:$B,"custody")</f>
        <v>0</v>
      </c>
      <c r="D48" s="94">
        <f>SUMIFS('caseload data'!F:F,'caseload data'!$D:$D,"SPO",'caseload data'!$C:$C,'custody caseload'!$B$43,'caseload data'!$B:$B,"custody")</f>
        <v>0</v>
      </c>
      <c r="E48" s="94">
        <f>SUMIFS('caseload data'!G:G,'caseload data'!$D:$D,"SPO",'caseload data'!$C:$C,'custody caseload'!$B$43,'caseload data'!$B:$B,"custody")</f>
        <v>0</v>
      </c>
      <c r="F48" s="94">
        <f>SUMIFS('caseload data'!H:H,'caseload data'!$D:$D,"SPO",'caseload data'!$C:$C,'custody caseload'!$B$43,'caseload data'!$B:$B,"custody")</f>
        <v>0</v>
      </c>
      <c r="G48" s="94">
        <f>SUMIFS('caseload data'!I:I,'caseload data'!$D:$D,"SPO",'caseload data'!$C:$C,'custody caseload'!$B$43,'caseload data'!$B:$B,"custody")</f>
        <v>0</v>
      </c>
      <c r="H48" s="94">
        <f>SUMIFS('caseload data'!J:J,'caseload data'!$D:$D,"SPO",'caseload data'!$C:$C,'custody caseload'!$B$43,'caseload data'!$B:$B,"custody")</f>
        <v>0</v>
      </c>
      <c r="I48" s="94">
        <f>SUMIFS('caseload data'!K:K,'caseload data'!$D:$D,"SPO",'caseload data'!$C:$C,'custody caseload'!$B$43,'caseload data'!$B:$B,"custody")</f>
        <v>0</v>
      </c>
      <c r="J48" s="94">
        <f>SUMIFS('caseload data'!L:L,'caseload data'!$D:$D,"SPO",'caseload data'!$C:$C,'custody caseload'!$B$43,'caseload data'!$B:$B,"custody")</f>
        <v>0</v>
      </c>
      <c r="K48" s="94">
        <f>SUMIFS('caseload data'!M:M,'caseload data'!$D:$D,"SPO",'caseload data'!$C:$C,'custody caseload'!$B$43,'caseload data'!$B:$B,"custody")</f>
        <v>0</v>
      </c>
      <c r="L48" s="94">
        <f>SUMIFS('caseload data'!N:N,'caseload data'!$D:$D,"SPO",'caseload data'!$C:$C,'custody caseload'!$B$43,'caseload data'!$B:$B,"custody")</f>
        <v>0</v>
      </c>
      <c r="M48" s="94">
        <f>SUMIFS('caseload data'!O:O,'caseload data'!$D:$D,"SPO",'caseload data'!$C:$C,'custody caseload'!$B$43,'caseload data'!$B:$B,"custody")</f>
        <v>0</v>
      </c>
      <c r="N48" s="94">
        <f>SUMIFS('caseload data'!P:P,'caseload data'!$D:$D,"SPO",'caseload data'!$C:$C,'custody caseload'!$B$43,'caseload data'!$B:$B,"custody")</f>
        <v>0</v>
      </c>
      <c r="O48" s="94">
        <f>SUMIFS('caseload data'!Q:Q,'caseload data'!$D:$D,"SPO",'caseload data'!$C:$C,'custody caseload'!$B$43,'caseload data'!$B:$B,"custody")</f>
        <v>0</v>
      </c>
      <c r="P48" s="94">
        <f>SUMIFS('caseload data'!R:R,'caseload data'!$D:$D,"SPO",'caseload data'!$C:$C,'custody caseload'!$B$43,'caseload data'!$B:$B,"custody")</f>
        <v>0</v>
      </c>
      <c r="Q48" s="94">
        <f>SUMIFS('caseload data'!S:S,'caseload data'!$D:$D,"SPO",'caseload data'!$C:$C,'custody caseload'!$B$43,'caseload data'!$B:$B,"custody")</f>
        <v>0</v>
      </c>
      <c r="R48" s="94">
        <f>SUMIFS('caseload data'!T:T,'caseload data'!$D:$D,"SPO",'caseload data'!$C:$C,'custody caseload'!$B$43,'caseload data'!$B:$B,"custody")</f>
        <v>0</v>
      </c>
      <c r="S48" s="64"/>
      <c r="T48" s="98" t="s">
        <v>1009</v>
      </c>
      <c r="U48" s="94">
        <f>SUMIFS('caseload data'!E:E,'caseload data'!$D:$D,"SPO",'caseload data'!$C:$C,'custody caseload'!$T$43,'caseload data'!$B:$B,"custody")</f>
        <v>0</v>
      </c>
      <c r="V48" s="94">
        <f>SUMIFS('caseload data'!F:F,'caseload data'!$D:$D,"SPO",'caseload data'!$C:$C,'custody caseload'!$T$43,'caseload data'!$B:$B,"custody")</f>
        <v>0</v>
      </c>
      <c r="W48" s="94">
        <f>SUMIFS('caseload data'!G:G,'caseload data'!$D:$D,"SPO",'caseload data'!$C:$C,'custody caseload'!$T$43,'caseload data'!$B:$B,"custody")</f>
        <v>0</v>
      </c>
      <c r="X48" s="94">
        <f>SUMIFS('caseload data'!H:H,'caseload data'!$D:$D,"SPO",'caseload data'!$C:$C,'custody caseload'!$T$43,'caseload data'!$B:$B,"custody")</f>
        <v>0</v>
      </c>
      <c r="Y48" s="94">
        <f>SUMIFS('caseload data'!I:I,'caseload data'!$D:$D,"SPO",'caseload data'!$C:$C,'custody caseload'!$T$43,'caseload data'!$B:$B,"custody")</f>
        <v>0</v>
      </c>
      <c r="Z48" s="94">
        <f>SUMIFS('caseload data'!J:J,'caseload data'!$D:$D,"SPO",'caseload data'!$C:$C,'custody caseload'!$T$43,'caseload data'!$B:$B,"custody")</f>
        <v>0</v>
      </c>
      <c r="AA48" s="94">
        <f>SUMIFS('caseload data'!K:K,'caseload data'!$D:$D,"SPO",'caseload data'!$C:$C,'custody caseload'!$T$43,'caseload data'!$B:$B,"custody")</f>
        <v>0</v>
      </c>
      <c r="AB48" s="94">
        <f>SUMIFS('caseload data'!L:L,'caseload data'!$D:$D,"SPO",'caseload data'!$C:$C,'custody caseload'!$T$43,'caseload data'!$B:$B,"custody")</f>
        <v>0</v>
      </c>
      <c r="AC48" s="94">
        <f>SUMIFS('caseload data'!M:M,'caseload data'!$D:$D,"SPO",'caseload data'!$C:$C,'custody caseload'!$T$43,'caseload data'!$B:$B,"custody")</f>
        <v>0</v>
      </c>
      <c r="AD48" s="94">
        <f>SUMIFS('caseload data'!N:N,'caseload data'!$D:$D,"SPO",'caseload data'!$C:$C,'custody caseload'!$T$43,'caseload data'!$B:$B,"custody")</f>
        <v>0</v>
      </c>
      <c r="AE48" s="94">
        <f>SUMIFS('caseload data'!O:O,'caseload data'!$D:$D,"SPO",'caseload data'!$C:$C,'custody caseload'!$T$43,'caseload data'!$B:$B,"custody")</f>
        <v>0</v>
      </c>
      <c r="AF48" s="94">
        <f>SUMIFS('caseload data'!P:P,'caseload data'!$D:$D,"SPO",'caseload data'!$C:$C,'custody caseload'!$T$43,'caseload data'!$B:$B,"custody")</f>
        <v>0</v>
      </c>
      <c r="AG48" s="94">
        <f>SUMIFS('caseload data'!Q:Q,'caseload data'!$D:$D,"SPO",'caseload data'!$C:$C,'custody caseload'!$T$43,'caseload data'!$B:$B,"custody")</f>
        <v>0</v>
      </c>
      <c r="AH48" s="94">
        <f>SUMIFS('caseload data'!R:R,'caseload data'!$D:$D,"SPO",'caseload data'!$C:$C,'custody caseload'!$T$43,'caseload data'!$B:$B,"custody")</f>
        <v>0</v>
      </c>
      <c r="AI48" s="94">
        <f>SUMIFS('caseload data'!S:S,'caseload data'!$D:$D,"SPO",'caseload data'!$C:$C,'custody caseload'!$T$43,'caseload data'!$B:$B,"custody")</f>
        <v>0</v>
      </c>
      <c r="AJ48" s="94">
        <f>SUMIFS('caseload data'!T:T,'caseload data'!$D:$D,"SPO",'caseload data'!$C:$C,'custody caseload'!$T$43,'caseload data'!$B:$B,"custody")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142">
        <f>HLOOKUP($B$5,Region_Table,14,0)</f>
        <v>0</v>
      </c>
      <c r="C50" s="523" t="s">
        <v>1131</v>
      </c>
      <c r="D50" s="524"/>
      <c r="E50" s="524"/>
      <c r="F50" s="524"/>
      <c r="G50" s="524"/>
      <c r="H50" s="524"/>
      <c r="I50" s="524"/>
      <c r="J50" s="524"/>
      <c r="K50" s="524"/>
      <c r="L50" s="524"/>
      <c r="M50" s="533"/>
      <c r="N50" s="533"/>
      <c r="O50" s="534"/>
      <c r="P50" s="510">
        <f>SUMIFS('caseload data'!V:V,'caseload data'!B:B,"custody",'caseload data'!$C:$C,'custody caseload'!B50)</f>
        <v>0</v>
      </c>
      <c r="Q50" s="527"/>
      <c r="R50" s="528"/>
      <c r="S50" s="64"/>
      <c r="T50" s="142">
        <f>HLOOKUP($B$5,Region_Table,15,0)</f>
        <v>0</v>
      </c>
      <c r="U50" s="523" t="s">
        <v>1131</v>
      </c>
      <c r="V50" s="524"/>
      <c r="W50" s="524"/>
      <c r="X50" s="524"/>
      <c r="Y50" s="524"/>
      <c r="Z50" s="524"/>
      <c r="AA50" s="524"/>
      <c r="AB50" s="524"/>
      <c r="AC50" s="524"/>
      <c r="AD50" s="524"/>
      <c r="AE50" s="533"/>
      <c r="AF50" s="533"/>
      <c r="AG50" s="534"/>
      <c r="AH50" s="510">
        <f>SUMIFS('caseload data'!V:V,'caseload data'!B:B,"custody",'caseload data'!$C:$C,'custody caseload'!T50)</f>
        <v>0</v>
      </c>
      <c r="AI50" s="527"/>
      <c r="AJ50" s="528"/>
    </row>
    <row r="51" spans="2:36" x14ac:dyDescent="0.15">
      <c r="B51" s="95" t="s">
        <v>1006</v>
      </c>
      <c r="C51" s="38" t="s">
        <v>869</v>
      </c>
      <c r="D51" s="38" t="s">
        <v>870</v>
      </c>
      <c r="E51" s="38" t="s">
        <v>871</v>
      </c>
      <c r="F51" s="38" t="s">
        <v>872</v>
      </c>
      <c r="G51" s="38" t="s">
        <v>873</v>
      </c>
      <c r="H51" s="38" t="s">
        <v>874</v>
      </c>
      <c r="I51" s="38" t="s">
        <v>875</v>
      </c>
      <c r="J51" s="38" t="s">
        <v>876</v>
      </c>
      <c r="K51" s="38" t="s">
        <v>877</v>
      </c>
      <c r="L51" s="38" t="s">
        <v>878</v>
      </c>
      <c r="M51" s="38" t="s">
        <v>879</v>
      </c>
      <c r="N51" s="38" t="s">
        <v>880</v>
      </c>
      <c r="O51" s="38" t="s">
        <v>881</v>
      </c>
      <c r="P51" s="38" t="s">
        <v>882</v>
      </c>
      <c r="Q51" s="38" t="s">
        <v>883</v>
      </c>
      <c r="R51" s="38" t="s">
        <v>884</v>
      </c>
      <c r="S51" s="64"/>
      <c r="T51" s="95" t="s">
        <v>1006</v>
      </c>
      <c r="U51" s="38" t="s">
        <v>869</v>
      </c>
      <c r="V51" s="38" t="s">
        <v>870</v>
      </c>
      <c r="W51" s="38" t="s">
        <v>871</v>
      </c>
      <c r="X51" s="38" t="s">
        <v>872</v>
      </c>
      <c r="Y51" s="38" t="s">
        <v>873</v>
      </c>
      <c r="Z51" s="38" t="s">
        <v>874</v>
      </c>
      <c r="AA51" s="38" t="s">
        <v>875</v>
      </c>
      <c r="AB51" s="38" t="s">
        <v>876</v>
      </c>
      <c r="AC51" s="38" t="s">
        <v>877</v>
      </c>
      <c r="AD51" s="38" t="s">
        <v>878</v>
      </c>
      <c r="AE51" s="38" t="s">
        <v>879</v>
      </c>
      <c r="AF51" s="38" t="s">
        <v>880</v>
      </c>
      <c r="AG51" s="38" t="s">
        <v>881</v>
      </c>
      <c r="AH51" s="38" t="s">
        <v>882</v>
      </c>
      <c r="AI51" s="38" t="s">
        <v>883</v>
      </c>
      <c r="AJ51" s="38" t="s">
        <v>884</v>
      </c>
    </row>
    <row r="52" spans="2:36" x14ac:dyDescent="0.15">
      <c r="B52" s="96" t="s">
        <v>1002</v>
      </c>
      <c r="C52" s="94">
        <f>SUMIFS('caseload data'!E:E,'caseload data'!$D:$D,"PO",'caseload data'!$C:$C,'custody caseload'!$B$50,'caseload data'!$B:$B,"custody")</f>
        <v>0</v>
      </c>
      <c r="D52" s="94">
        <f>SUMIFS('caseload data'!F:F,'caseload data'!$D:$D,"PO",'caseload data'!$C:$C,'custody caseload'!$B$50,'caseload data'!$B:$B,"custody")</f>
        <v>0</v>
      </c>
      <c r="E52" s="94">
        <f>SUMIFS('caseload data'!G:G,'caseload data'!$D:$D,"PO",'caseload data'!$C:$C,'custody caseload'!$B$50,'caseload data'!$B:$B,"custody")</f>
        <v>0</v>
      </c>
      <c r="F52" s="94">
        <f>SUMIFS('caseload data'!H:H,'caseload data'!$D:$D,"PO",'caseload data'!$C:$C,'custody caseload'!$B$50,'caseload data'!$B:$B,"custody")</f>
        <v>0</v>
      </c>
      <c r="G52" s="94">
        <f>SUMIFS('caseload data'!I:I,'caseload data'!$D:$D,"PO",'caseload data'!$C:$C,'custody caseload'!$B$50,'caseload data'!$B:$B,"custody")</f>
        <v>0</v>
      </c>
      <c r="H52" s="94">
        <f>SUMIFS('caseload data'!J:J,'caseload data'!$D:$D,"PO",'caseload data'!$C:$C,'custody caseload'!$B$50,'caseload data'!$B:$B,"custody")</f>
        <v>0</v>
      </c>
      <c r="I52" s="94">
        <f>SUMIFS('caseload data'!K:K,'caseload data'!$D:$D,"PO",'caseload data'!$C:$C,'custody caseload'!$B$50,'caseload data'!$B:$B,"custody")</f>
        <v>0</v>
      </c>
      <c r="J52" s="94">
        <f>SUMIFS('caseload data'!L:L,'caseload data'!$D:$D,"PO",'caseload data'!$C:$C,'custody caseload'!$B$50,'caseload data'!$B:$B,"custody")</f>
        <v>0</v>
      </c>
      <c r="K52" s="94">
        <f>SUMIFS('caseload data'!M:M,'caseload data'!$D:$D,"PO",'caseload data'!$C:$C,'custody caseload'!$B$50,'caseload data'!$B:$B,"custody")</f>
        <v>0</v>
      </c>
      <c r="L52" s="94">
        <f>SUMIFS('caseload data'!N:N,'caseload data'!$D:$D,"PO",'caseload data'!$C:$C,'custody caseload'!$B$50,'caseload data'!$B:$B,"custody")</f>
        <v>0</v>
      </c>
      <c r="M52" s="94">
        <f>SUMIFS('caseload data'!O:O,'caseload data'!$D:$D,"PO",'caseload data'!$C:$C,'custody caseload'!$B$50,'caseload data'!$B:$B,"custody")</f>
        <v>0</v>
      </c>
      <c r="N52" s="94">
        <f>SUMIFS('caseload data'!P:P,'caseload data'!$D:$D,"PO",'caseload data'!$C:$C,'custody caseload'!$B$50,'caseload data'!$B:$B,"custody")</f>
        <v>0</v>
      </c>
      <c r="O52" s="94">
        <f>SUMIFS('caseload data'!Q:Q,'caseload data'!$D:$D,"PO",'caseload data'!$C:$C,'custody caseload'!$B$50,'caseload data'!$B:$B,"custody")</f>
        <v>0</v>
      </c>
      <c r="P52" s="94">
        <f>SUMIFS('caseload data'!R:R,'caseload data'!$D:$D,"PO",'caseload data'!$C:$C,'custody caseload'!$B$50,'caseload data'!$B:$B,"custody")</f>
        <v>0</v>
      </c>
      <c r="Q52" s="94">
        <f>SUMIFS('caseload data'!S:S,'caseload data'!$D:$D,"PO",'caseload data'!$C:$C,'custody caseload'!$B$50,'caseload data'!$B:$B,"custody")</f>
        <v>0</v>
      </c>
      <c r="R52" s="94">
        <f>SUMIFS('caseload data'!T:T,'caseload data'!$D:$D,"PO",'caseload data'!$C:$C,'custody caseload'!$B$50,'caseload data'!$B:$B,"custody")</f>
        <v>0</v>
      </c>
      <c r="S52" s="64"/>
      <c r="T52" s="96" t="s">
        <v>1002</v>
      </c>
      <c r="U52" s="94">
        <f>SUMIFS('caseload data'!E:E,'caseload data'!$D:$D,"PO",'caseload data'!$C:$C,'custody caseload'!$T$50,'caseload data'!$B:$B,"custody")</f>
        <v>0</v>
      </c>
      <c r="V52" s="94">
        <f>SUMIFS('caseload data'!F:F,'caseload data'!$D:$D,"PO",'caseload data'!$C:$C,'custody caseload'!$T$50,'caseload data'!$B:$B,"custody")</f>
        <v>0</v>
      </c>
      <c r="W52" s="94">
        <f>SUMIFS('caseload data'!G:G,'caseload data'!$D:$D,"PO",'caseload data'!$C:$C,'custody caseload'!$T$50,'caseload data'!$B:$B,"custody")</f>
        <v>0</v>
      </c>
      <c r="X52" s="94">
        <f>SUMIFS('caseload data'!H:H,'caseload data'!$D:$D,"PO",'caseload data'!$C:$C,'custody caseload'!$T$50,'caseload data'!$B:$B,"custody")</f>
        <v>0</v>
      </c>
      <c r="Y52" s="94">
        <f>SUMIFS('caseload data'!I:I,'caseload data'!$D:$D,"PO",'caseload data'!$C:$C,'custody caseload'!$T$50,'caseload data'!$B:$B,"custody")</f>
        <v>0</v>
      </c>
      <c r="Z52" s="94">
        <f>SUMIFS('caseload data'!J:J,'caseload data'!$D:$D,"PO",'caseload data'!$C:$C,'custody caseload'!$T$50,'caseload data'!$B:$B,"custody")</f>
        <v>0</v>
      </c>
      <c r="AA52" s="94">
        <f>SUMIFS('caseload data'!K:K,'caseload data'!$D:$D,"PO",'caseload data'!$C:$C,'custody caseload'!$T$50,'caseload data'!$B:$B,"custody")</f>
        <v>0</v>
      </c>
      <c r="AB52" s="94">
        <f>SUMIFS('caseload data'!L:L,'caseload data'!$D:$D,"PO",'caseload data'!$C:$C,'custody caseload'!$T$50,'caseload data'!$B:$B,"custody")</f>
        <v>0</v>
      </c>
      <c r="AC52" s="94">
        <f>SUMIFS('caseload data'!M:M,'caseload data'!$D:$D,"PO",'caseload data'!$C:$C,'custody caseload'!$T$50,'caseload data'!$B:$B,"custody")</f>
        <v>0</v>
      </c>
      <c r="AD52" s="94">
        <f>SUMIFS('caseload data'!N:N,'caseload data'!$D:$D,"PO",'caseload data'!$C:$C,'custody caseload'!$T$50,'caseload data'!$B:$B,"custody")</f>
        <v>0</v>
      </c>
      <c r="AE52" s="94">
        <f>SUMIFS('caseload data'!O:O,'caseload data'!$D:$D,"PO",'caseload data'!$C:$C,'custody caseload'!$T$50,'caseload data'!$B:$B,"custody")</f>
        <v>0</v>
      </c>
      <c r="AF52" s="94">
        <f>SUMIFS('caseload data'!P:P,'caseload data'!$D:$D,"PO",'caseload data'!$C:$C,'custody caseload'!$T$50,'caseload data'!$B:$B,"custody")</f>
        <v>0</v>
      </c>
      <c r="AG52" s="94">
        <f>SUMIFS('caseload data'!Q:Q,'caseload data'!$D:$D,"PO",'caseload data'!$C:$C,'custody caseload'!$T$50,'caseload data'!$B:$B,"custody")</f>
        <v>0</v>
      </c>
      <c r="AH52" s="94">
        <f>SUMIFS('caseload data'!R:R,'caseload data'!$D:$D,"PO",'caseload data'!$C:$C,'custody caseload'!$T$50,'caseload data'!$B:$B,"custody")</f>
        <v>0</v>
      </c>
      <c r="AI52" s="94">
        <f>SUMIFS('caseload data'!S:S,'caseload data'!$D:$D,"PO",'caseload data'!$C:$C,'custody caseload'!$T$50,'caseload data'!$B:$B,"custody")</f>
        <v>0</v>
      </c>
      <c r="AJ52" s="94">
        <f>SUMIFS('caseload data'!T:T,'caseload data'!$D:$D,"PO",'caseload data'!$C:$C,'custody caseload'!$T$50,'caseload data'!$B:$B,"custody")</f>
        <v>0</v>
      </c>
    </row>
    <row r="53" spans="2:36" ht="15" x14ac:dyDescent="0.2">
      <c r="B53" s="97" t="s">
        <v>1007</v>
      </c>
      <c r="C53" s="145">
        <f>SUMIFS('caseload data'!E:E,'caseload data'!$D:$D,"PSO",'caseload data'!$C:$C,'custody caseload'!$B$50,'caseload data'!$B:$B,"custody")</f>
        <v>0</v>
      </c>
      <c r="D53" s="145">
        <f>SUMIFS('caseload data'!F:F,'caseload data'!$D:$D,"PSO",'caseload data'!$C:$C,'custody caseload'!$B$50,'caseload data'!$B:$B,"custody")</f>
        <v>0</v>
      </c>
      <c r="E53" s="145">
        <f>SUMIFS('caseload data'!G:G,'caseload data'!$D:$D,"PSO",'caseload data'!$C:$C,'custody caseload'!$B$50,'caseload data'!$B:$B,"custody")</f>
        <v>0</v>
      </c>
      <c r="F53" s="145">
        <f>SUMIFS('caseload data'!H:H,'caseload data'!$D:$D,"PSO",'caseload data'!$C:$C,'custody caseload'!$B$50,'caseload data'!$B:$B,"custody")</f>
        <v>0</v>
      </c>
      <c r="G53" s="145">
        <f>SUMIFS('caseload data'!I:I,'caseload data'!$D:$D,"PSO",'caseload data'!$C:$C,'custody caseload'!$B$50,'caseload data'!$B:$B,"custody")</f>
        <v>0</v>
      </c>
      <c r="H53" s="145">
        <f>SUMIFS('caseload data'!J:J,'caseload data'!$D:$D,"PSO",'caseload data'!$C:$C,'custody caseload'!$B$50,'caseload data'!$B:$B,"custody")</f>
        <v>0</v>
      </c>
      <c r="I53" s="145">
        <f>SUMIFS('caseload data'!K:K,'caseload data'!$D:$D,"PSO",'caseload data'!$C:$C,'custody caseload'!$B$50,'caseload data'!$B:$B,"custody")</f>
        <v>0</v>
      </c>
      <c r="J53" s="145">
        <f>SUMIFS('caseload data'!L:L,'caseload data'!$D:$D,"PSO",'caseload data'!$C:$C,'custody caseload'!$B$50,'caseload data'!$B:$B,"custody")</f>
        <v>0</v>
      </c>
      <c r="K53" s="94">
        <f>SUMIFS('caseload data'!M:M,'caseload data'!$D:$D,"PSO",'caseload data'!$C:$C,'custody caseload'!$B$50,'caseload data'!$B:$B,"custody")</f>
        <v>0</v>
      </c>
      <c r="L53" s="94">
        <f>SUMIFS('caseload data'!N:N,'caseload data'!$D:$D,"PSO",'caseload data'!$C:$C,'custody caseload'!$B$50,'caseload data'!$B:$B,"custody")</f>
        <v>0</v>
      </c>
      <c r="M53" s="94">
        <f>SUMIFS('caseload data'!O:O,'caseload data'!$D:$D,"PSO",'caseload data'!$C:$C,'custody caseload'!$B$50,'caseload data'!$B:$B,"custody")</f>
        <v>0</v>
      </c>
      <c r="N53" s="94">
        <f>SUMIFS('caseload data'!P:P,'caseload data'!$D:$D,"PSO",'caseload data'!$C:$C,'custody caseload'!$B$50,'caseload data'!$B:$B,"custody")</f>
        <v>0</v>
      </c>
      <c r="O53" s="94">
        <f>SUMIFS('caseload data'!Q:Q,'caseload data'!$D:$D,"PSO",'caseload data'!$C:$C,'custody caseload'!$B$50,'caseload data'!$B:$B,"custody")</f>
        <v>0</v>
      </c>
      <c r="P53" s="94">
        <f>SUMIFS('caseload data'!R:R,'caseload data'!$D:$D,"PSO",'caseload data'!$C:$C,'custody caseload'!$B$50,'caseload data'!$B:$B,"custody")</f>
        <v>0</v>
      </c>
      <c r="Q53" s="94">
        <f>SUMIFS('caseload data'!S:S,'caseload data'!$D:$D,"PSO",'caseload data'!$C:$C,'custody caseload'!$B$50,'caseload data'!$B:$B,"custody")</f>
        <v>0</v>
      </c>
      <c r="R53" s="94">
        <f>SUMIFS('caseload data'!T:T,'caseload data'!$D:$D,"PSO",'caseload data'!$C:$C,'custody caseload'!$B$50,'caseload data'!$B:$B,"custody")</f>
        <v>0</v>
      </c>
      <c r="S53" s="64"/>
      <c r="T53" s="97" t="s">
        <v>1007</v>
      </c>
      <c r="U53" s="145">
        <f>SUMIFS('caseload data'!E:E,'caseload data'!$D:$D,"PSO",'caseload data'!$C:$C,'custody caseload'!$T$50,'caseload data'!$B:$B,"custody")</f>
        <v>0</v>
      </c>
      <c r="V53" s="145">
        <f>SUMIFS('caseload data'!F:F,'caseload data'!$D:$D,"PSO",'caseload data'!$C:$C,'custody caseload'!$T$50,'caseload data'!$B:$B,"custody")</f>
        <v>0</v>
      </c>
      <c r="W53" s="145">
        <f>SUMIFS('caseload data'!G:G,'caseload data'!$D:$D,"PSO",'caseload data'!$C:$C,'custody caseload'!$T$50,'caseload data'!$B:$B,"custody")</f>
        <v>0</v>
      </c>
      <c r="X53" s="145">
        <f>SUMIFS('caseload data'!H:H,'caseload data'!$D:$D,"PSO",'caseload data'!$C:$C,'custody caseload'!$T$50,'caseload data'!$B:$B,"custody")</f>
        <v>0</v>
      </c>
      <c r="Y53" s="145">
        <f>SUMIFS('caseload data'!I:I,'caseload data'!$D:$D,"PSO",'caseload data'!$C:$C,'custody caseload'!$T$50,'caseload data'!$B:$B,"custody")</f>
        <v>0</v>
      </c>
      <c r="Z53" s="145">
        <f>SUMIFS('caseload data'!J:J,'caseload data'!$D:$D,"PSO",'caseload data'!$C:$C,'custody caseload'!$T$50,'caseload data'!$B:$B,"custody")</f>
        <v>0</v>
      </c>
      <c r="AA53" s="145">
        <f>SUMIFS('caseload data'!K:K,'caseload data'!$D:$D,"PSO",'caseload data'!$C:$C,'custody caseload'!$T$50,'caseload data'!$B:$B,"custody")</f>
        <v>0</v>
      </c>
      <c r="AB53" s="145">
        <f>SUMIFS('caseload data'!L:L,'caseload data'!$D:$D,"PSO",'caseload data'!$C:$C,'custody caseload'!$T$50,'caseload data'!$B:$B,"custody")</f>
        <v>0</v>
      </c>
      <c r="AC53" s="94">
        <f>SUMIFS('caseload data'!M:M,'caseload data'!$D:$D,"PSO",'caseload data'!$C:$C,'custody caseload'!$T$50,'caseload data'!$B:$B,"custody")</f>
        <v>0</v>
      </c>
      <c r="AD53" s="94">
        <f>SUMIFS('caseload data'!N:N,'caseload data'!$D:$D,"PSO",'caseload data'!$C:$C,'custody caseload'!$T$50,'caseload data'!$B:$B,"custody")</f>
        <v>0</v>
      </c>
      <c r="AE53" s="94">
        <f>SUMIFS('caseload data'!O:O,'caseload data'!$D:$D,"PSO",'caseload data'!$C:$C,'custody caseload'!$T$50,'caseload data'!$B:$B,"custody")</f>
        <v>0</v>
      </c>
      <c r="AF53" s="94">
        <f>SUMIFS('caseload data'!P:P,'caseload data'!$D:$D,"PSO",'caseload data'!$C:$C,'custody caseload'!$T$50,'caseload data'!$B:$B,"custody")</f>
        <v>0</v>
      </c>
      <c r="AG53" s="94">
        <f>SUMIFS('caseload data'!Q:Q,'caseload data'!$D:$D,"PSO",'caseload data'!$C:$C,'custody caseload'!$T$50,'caseload data'!$B:$B,"custody")</f>
        <v>0</v>
      </c>
      <c r="AH53" s="94">
        <f>SUMIFS('caseload data'!R:R,'caseload data'!$D:$D,"PSO",'caseload data'!$C:$C,'custody caseload'!$T$50,'caseload data'!$B:$B,"custody")</f>
        <v>0</v>
      </c>
      <c r="AI53" s="94">
        <f>SUMIFS('caseload data'!S:S,'caseload data'!$D:$D,"PSO",'caseload data'!$C:$C,'custody caseload'!$T$50,'caseload data'!$B:$B,"custody")</f>
        <v>0</v>
      </c>
      <c r="AJ53" s="94">
        <f>SUMIFS('caseload data'!T:T,'caseload data'!$D:$D,"PSO",'caseload data'!$C:$C,'custody caseload'!$T$50,'caseload data'!$B:$B,"custody")</f>
        <v>0</v>
      </c>
    </row>
    <row r="54" spans="2:36" ht="15" x14ac:dyDescent="0.2">
      <c r="B54" s="97" t="s">
        <v>1008</v>
      </c>
      <c r="C54" s="145">
        <f>SUMIFS('caseload data'!E:E,'caseload data'!$D:$D,"TPO",'caseload data'!$C:$C,'custody caseload'!$B$50,'caseload data'!$B:$B,"custody")</f>
        <v>0</v>
      </c>
      <c r="D54" s="145">
        <f>SUMIFS('caseload data'!F:F,'caseload data'!$D:$D,"TPO",'caseload data'!$C:$C,'custody caseload'!$B$50,'caseload data'!$B:$B,"custody")</f>
        <v>0</v>
      </c>
      <c r="E54" s="145">
        <f>SUMIFS('caseload data'!G:G,'caseload data'!$D:$D,"TPO",'caseload data'!$C:$C,'custody caseload'!$B$50,'caseload data'!$B:$B,"custody")</f>
        <v>0</v>
      </c>
      <c r="F54" s="145">
        <f>SUMIFS('caseload data'!H:H,'caseload data'!$D:$D,"TPO",'caseload data'!$C:$C,'custody caseload'!$B$50,'caseload data'!$B:$B,"custody")</f>
        <v>0</v>
      </c>
      <c r="G54" s="145">
        <f>SUMIFS('caseload data'!I:I,'caseload data'!$D:$D,"TPO",'caseload data'!$C:$C,'custody caseload'!$B$50,'caseload data'!$B:$B,"custody")</f>
        <v>0</v>
      </c>
      <c r="H54" s="145">
        <f>SUMIFS('caseload data'!J:J,'caseload data'!$D:$D,"TPO",'caseload data'!$C:$C,'custody caseload'!$B$50,'caseload data'!$B:$B,"custody")</f>
        <v>0</v>
      </c>
      <c r="I54" s="145">
        <f>SUMIFS('caseload data'!K:K,'caseload data'!$D:$D,"TPO",'caseload data'!$C:$C,'custody caseload'!$B$50,'caseload data'!$B:$B,"custody")</f>
        <v>0</v>
      </c>
      <c r="J54" s="145">
        <f>SUMIFS('caseload data'!L:L,'caseload data'!$D:$D,"TPO",'caseload data'!$C:$C,'custody caseload'!$B$50,'caseload data'!$B:$B,"custody")</f>
        <v>0</v>
      </c>
      <c r="K54" s="94">
        <f>SUMIFS('caseload data'!M:M,'caseload data'!$D:$D,"TPO",'caseload data'!$C:$C,'custody caseload'!$B$50,'caseload data'!$B:$B,"custody")</f>
        <v>0</v>
      </c>
      <c r="L54" s="94">
        <f>SUMIFS('caseload data'!N:N,'caseload data'!$D:$D,"TPO",'caseload data'!$C:$C,'custody caseload'!$B$50,'caseload data'!$B:$B,"custody")</f>
        <v>0</v>
      </c>
      <c r="M54" s="94">
        <f>SUMIFS('caseload data'!O:O,'caseload data'!$D:$D,"TPO",'caseload data'!$C:$C,'custody caseload'!$B$50,'caseload data'!$B:$B,"custody")</f>
        <v>0</v>
      </c>
      <c r="N54" s="94">
        <f>SUMIFS('caseload data'!P:P,'caseload data'!$D:$D,"TPO",'caseload data'!$C:$C,'custody caseload'!$B$50,'caseload data'!$B:$B,"custody")</f>
        <v>0</v>
      </c>
      <c r="O54" s="94">
        <f>SUMIFS('caseload data'!Q:Q,'caseload data'!$D:$D,"TPO",'caseload data'!$C:$C,'custody caseload'!$B$50,'caseload data'!$B:$B,"custody")</f>
        <v>0</v>
      </c>
      <c r="P54" s="94">
        <f>SUMIFS('caseload data'!R:R,'caseload data'!$D:$D,"TPO",'caseload data'!$C:$C,'custody caseload'!$B$50,'caseload data'!$B:$B,"custody")</f>
        <v>0</v>
      </c>
      <c r="Q54" s="94">
        <f>SUMIFS('caseload data'!S:S,'caseload data'!$D:$D,"TPO",'caseload data'!$C:$C,'custody caseload'!$B$50,'caseload data'!$B:$B,"custody")</f>
        <v>0</v>
      </c>
      <c r="R54" s="94">
        <f>SUMIFS('caseload data'!T:T,'caseload data'!$D:$D,"TPO",'caseload data'!$C:$C,'custody caseload'!$B$50,'caseload data'!$B:$B,"custody")</f>
        <v>0</v>
      </c>
      <c r="S54" s="64"/>
      <c r="T54" s="97" t="s">
        <v>1008</v>
      </c>
      <c r="U54" s="145">
        <f>SUMIFS('caseload data'!E:E,'caseload data'!$D:$D,"TPO",'caseload data'!$C:$C,'custody caseload'!$T$50,'caseload data'!$B:$B,"custody")</f>
        <v>0</v>
      </c>
      <c r="V54" s="145">
        <f>SUMIFS('caseload data'!F:F,'caseload data'!$D:$D,"TPO",'caseload data'!$C:$C,'custody caseload'!$T$50,'caseload data'!$B:$B,"custody")</f>
        <v>0</v>
      </c>
      <c r="W54" s="145">
        <f>SUMIFS('caseload data'!G:G,'caseload data'!$D:$D,"TPO",'caseload data'!$C:$C,'custody caseload'!$T$50,'caseload data'!$B:$B,"custody")</f>
        <v>0</v>
      </c>
      <c r="X54" s="145">
        <f>SUMIFS('caseload data'!H:H,'caseload data'!$D:$D,"TPO",'caseload data'!$C:$C,'custody caseload'!$T$50,'caseload data'!$B:$B,"custody")</f>
        <v>0</v>
      </c>
      <c r="Y54" s="145">
        <f>SUMIFS('caseload data'!I:I,'caseload data'!$D:$D,"TPO",'caseload data'!$C:$C,'custody caseload'!$T$50,'caseload data'!$B:$B,"custody")</f>
        <v>0</v>
      </c>
      <c r="Z54" s="145">
        <f>SUMIFS('caseload data'!J:J,'caseload data'!$D:$D,"TPO",'caseload data'!$C:$C,'custody caseload'!$T$50,'caseload data'!$B:$B,"custody")</f>
        <v>0</v>
      </c>
      <c r="AA54" s="145">
        <f>SUMIFS('caseload data'!K:K,'caseload data'!$D:$D,"TPO",'caseload data'!$C:$C,'custody caseload'!$T$50,'caseload data'!$B:$B,"custody")</f>
        <v>0</v>
      </c>
      <c r="AB54" s="145">
        <f>SUMIFS('caseload data'!L:L,'caseload data'!$D:$D,"TPO",'caseload data'!$C:$C,'custody caseload'!$T$50,'caseload data'!$B:$B,"custody")</f>
        <v>0</v>
      </c>
      <c r="AC54" s="94">
        <f>SUMIFS('caseload data'!M:M,'caseload data'!$D:$D,"TPO",'caseload data'!$C:$C,'custody caseload'!$T$50,'caseload data'!$B:$B,"custody")</f>
        <v>0</v>
      </c>
      <c r="AD54" s="94">
        <f>SUMIFS('caseload data'!N:N,'caseload data'!$D:$D,"TPO",'caseload data'!$C:$C,'custody caseload'!$T$50,'caseload data'!$B:$B,"custody")</f>
        <v>0</v>
      </c>
      <c r="AE54" s="94">
        <f>SUMIFS('caseload data'!O:O,'caseload data'!$D:$D,"TPO",'caseload data'!$C:$C,'custody caseload'!$T$50,'caseload data'!$B:$B,"custody")</f>
        <v>0</v>
      </c>
      <c r="AF54" s="94">
        <f>SUMIFS('caseload data'!P:P,'caseload data'!$D:$D,"TPO",'caseload data'!$C:$C,'custody caseload'!$T$50,'caseload data'!$B:$B,"custody")</f>
        <v>0</v>
      </c>
      <c r="AG54" s="94">
        <f>SUMIFS('caseload data'!Q:Q,'caseload data'!$D:$D,"TPO",'caseload data'!$C:$C,'custody caseload'!$T$50,'caseload data'!$B:$B,"custody")</f>
        <v>0</v>
      </c>
      <c r="AH54" s="94">
        <f>SUMIFS('caseload data'!R:R,'caseload data'!$D:$D,"TPO",'caseload data'!$C:$C,'custody caseload'!$T$50,'caseload data'!$B:$B,"custody")</f>
        <v>0</v>
      </c>
      <c r="AI54" s="94">
        <f>SUMIFS('caseload data'!S:S,'caseload data'!$D:$D,"TPO",'caseload data'!$C:$C,'custody caseload'!$T$50,'caseload data'!$B:$B,"custody")</f>
        <v>0</v>
      </c>
      <c r="AJ54" s="94">
        <f>SUMIFS('caseload data'!T:T,'caseload data'!$D:$D,"TPO",'caseload data'!$C:$C,'custody caseload'!$T$50,'caseload data'!$B:$B,"custody")</f>
        <v>0</v>
      </c>
    </row>
    <row r="55" spans="2:36" x14ac:dyDescent="0.15">
      <c r="B55" s="98" t="s">
        <v>1009</v>
      </c>
      <c r="C55" s="94">
        <f>SUMIFS('caseload data'!E:E,'caseload data'!$D:$D,"SPO",'caseload data'!$C:$C,'custody caseload'!$B$50,'caseload data'!$B:$B,"custody")</f>
        <v>0</v>
      </c>
      <c r="D55" s="94">
        <f>SUMIFS('caseload data'!F:F,'caseload data'!$D:$D,"SPO",'caseload data'!$C:$C,'custody caseload'!$B$50,'caseload data'!$B:$B,"custody")</f>
        <v>0</v>
      </c>
      <c r="E55" s="94">
        <f>SUMIFS('caseload data'!G:G,'caseload data'!$D:$D,"SPO",'caseload data'!$C:$C,'custody caseload'!$B$50,'caseload data'!$B:$B,"custody")</f>
        <v>0</v>
      </c>
      <c r="F55" s="94">
        <f>SUMIFS('caseload data'!H:H,'caseload data'!$D:$D,"SPO",'caseload data'!$C:$C,'custody caseload'!$B$50,'caseload data'!$B:$B,"custody")</f>
        <v>0</v>
      </c>
      <c r="G55" s="94">
        <f>SUMIFS('caseload data'!I:I,'caseload data'!$D:$D,"SPO",'caseload data'!$C:$C,'custody caseload'!$B$50,'caseload data'!$B:$B,"custody")</f>
        <v>0</v>
      </c>
      <c r="H55" s="94">
        <f>SUMIFS('caseload data'!J:J,'caseload data'!$D:$D,"SPO",'caseload data'!$C:$C,'custody caseload'!$B$50,'caseload data'!$B:$B,"custody")</f>
        <v>0</v>
      </c>
      <c r="I55" s="94">
        <f>SUMIFS('caseload data'!K:K,'caseload data'!$D:$D,"SPO",'caseload data'!$C:$C,'custody caseload'!$B$50,'caseload data'!$B:$B,"custody")</f>
        <v>0</v>
      </c>
      <c r="J55" s="94">
        <f>SUMIFS('caseload data'!L:L,'caseload data'!$D:$D,"SPO",'caseload data'!$C:$C,'custody caseload'!$B$50,'caseload data'!$B:$B,"custody")</f>
        <v>0</v>
      </c>
      <c r="K55" s="94">
        <f>SUMIFS('caseload data'!M:M,'caseload data'!$D:$D,"SPO",'caseload data'!$C:$C,'custody caseload'!$B$50,'caseload data'!$B:$B,"custody")</f>
        <v>0</v>
      </c>
      <c r="L55" s="94">
        <f>SUMIFS('caseload data'!N:N,'caseload data'!$D:$D,"SPO",'caseload data'!$C:$C,'custody caseload'!$B$50,'caseload data'!$B:$B,"custody")</f>
        <v>0</v>
      </c>
      <c r="M55" s="94">
        <f>SUMIFS('caseload data'!O:O,'caseload data'!$D:$D,"SPO",'caseload data'!$C:$C,'custody caseload'!$B$50,'caseload data'!$B:$B,"custody")</f>
        <v>0</v>
      </c>
      <c r="N55" s="94">
        <f>SUMIFS('caseload data'!P:P,'caseload data'!$D:$D,"SPO",'caseload data'!$C:$C,'custody caseload'!$B$50,'caseload data'!$B:$B,"custody")</f>
        <v>0</v>
      </c>
      <c r="O55" s="94">
        <f>SUMIFS('caseload data'!Q:Q,'caseload data'!$D:$D,"SPO",'caseload data'!$C:$C,'custody caseload'!$B$50,'caseload data'!$B:$B,"custody")</f>
        <v>0</v>
      </c>
      <c r="P55" s="94">
        <f>SUMIFS('caseload data'!R:R,'caseload data'!$D:$D,"SPO",'caseload data'!$C:$C,'custody caseload'!$B$50,'caseload data'!$B:$B,"custody")</f>
        <v>0</v>
      </c>
      <c r="Q55" s="94">
        <f>SUMIFS('caseload data'!S:S,'caseload data'!$D:$D,"SPO",'caseload data'!$C:$C,'custody caseload'!$B$50,'caseload data'!$B:$B,"custody")</f>
        <v>0</v>
      </c>
      <c r="R55" s="94">
        <f>SUMIFS('caseload data'!T:T,'caseload data'!$D:$D,"SPO",'caseload data'!$C:$C,'custody caseload'!$B$50,'caseload data'!$B:$B,"custody")</f>
        <v>0</v>
      </c>
      <c r="S55" s="64"/>
      <c r="T55" s="98" t="s">
        <v>1009</v>
      </c>
      <c r="U55" s="94">
        <f>SUMIFS('caseload data'!E:E,'caseload data'!$D:$D,"SPO",'caseload data'!$C:$C,'custody caseload'!$T$50,'caseload data'!$B:$B,"custody")</f>
        <v>0</v>
      </c>
      <c r="V55" s="94">
        <f>SUMIFS('caseload data'!F:F,'caseload data'!$D:$D,"SPO",'caseload data'!$C:$C,'custody caseload'!$T$50,'caseload data'!$B:$B,"custody")</f>
        <v>0</v>
      </c>
      <c r="W55" s="94">
        <f>SUMIFS('caseload data'!G:G,'caseload data'!$D:$D,"SPO",'caseload data'!$C:$C,'custody caseload'!$T$50,'caseload data'!$B:$B,"custody")</f>
        <v>0</v>
      </c>
      <c r="X55" s="94">
        <f>SUMIFS('caseload data'!H:H,'caseload data'!$D:$D,"SPO",'caseload data'!$C:$C,'custody caseload'!$T$50,'caseload data'!$B:$B,"custody")</f>
        <v>0</v>
      </c>
      <c r="Y55" s="94">
        <f>SUMIFS('caseload data'!I:I,'caseload data'!$D:$D,"SPO",'caseload data'!$C:$C,'custody caseload'!$T$50,'caseload data'!$B:$B,"custody")</f>
        <v>0</v>
      </c>
      <c r="Z55" s="94">
        <f>SUMIFS('caseload data'!J:J,'caseload data'!$D:$D,"SPO",'caseload data'!$C:$C,'custody caseload'!$T$50,'caseload data'!$B:$B,"custody")</f>
        <v>0</v>
      </c>
      <c r="AA55" s="94">
        <f>SUMIFS('caseload data'!K:K,'caseload data'!$D:$D,"SPO",'caseload data'!$C:$C,'custody caseload'!$T$50,'caseload data'!$B:$B,"custody")</f>
        <v>0</v>
      </c>
      <c r="AB55" s="94">
        <f>SUMIFS('caseload data'!L:L,'caseload data'!$D:$D,"SPO",'caseload data'!$C:$C,'custody caseload'!$T$50,'caseload data'!$B:$B,"custody")</f>
        <v>0</v>
      </c>
      <c r="AC55" s="94">
        <f>SUMIFS('caseload data'!M:M,'caseload data'!$D:$D,"SPO",'caseload data'!$C:$C,'custody caseload'!$T$50,'caseload data'!$B:$B,"custody")</f>
        <v>0</v>
      </c>
      <c r="AD55" s="94">
        <f>SUMIFS('caseload data'!N:N,'caseload data'!$D:$D,"SPO",'caseload data'!$C:$C,'custody caseload'!$T$50,'caseload data'!$B:$B,"custody")</f>
        <v>0</v>
      </c>
      <c r="AE55" s="94">
        <f>SUMIFS('caseload data'!O:O,'caseload data'!$D:$D,"SPO",'caseload data'!$C:$C,'custody caseload'!$T$50,'caseload data'!$B:$B,"custody")</f>
        <v>0</v>
      </c>
      <c r="AF55" s="94">
        <f>SUMIFS('caseload data'!P:P,'caseload data'!$D:$D,"SPO",'caseload data'!$C:$C,'custody caseload'!$T$50,'caseload data'!$B:$B,"custody")</f>
        <v>0</v>
      </c>
      <c r="AG55" s="94">
        <f>SUMIFS('caseload data'!Q:Q,'caseload data'!$D:$D,"SPO",'caseload data'!$C:$C,'custody caseload'!$T$50,'caseload data'!$B:$B,"custody")</f>
        <v>0</v>
      </c>
      <c r="AH55" s="94">
        <f>SUMIFS('caseload data'!R:R,'caseload data'!$D:$D,"SPO",'caseload data'!$C:$C,'custody caseload'!$T$50,'caseload data'!$B:$B,"custody")</f>
        <v>0</v>
      </c>
      <c r="AI55" s="94">
        <f>SUMIFS('caseload data'!S:S,'caseload data'!$D:$D,"SPO",'caseload data'!$C:$C,'custody caseload'!$T$50,'caseload data'!$B:$B,"custody")</f>
        <v>0</v>
      </c>
      <c r="AJ55" s="94">
        <f>SUMIFS('caseload data'!T:T,'caseload data'!$D:$D,"SPO",'caseload data'!$C:$C,'custody caseload'!$T$50,'caseload data'!$B:$B,"custody")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142">
        <f>HLOOKUP($B$5,Region_Table,16,0)</f>
        <v>0</v>
      </c>
      <c r="C57" s="523" t="s">
        <v>1131</v>
      </c>
      <c r="D57" s="524"/>
      <c r="E57" s="524"/>
      <c r="F57" s="524"/>
      <c r="G57" s="524"/>
      <c r="H57" s="524"/>
      <c r="I57" s="524"/>
      <c r="J57" s="524"/>
      <c r="K57" s="524"/>
      <c r="L57" s="524"/>
      <c r="M57" s="533"/>
      <c r="N57" s="533"/>
      <c r="O57" s="534"/>
      <c r="P57" s="510">
        <f>SUMIFS('caseload data'!V:V,'caseload data'!B:B,"custody",'caseload data'!$C:$C,'custody caseload'!B57)</f>
        <v>0</v>
      </c>
      <c r="Q57" s="527"/>
      <c r="R57" s="528"/>
      <c r="S57" s="64"/>
      <c r="T57" s="142">
        <f>HLOOKUP($B$5,Region_Table,17,0)</f>
        <v>0</v>
      </c>
      <c r="U57" s="523" t="s">
        <v>1131</v>
      </c>
      <c r="V57" s="524"/>
      <c r="W57" s="524"/>
      <c r="X57" s="524"/>
      <c r="Y57" s="524"/>
      <c r="Z57" s="524"/>
      <c r="AA57" s="524"/>
      <c r="AB57" s="524"/>
      <c r="AC57" s="524"/>
      <c r="AD57" s="524"/>
      <c r="AE57" s="533"/>
      <c r="AF57" s="533"/>
      <c r="AG57" s="534"/>
      <c r="AH57" s="510">
        <f>SUMIFS('caseload data'!V:V,'caseload data'!B:B,"custody",'caseload data'!$C:$C,'custody caseload'!T57)</f>
        <v>0</v>
      </c>
      <c r="AI57" s="527"/>
      <c r="AJ57" s="528"/>
    </row>
    <row r="58" spans="2:36" x14ac:dyDescent="0.15">
      <c r="B58" s="95" t="s">
        <v>1006</v>
      </c>
      <c r="C58" s="38" t="s">
        <v>869</v>
      </c>
      <c r="D58" s="38" t="s">
        <v>870</v>
      </c>
      <c r="E58" s="38" t="s">
        <v>871</v>
      </c>
      <c r="F58" s="38" t="s">
        <v>872</v>
      </c>
      <c r="G58" s="38" t="s">
        <v>873</v>
      </c>
      <c r="H58" s="38" t="s">
        <v>874</v>
      </c>
      <c r="I58" s="38" t="s">
        <v>875</v>
      </c>
      <c r="J58" s="38" t="s">
        <v>876</v>
      </c>
      <c r="K58" s="38" t="s">
        <v>877</v>
      </c>
      <c r="L58" s="38" t="s">
        <v>878</v>
      </c>
      <c r="M58" s="38" t="s">
        <v>879</v>
      </c>
      <c r="N58" s="38" t="s">
        <v>880</v>
      </c>
      <c r="O58" s="38" t="s">
        <v>881</v>
      </c>
      <c r="P58" s="38" t="s">
        <v>882</v>
      </c>
      <c r="Q58" s="38" t="s">
        <v>883</v>
      </c>
      <c r="R58" s="38" t="s">
        <v>884</v>
      </c>
      <c r="S58" s="64"/>
      <c r="T58" s="95" t="s">
        <v>1006</v>
      </c>
      <c r="U58" s="38" t="s">
        <v>869</v>
      </c>
      <c r="V58" s="38" t="s">
        <v>870</v>
      </c>
      <c r="W58" s="38" t="s">
        <v>871</v>
      </c>
      <c r="X58" s="38" t="s">
        <v>872</v>
      </c>
      <c r="Y58" s="38" t="s">
        <v>873</v>
      </c>
      <c r="Z58" s="38" t="s">
        <v>874</v>
      </c>
      <c r="AA58" s="38" t="s">
        <v>875</v>
      </c>
      <c r="AB58" s="38" t="s">
        <v>876</v>
      </c>
      <c r="AC58" s="38" t="s">
        <v>877</v>
      </c>
      <c r="AD58" s="38" t="s">
        <v>878</v>
      </c>
      <c r="AE58" s="38" t="s">
        <v>879</v>
      </c>
      <c r="AF58" s="38" t="s">
        <v>880</v>
      </c>
      <c r="AG58" s="38" t="s">
        <v>881</v>
      </c>
      <c r="AH58" s="38" t="s">
        <v>882</v>
      </c>
      <c r="AI58" s="38" t="s">
        <v>883</v>
      </c>
      <c r="AJ58" s="38" t="s">
        <v>884</v>
      </c>
    </row>
    <row r="59" spans="2:36" x14ac:dyDescent="0.15">
      <c r="B59" s="96" t="s">
        <v>1002</v>
      </c>
      <c r="C59" s="94">
        <f>SUMIFS('caseload data'!E:E,'caseload data'!$D:$D,"PO",'caseload data'!$C:$C,'custody caseload'!$B$57,'caseload data'!$B:$B,"custody")</f>
        <v>0</v>
      </c>
      <c r="D59" s="94">
        <f>SUMIFS('caseload data'!F:F,'caseload data'!$D:$D,"PO",'caseload data'!$C:$C,'custody caseload'!$B$57,'caseload data'!$B:$B,"custody")</f>
        <v>0</v>
      </c>
      <c r="E59" s="94">
        <f>SUMIFS('caseload data'!G:G,'caseload data'!$D:$D,"PO",'caseload data'!$C:$C,'custody caseload'!$B$57,'caseload data'!$B:$B,"custody")</f>
        <v>0</v>
      </c>
      <c r="F59" s="94">
        <f>SUMIFS('caseload data'!H:H,'caseload data'!$D:$D,"PO",'caseload data'!$C:$C,'custody caseload'!$B$57,'caseload data'!$B:$B,"custody")</f>
        <v>0</v>
      </c>
      <c r="G59" s="94">
        <f>SUMIFS('caseload data'!I:I,'caseload data'!$D:$D,"PO",'caseload data'!$C:$C,'custody caseload'!$B$57,'caseload data'!$B:$B,"custody")</f>
        <v>0</v>
      </c>
      <c r="H59" s="94">
        <f>SUMIFS('caseload data'!J:J,'caseload data'!$D:$D,"PO",'caseload data'!$C:$C,'custody caseload'!$B$57,'caseload data'!$B:$B,"custody")</f>
        <v>0</v>
      </c>
      <c r="I59" s="94">
        <f>SUMIFS('caseload data'!K:K,'caseload data'!$D:$D,"PO",'caseload data'!$C:$C,'custody caseload'!$B$57,'caseload data'!$B:$B,"custody")</f>
        <v>0</v>
      </c>
      <c r="J59" s="94">
        <f>SUMIFS('caseload data'!L:L,'caseload data'!$D:$D,"PO",'caseload data'!$C:$C,'custody caseload'!$B$57,'caseload data'!$B:$B,"custody")</f>
        <v>0</v>
      </c>
      <c r="K59" s="94">
        <f>SUMIFS('caseload data'!M:M,'caseload data'!$D:$D,"PO",'caseload data'!$C:$C,'custody caseload'!$B$57,'caseload data'!$B:$B,"custody")</f>
        <v>0</v>
      </c>
      <c r="L59" s="94">
        <f>SUMIFS('caseload data'!N:N,'caseload data'!$D:$D,"PO",'caseload data'!$C:$C,'custody caseload'!$B$57,'caseload data'!$B:$B,"custody")</f>
        <v>0</v>
      </c>
      <c r="M59" s="94">
        <f>SUMIFS('caseload data'!O:O,'caseload data'!$D:$D,"PO",'caseload data'!$C:$C,'custody caseload'!$B$57,'caseload data'!$B:$B,"custody")</f>
        <v>0</v>
      </c>
      <c r="N59" s="94">
        <f>SUMIFS('caseload data'!P:P,'caseload data'!$D:$D,"PO",'caseload data'!$C:$C,'custody caseload'!$B$57,'caseload data'!$B:$B,"custody")</f>
        <v>0</v>
      </c>
      <c r="O59" s="94">
        <f>SUMIFS('caseload data'!Q:Q,'caseload data'!$D:$D,"PO",'caseload data'!$C:$C,'custody caseload'!$B$57,'caseload data'!$B:$B,"custody")</f>
        <v>0</v>
      </c>
      <c r="P59" s="94">
        <f>SUMIFS('caseload data'!R:R,'caseload data'!$D:$D,"PO",'caseload data'!$C:$C,'custody caseload'!$B$57,'caseload data'!$B:$B,"custody")</f>
        <v>0</v>
      </c>
      <c r="Q59" s="94">
        <f>SUMIFS('caseload data'!S:S,'caseload data'!$D:$D,"PO",'caseload data'!$C:$C,'custody caseload'!$B$57,'caseload data'!$B:$B,"custody")</f>
        <v>0</v>
      </c>
      <c r="R59" s="94">
        <f>SUMIFS('caseload data'!T:T,'caseload data'!$D:$D,"PO",'caseload data'!$C:$C,'custody caseload'!$B$57,'caseload data'!$B:$B,"custody")</f>
        <v>0</v>
      </c>
      <c r="S59" s="64"/>
      <c r="T59" s="96" t="s">
        <v>1002</v>
      </c>
      <c r="U59" s="94">
        <f>SUMIFS('caseload data'!E:E,'caseload data'!$D:$D,"PO",'caseload data'!$C:$C,'custody caseload'!$T$57,'caseload data'!$B:$B,"custody")</f>
        <v>0</v>
      </c>
      <c r="V59" s="94">
        <f>SUMIFS('caseload data'!F:F,'caseload data'!$D:$D,"PO",'caseload data'!$C:$C,'custody caseload'!$T$57,'caseload data'!$B:$B,"custody")</f>
        <v>0</v>
      </c>
      <c r="W59" s="94">
        <f>SUMIFS('caseload data'!G:G,'caseload data'!$D:$D,"PO",'caseload data'!$C:$C,'custody caseload'!$T$57,'caseload data'!$B:$B,"custody")</f>
        <v>0</v>
      </c>
      <c r="X59" s="94">
        <f>SUMIFS('caseload data'!H:H,'caseload data'!$D:$D,"PO",'caseload data'!$C:$C,'custody caseload'!$T$57,'caseload data'!$B:$B,"custody")</f>
        <v>0</v>
      </c>
      <c r="Y59" s="94">
        <f>SUMIFS('caseload data'!I:I,'caseload data'!$D:$D,"PO",'caseload data'!$C:$C,'custody caseload'!$T$57,'caseload data'!$B:$B,"custody")</f>
        <v>0</v>
      </c>
      <c r="Z59" s="94">
        <f>SUMIFS('caseload data'!J:J,'caseload data'!$D:$D,"PO",'caseload data'!$C:$C,'custody caseload'!$T$57,'caseload data'!$B:$B,"custody")</f>
        <v>0</v>
      </c>
      <c r="AA59" s="94">
        <f>SUMIFS('caseload data'!K:K,'caseload data'!$D:$D,"PO",'caseload data'!$C:$C,'custody caseload'!$T$57,'caseload data'!$B:$B,"custody")</f>
        <v>0</v>
      </c>
      <c r="AB59" s="94">
        <f>SUMIFS('caseload data'!L:L,'caseload data'!$D:$D,"PO",'caseload data'!$C:$C,'custody caseload'!$T$57,'caseload data'!$B:$B,"custody")</f>
        <v>0</v>
      </c>
      <c r="AC59" s="94">
        <f>SUMIFS('caseload data'!M:M,'caseload data'!$D:$D,"PO",'caseload data'!$C:$C,'custody caseload'!$T$57,'caseload data'!$B:$B,"custody")</f>
        <v>0</v>
      </c>
      <c r="AD59" s="94">
        <f>SUMIFS('caseload data'!N:N,'caseload data'!$D:$D,"PO",'caseload data'!$C:$C,'custody caseload'!$T$57,'caseload data'!$B:$B,"custody")</f>
        <v>0</v>
      </c>
      <c r="AE59" s="94">
        <f>SUMIFS('caseload data'!O:O,'caseload data'!$D:$D,"PO",'caseload data'!$C:$C,'custody caseload'!$T$57,'caseload data'!$B:$B,"custody")</f>
        <v>0</v>
      </c>
      <c r="AF59" s="94">
        <f>SUMIFS('caseload data'!P:P,'caseload data'!$D:$D,"PO",'caseload data'!$C:$C,'custody caseload'!$T$57,'caseload data'!$B:$B,"custody")</f>
        <v>0</v>
      </c>
      <c r="AG59" s="94">
        <f>SUMIFS('caseload data'!Q:Q,'caseload data'!$D:$D,"PO",'caseload data'!$C:$C,'custody caseload'!$T$57,'caseload data'!$B:$B,"custody")</f>
        <v>0</v>
      </c>
      <c r="AH59" s="94">
        <f>SUMIFS('caseload data'!R:R,'caseload data'!$D:$D,"PO",'caseload data'!$C:$C,'custody caseload'!$T$57,'caseload data'!$B:$B,"custody")</f>
        <v>0</v>
      </c>
      <c r="AI59" s="94">
        <f>SUMIFS('caseload data'!S:S,'caseload data'!$D:$D,"PO",'caseload data'!$C:$C,'custody caseload'!$T$57,'caseload data'!$B:$B,"custody")</f>
        <v>0</v>
      </c>
      <c r="AJ59" s="94">
        <f>SUMIFS('caseload data'!T:T,'caseload data'!$D:$D,"PO",'caseload data'!$C:$C,'custody caseload'!$T$57,'caseload data'!$B:$B,"custody")</f>
        <v>0</v>
      </c>
    </row>
    <row r="60" spans="2:36" ht="15" x14ac:dyDescent="0.2">
      <c r="B60" s="97" t="s">
        <v>1007</v>
      </c>
      <c r="C60" s="145">
        <f>SUMIFS('caseload data'!E:E,'caseload data'!$D:$D,"PSO",'caseload data'!$C:$C,'custody caseload'!$B$57,'caseload data'!$B:$B,"custody")</f>
        <v>0</v>
      </c>
      <c r="D60" s="145">
        <f>SUMIFS('caseload data'!F:F,'caseload data'!$D:$D,"PSO",'caseload data'!$C:$C,'custody caseload'!$B$57,'caseload data'!$B:$B,"custody")</f>
        <v>0</v>
      </c>
      <c r="E60" s="145">
        <f>SUMIFS('caseload data'!G:G,'caseload data'!$D:$D,"PSO",'caseload data'!$C:$C,'custody caseload'!$B$57,'caseload data'!$B:$B,"custody")</f>
        <v>0</v>
      </c>
      <c r="F60" s="145">
        <f>SUMIFS('caseload data'!H:H,'caseload data'!$D:$D,"PSO",'caseload data'!$C:$C,'custody caseload'!$B$57,'caseload data'!$B:$B,"custody")</f>
        <v>0</v>
      </c>
      <c r="G60" s="145">
        <f>SUMIFS('caseload data'!I:I,'caseload data'!$D:$D,"PSO",'caseload data'!$C:$C,'custody caseload'!$B$57,'caseload data'!$B:$B,"custody")</f>
        <v>0</v>
      </c>
      <c r="H60" s="145">
        <f>SUMIFS('caseload data'!J:J,'caseload data'!$D:$D,"PSO",'caseload data'!$C:$C,'custody caseload'!$B$57,'caseload data'!$B:$B,"custody")</f>
        <v>0</v>
      </c>
      <c r="I60" s="145">
        <f>SUMIFS('caseload data'!K:K,'caseload data'!$D:$D,"PSO",'caseload data'!$C:$C,'custody caseload'!$B$57,'caseload data'!$B:$B,"custody")</f>
        <v>0</v>
      </c>
      <c r="J60" s="145">
        <f>SUMIFS('caseload data'!L:L,'caseload data'!$D:$D,"PSO",'caseload data'!$C:$C,'custody caseload'!$B$57,'caseload data'!$B:$B,"custody")</f>
        <v>0</v>
      </c>
      <c r="K60" s="94">
        <f>SUMIFS('caseload data'!M:M,'caseload data'!$D:$D,"PSO",'caseload data'!$C:$C,'custody caseload'!$B$57,'caseload data'!$B:$B,"custody")</f>
        <v>0</v>
      </c>
      <c r="L60" s="94">
        <f>SUMIFS('caseload data'!N:N,'caseload data'!$D:$D,"PSO",'caseload data'!$C:$C,'custody caseload'!$B$57,'caseload data'!$B:$B,"custody")</f>
        <v>0</v>
      </c>
      <c r="M60" s="94">
        <f>SUMIFS('caseload data'!O:O,'caseload data'!$D:$D,"PSO",'caseload data'!$C:$C,'custody caseload'!$B$57,'caseload data'!$B:$B,"custody")</f>
        <v>0</v>
      </c>
      <c r="N60" s="94">
        <f>SUMIFS('caseload data'!P:P,'caseload data'!$D:$D,"PSO",'caseload data'!$C:$C,'custody caseload'!$B$57,'caseload data'!$B:$B,"custody")</f>
        <v>0</v>
      </c>
      <c r="O60" s="94">
        <f>SUMIFS('caseload data'!Q:Q,'caseload data'!$D:$D,"PSO",'caseload data'!$C:$C,'custody caseload'!$B$57,'caseload data'!$B:$B,"custody")</f>
        <v>0</v>
      </c>
      <c r="P60" s="94">
        <f>SUMIFS('caseload data'!R:R,'caseload data'!$D:$D,"PSO",'caseload data'!$C:$C,'custody caseload'!$B$57,'caseload data'!$B:$B,"custody")</f>
        <v>0</v>
      </c>
      <c r="Q60" s="94">
        <f>SUMIFS('caseload data'!S:S,'caseload data'!$D:$D,"PSO",'caseload data'!$C:$C,'custody caseload'!$B$57,'caseload data'!$B:$B,"custody")</f>
        <v>0</v>
      </c>
      <c r="R60" s="94">
        <f>SUMIFS('caseload data'!T:T,'caseload data'!$D:$D,"PSO",'caseload data'!$C:$C,'custody caseload'!$B$57,'caseload data'!$B:$B,"custody")</f>
        <v>0</v>
      </c>
      <c r="S60" s="64"/>
      <c r="T60" s="97" t="s">
        <v>1007</v>
      </c>
      <c r="U60" s="145">
        <f>SUMIFS('caseload data'!E:E,'caseload data'!$D:$D,"PSO",'caseload data'!$C:$C,'custody caseload'!$T$57,'caseload data'!$B:$B,"custody")</f>
        <v>0</v>
      </c>
      <c r="V60" s="145">
        <f>SUMIFS('caseload data'!F:F,'caseload data'!$D:$D,"PSO",'caseload data'!$C:$C,'custody caseload'!$T$57,'caseload data'!$B:$B,"custody")</f>
        <v>0</v>
      </c>
      <c r="W60" s="145">
        <f>SUMIFS('caseload data'!G:G,'caseload data'!$D:$D,"PSO",'caseload data'!$C:$C,'custody caseload'!$T$57,'caseload data'!$B:$B,"custody")</f>
        <v>0</v>
      </c>
      <c r="X60" s="145">
        <f>SUMIFS('caseload data'!H:H,'caseload data'!$D:$D,"PSO",'caseload data'!$C:$C,'custody caseload'!$T$57,'caseload data'!$B:$B,"custody")</f>
        <v>0</v>
      </c>
      <c r="Y60" s="145">
        <f>SUMIFS('caseload data'!I:I,'caseload data'!$D:$D,"PSO",'caseload data'!$C:$C,'custody caseload'!$T$57,'caseload data'!$B:$B,"custody")</f>
        <v>0</v>
      </c>
      <c r="Z60" s="145">
        <f>SUMIFS('caseload data'!J:J,'caseload data'!$D:$D,"PSO",'caseload data'!$C:$C,'custody caseload'!$T$57,'caseload data'!$B:$B,"custody")</f>
        <v>0</v>
      </c>
      <c r="AA60" s="145">
        <f>SUMIFS('caseload data'!K:K,'caseload data'!$D:$D,"PSO",'caseload data'!$C:$C,'custody caseload'!$T$57,'caseload data'!$B:$B,"custody")</f>
        <v>0</v>
      </c>
      <c r="AB60" s="145">
        <f>SUMIFS('caseload data'!L:L,'caseload data'!$D:$D,"PSO",'caseload data'!$C:$C,'custody caseload'!$T$57,'caseload data'!$B:$B,"custody")</f>
        <v>0</v>
      </c>
      <c r="AC60" s="94">
        <f>SUMIFS('caseload data'!M:M,'caseload data'!$D:$D,"PSO",'caseload data'!$C:$C,'custody caseload'!$T$57,'caseload data'!$B:$B,"custody")</f>
        <v>0</v>
      </c>
      <c r="AD60" s="94">
        <f>SUMIFS('caseload data'!N:N,'caseload data'!$D:$D,"PSO",'caseload data'!$C:$C,'custody caseload'!$T$57,'caseload data'!$B:$B,"custody")</f>
        <v>0</v>
      </c>
      <c r="AE60" s="94">
        <f>SUMIFS('caseload data'!O:O,'caseload data'!$D:$D,"PSO",'caseload data'!$C:$C,'custody caseload'!$T$57,'caseload data'!$B:$B,"custody")</f>
        <v>0</v>
      </c>
      <c r="AF60" s="94">
        <f>SUMIFS('caseload data'!P:P,'caseload data'!$D:$D,"PSO",'caseload data'!$C:$C,'custody caseload'!$T$57,'caseload data'!$B:$B,"custody")</f>
        <v>0</v>
      </c>
      <c r="AG60" s="94">
        <f>SUMIFS('caseload data'!Q:Q,'caseload data'!$D:$D,"PSO",'caseload data'!$C:$C,'custody caseload'!$T$57,'caseload data'!$B:$B,"custody")</f>
        <v>0</v>
      </c>
      <c r="AH60" s="94">
        <f>SUMIFS('caseload data'!R:R,'caseload data'!$D:$D,"PSO",'caseload data'!$C:$C,'custody caseload'!$T$57,'caseload data'!$B:$B,"custody")</f>
        <v>0</v>
      </c>
      <c r="AI60" s="94">
        <f>SUMIFS('caseload data'!S:S,'caseload data'!$D:$D,"PSO",'caseload data'!$C:$C,'custody caseload'!$T$57,'caseload data'!$B:$B,"custody")</f>
        <v>0</v>
      </c>
      <c r="AJ60" s="94">
        <f>SUMIFS('caseload data'!T:T,'caseload data'!$D:$D,"PSO",'caseload data'!$C:$C,'custody caseload'!$T$57,'caseload data'!$B:$B,"custody")</f>
        <v>0</v>
      </c>
    </row>
    <row r="61" spans="2:36" ht="15" x14ac:dyDescent="0.2">
      <c r="B61" s="97" t="s">
        <v>1008</v>
      </c>
      <c r="C61" s="145">
        <f>SUMIFS('caseload data'!E:E,'caseload data'!$D:$D,"TPO",'caseload data'!$C:$C,'custody caseload'!$B$57,'caseload data'!$B:$B,"custody")</f>
        <v>0</v>
      </c>
      <c r="D61" s="145">
        <f>SUMIFS('caseload data'!F:F,'caseload data'!$D:$D,"TPO",'caseload data'!$C:$C,'custody caseload'!$B$57,'caseload data'!$B:$B,"custody")</f>
        <v>0</v>
      </c>
      <c r="E61" s="145">
        <f>SUMIFS('caseload data'!G:G,'caseload data'!$D:$D,"TPO",'caseload data'!$C:$C,'custody caseload'!$B$57,'caseload data'!$B:$B,"custody")</f>
        <v>0</v>
      </c>
      <c r="F61" s="145">
        <f>SUMIFS('caseload data'!H:H,'caseload data'!$D:$D,"TPO",'caseload data'!$C:$C,'custody caseload'!$B$57,'caseload data'!$B:$B,"custody")</f>
        <v>0</v>
      </c>
      <c r="G61" s="145">
        <f>SUMIFS('caseload data'!I:I,'caseload data'!$D:$D,"TPO",'caseload data'!$C:$C,'custody caseload'!$B$57,'caseload data'!$B:$B,"custody")</f>
        <v>0</v>
      </c>
      <c r="H61" s="145">
        <f>SUMIFS('caseload data'!J:J,'caseload data'!$D:$D,"TPO",'caseload data'!$C:$C,'custody caseload'!$B$57,'caseload data'!$B:$B,"custody")</f>
        <v>0</v>
      </c>
      <c r="I61" s="145">
        <f>SUMIFS('caseload data'!K:K,'caseload data'!$D:$D,"TPO",'caseload data'!$C:$C,'custody caseload'!$B$57,'caseload data'!$B:$B,"custody")</f>
        <v>0</v>
      </c>
      <c r="J61" s="145">
        <f>SUMIFS('caseload data'!L:L,'caseload data'!$D:$D,"TPO",'caseload data'!$C:$C,'custody caseload'!$B$57,'caseload data'!$B:$B,"custody")</f>
        <v>0</v>
      </c>
      <c r="K61" s="94">
        <f>SUMIFS('caseload data'!M:M,'caseload data'!$D:$D,"TPO",'caseload data'!$C:$C,'custody caseload'!$B$57,'caseload data'!$B:$B,"custody")</f>
        <v>0</v>
      </c>
      <c r="L61" s="94">
        <f>SUMIFS('caseload data'!N:N,'caseload data'!$D:$D,"TPO",'caseload data'!$C:$C,'custody caseload'!$B$57,'caseload data'!$B:$B,"custody")</f>
        <v>0</v>
      </c>
      <c r="M61" s="94">
        <f>SUMIFS('caseload data'!O:O,'caseload data'!$D:$D,"TPO",'caseload data'!$C:$C,'custody caseload'!$B$57,'caseload data'!$B:$B,"custody")</f>
        <v>0</v>
      </c>
      <c r="N61" s="94">
        <f>SUMIFS('caseload data'!P:P,'caseload data'!$D:$D,"TPO",'caseload data'!$C:$C,'custody caseload'!$B$57,'caseload data'!$B:$B,"custody")</f>
        <v>0</v>
      </c>
      <c r="O61" s="94">
        <f>SUMIFS('caseload data'!Q:Q,'caseload data'!$D:$D,"TPO",'caseload data'!$C:$C,'custody caseload'!$B$57,'caseload data'!$B:$B,"custody")</f>
        <v>0</v>
      </c>
      <c r="P61" s="94">
        <f>SUMIFS('caseload data'!R:R,'caseload data'!$D:$D,"TPO",'caseload data'!$C:$C,'custody caseload'!$B$57,'caseload data'!$B:$B,"custody")</f>
        <v>0</v>
      </c>
      <c r="Q61" s="94">
        <f>SUMIFS('caseload data'!S:S,'caseload data'!$D:$D,"TPO",'caseload data'!$C:$C,'custody caseload'!$B$57,'caseload data'!$B:$B,"custody")</f>
        <v>0</v>
      </c>
      <c r="R61" s="94">
        <f>SUMIFS('caseload data'!T:T,'caseload data'!$D:$D,"TPO",'caseload data'!$C:$C,'custody caseload'!$B$57,'caseload data'!$B:$B,"custody")</f>
        <v>0</v>
      </c>
      <c r="S61" s="64"/>
      <c r="T61" s="97" t="s">
        <v>1008</v>
      </c>
      <c r="U61" s="145">
        <f>SUMIFS('caseload data'!E:E,'caseload data'!$D:$D,"TPO",'caseload data'!$C:$C,'custody caseload'!$T$57,'caseload data'!$B:$B,"custody")</f>
        <v>0</v>
      </c>
      <c r="V61" s="145">
        <f>SUMIFS('caseload data'!F:F,'caseload data'!$D:$D,"TPO",'caseload data'!$C:$C,'custody caseload'!$T$57,'caseload data'!$B:$B,"custody")</f>
        <v>0</v>
      </c>
      <c r="W61" s="145">
        <f>SUMIFS('caseload data'!G:G,'caseload data'!$D:$D,"TPO",'caseload data'!$C:$C,'custody caseload'!$T$57,'caseload data'!$B:$B,"custody")</f>
        <v>0</v>
      </c>
      <c r="X61" s="145">
        <f>SUMIFS('caseload data'!H:H,'caseload data'!$D:$D,"TPO",'caseload data'!$C:$C,'custody caseload'!$T$57,'caseload data'!$B:$B,"custody")</f>
        <v>0</v>
      </c>
      <c r="Y61" s="145">
        <f>SUMIFS('caseload data'!I:I,'caseload data'!$D:$D,"TPO",'caseload data'!$C:$C,'custody caseload'!$T$57,'caseload data'!$B:$B,"custody")</f>
        <v>0</v>
      </c>
      <c r="Z61" s="145">
        <f>SUMIFS('caseload data'!J:J,'caseload data'!$D:$D,"TPO",'caseload data'!$C:$C,'custody caseload'!$T$57,'caseload data'!$B:$B,"custody")</f>
        <v>0</v>
      </c>
      <c r="AA61" s="145">
        <f>SUMIFS('caseload data'!K:K,'caseload data'!$D:$D,"TPO",'caseload data'!$C:$C,'custody caseload'!$T$57,'caseload data'!$B:$B,"custody")</f>
        <v>0</v>
      </c>
      <c r="AB61" s="145">
        <f>SUMIFS('caseload data'!L:L,'caseload data'!$D:$D,"TPO",'caseload data'!$C:$C,'custody caseload'!$T$57,'caseload data'!$B:$B,"custody")</f>
        <v>0</v>
      </c>
      <c r="AC61" s="94">
        <f>SUMIFS('caseload data'!M:M,'caseload data'!$D:$D,"TPO",'caseload data'!$C:$C,'custody caseload'!$T$57,'caseload data'!$B:$B,"custody")</f>
        <v>0</v>
      </c>
      <c r="AD61" s="94">
        <f>SUMIFS('caseload data'!N:N,'caseload data'!$D:$D,"TPO",'caseload data'!$C:$C,'custody caseload'!$T$57,'caseload data'!$B:$B,"custody")</f>
        <v>0</v>
      </c>
      <c r="AE61" s="94">
        <f>SUMIFS('caseload data'!O:O,'caseload data'!$D:$D,"TPO",'caseload data'!$C:$C,'custody caseload'!$T$57,'caseload data'!$B:$B,"custody")</f>
        <v>0</v>
      </c>
      <c r="AF61" s="94">
        <f>SUMIFS('caseload data'!P:P,'caseload data'!$D:$D,"TPO",'caseload data'!$C:$C,'custody caseload'!$T$57,'caseload data'!$B:$B,"custody")</f>
        <v>0</v>
      </c>
      <c r="AG61" s="94">
        <f>SUMIFS('caseload data'!Q:Q,'caseload data'!$D:$D,"TPO",'caseload data'!$C:$C,'custody caseload'!$T$57,'caseload data'!$B:$B,"custody")</f>
        <v>0</v>
      </c>
      <c r="AH61" s="94">
        <f>SUMIFS('caseload data'!R:R,'caseload data'!$D:$D,"TPO",'caseload data'!$C:$C,'custody caseload'!$T$57,'caseload data'!$B:$B,"custody")</f>
        <v>0</v>
      </c>
      <c r="AI61" s="94">
        <f>SUMIFS('caseload data'!S:S,'caseload data'!$D:$D,"TPO",'caseload data'!$C:$C,'custody caseload'!$T$57,'caseload data'!$B:$B,"custody")</f>
        <v>0</v>
      </c>
      <c r="AJ61" s="94">
        <f>SUMIFS('caseload data'!T:T,'caseload data'!$D:$D,"TPO",'caseload data'!$C:$C,'custody caseload'!$T$57,'caseload data'!$B:$B,"custody")</f>
        <v>0</v>
      </c>
    </row>
    <row r="62" spans="2:36" x14ac:dyDescent="0.15">
      <c r="B62" s="98" t="s">
        <v>1009</v>
      </c>
      <c r="C62" s="94">
        <f>SUMIFS('caseload data'!E:E,'caseload data'!$D:$D,"SPO",'caseload data'!$C:$C,'custody caseload'!$B$57,'caseload data'!$B:$B,"custody")</f>
        <v>0</v>
      </c>
      <c r="D62" s="94">
        <f>SUMIFS('caseload data'!F:F,'caseload data'!$D:$D,"SPO",'caseload data'!$C:$C,'custody caseload'!$B$57,'caseload data'!$B:$B,"custody")</f>
        <v>0</v>
      </c>
      <c r="E62" s="94">
        <f>SUMIFS('caseload data'!G:G,'caseload data'!$D:$D,"SPO",'caseload data'!$C:$C,'custody caseload'!$B$57,'caseload data'!$B:$B,"custody")</f>
        <v>0</v>
      </c>
      <c r="F62" s="94">
        <f>SUMIFS('caseload data'!H:H,'caseload data'!$D:$D,"SPO",'caseload data'!$C:$C,'custody caseload'!$B$57,'caseload data'!$B:$B,"custody")</f>
        <v>0</v>
      </c>
      <c r="G62" s="94">
        <f>SUMIFS('caseload data'!I:I,'caseload data'!$D:$D,"SPO",'caseload data'!$C:$C,'custody caseload'!$B$57,'caseload data'!$B:$B,"custody")</f>
        <v>0</v>
      </c>
      <c r="H62" s="94">
        <f>SUMIFS('caseload data'!J:J,'caseload data'!$D:$D,"SPO",'caseload data'!$C:$C,'custody caseload'!$B$57,'caseload data'!$B:$B,"custody")</f>
        <v>0</v>
      </c>
      <c r="I62" s="94">
        <f>SUMIFS('caseload data'!K:K,'caseload data'!$D:$D,"SPO",'caseload data'!$C:$C,'custody caseload'!$B$57,'caseload data'!$B:$B,"custody")</f>
        <v>0</v>
      </c>
      <c r="J62" s="94">
        <f>SUMIFS('caseload data'!L:L,'caseload data'!$D:$D,"SPO",'caseload data'!$C:$C,'custody caseload'!$B$57,'caseload data'!$B:$B,"custody")</f>
        <v>0</v>
      </c>
      <c r="K62" s="94">
        <f>SUMIFS('caseload data'!M:M,'caseload data'!$D:$D,"SPO",'caseload data'!$C:$C,'custody caseload'!$B$57,'caseload data'!$B:$B,"custody")</f>
        <v>0</v>
      </c>
      <c r="L62" s="94">
        <f>SUMIFS('caseload data'!N:N,'caseload data'!$D:$D,"SPO",'caseload data'!$C:$C,'custody caseload'!$B$57,'caseload data'!$B:$B,"custody")</f>
        <v>0</v>
      </c>
      <c r="M62" s="94">
        <f>SUMIFS('caseload data'!O:O,'caseload data'!$D:$D,"SPO",'caseload data'!$C:$C,'custody caseload'!$B$57,'caseload data'!$B:$B,"custody")</f>
        <v>0</v>
      </c>
      <c r="N62" s="94">
        <f>SUMIFS('caseload data'!P:P,'caseload data'!$D:$D,"SPO",'caseload data'!$C:$C,'custody caseload'!$B$57,'caseload data'!$B:$B,"custody")</f>
        <v>0</v>
      </c>
      <c r="O62" s="94">
        <f>SUMIFS('caseload data'!Q:Q,'caseload data'!$D:$D,"SPO",'caseload data'!$C:$C,'custody caseload'!$B$57,'caseload data'!$B:$B,"custody")</f>
        <v>0</v>
      </c>
      <c r="P62" s="94">
        <f>SUMIFS('caseload data'!R:R,'caseload data'!$D:$D,"SPO",'caseload data'!$C:$C,'custody caseload'!$B$57,'caseload data'!$B:$B,"custody")</f>
        <v>0</v>
      </c>
      <c r="Q62" s="94">
        <f>SUMIFS('caseload data'!S:S,'caseload data'!$D:$D,"SPO",'caseload data'!$C:$C,'custody caseload'!$B$57,'caseload data'!$B:$B,"custody")</f>
        <v>0</v>
      </c>
      <c r="R62" s="94">
        <f>SUMIFS('caseload data'!T:T,'caseload data'!$D:$D,"SPO",'caseload data'!$C:$C,'custody caseload'!$B$57,'caseload data'!$B:$B,"custody")</f>
        <v>0</v>
      </c>
      <c r="S62" s="64"/>
      <c r="T62" s="98" t="s">
        <v>1009</v>
      </c>
      <c r="U62" s="94">
        <f>SUMIFS('caseload data'!E:E,'caseload data'!$D:$D,"SPO",'caseload data'!$C:$C,'custody caseload'!$T$57,'caseload data'!$B:$B,"custody")</f>
        <v>0</v>
      </c>
      <c r="V62" s="94">
        <f>SUMIFS('caseload data'!F:F,'caseload data'!$D:$D,"SPO",'caseload data'!$C:$C,'custody caseload'!$T$57,'caseload data'!$B:$B,"custody")</f>
        <v>0</v>
      </c>
      <c r="W62" s="94">
        <f>SUMIFS('caseload data'!G:G,'caseload data'!$D:$D,"SPO",'caseload data'!$C:$C,'custody caseload'!$T$57,'caseload data'!$B:$B,"custody")</f>
        <v>0</v>
      </c>
      <c r="X62" s="94">
        <f>SUMIFS('caseload data'!H:H,'caseload data'!$D:$D,"SPO",'caseload data'!$C:$C,'custody caseload'!$T$57,'caseload data'!$B:$B,"custody")</f>
        <v>0</v>
      </c>
      <c r="Y62" s="94">
        <f>SUMIFS('caseload data'!I:I,'caseload data'!$D:$D,"SPO",'caseload data'!$C:$C,'custody caseload'!$T$57,'caseload data'!$B:$B,"custody")</f>
        <v>0</v>
      </c>
      <c r="Z62" s="94">
        <f>SUMIFS('caseload data'!J:J,'caseload data'!$D:$D,"SPO",'caseload data'!$C:$C,'custody caseload'!$T$57,'caseload data'!$B:$B,"custody")</f>
        <v>0</v>
      </c>
      <c r="AA62" s="94">
        <f>SUMIFS('caseload data'!K:K,'caseload data'!$D:$D,"SPO",'caseload data'!$C:$C,'custody caseload'!$T$57,'caseload data'!$B:$B,"custody")</f>
        <v>0</v>
      </c>
      <c r="AB62" s="94">
        <f>SUMIFS('caseload data'!L:L,'caseload data'!$D:$D,"SPO",'caseload data'!$C:$C,'custody caseload'!$T$57,'caseload data'!$B:$B,"custody")</f>
        <v>0</v>
      </c>
      <c r="AC62" s="94">
        <f>SUMIFS('caseload data'!M:M,'caseload data'!$D:$D,"SPO",'caseload data'!$C:$C,'custody caseload'!$T$57,'caseload data'!$B:$B,"custody")</f>
        <v>0</v>
      </c>
      <c r="AD62" s="94">
        <f>SUMIFS('caseload data'!N:N,'caseload data'!$D:$D,"SPO",'caseload data'!$C:$C,'custody caseload'!$T$57,'caseload data'!$B:$B,"custody")</f>
        <v>0</v>
      </c>
      <c r="AE62" s="94">
        <f>SUMIFS('caseload data'!O:O,'caseload data'!$D:$D,"SPO",'caseload data'!$C:$C,'custody caseload'!$T$57,'caseload data'!$B:$B,"custody")</f>
        <v>0</v>
      </c>
      <c r="AF62" s="94">
        <f>SUMIFS('caseload data'!P:P,'caseload data'!$D:$D,"SPO",'caseload data'!$C:$C,'custody caseload'!$T$57,'caseload data'!$B:$B,"custody")</f>
        <v>0</v>
      </c>
      <c r="AG62" s="94">
        <f>SUMIFS('caseload data'!Q:Q,'caseload data'!$D:$D,"SPO",'caseload data'!$C:$C,'custody caseload'!$T$57,'caseload data'!$B:$B,"custody")</f>
        <v>0</v>
      </c>
      <c r="AH62" s="94">
        <f>SUMIFS('caseload data'!R:R,'caseload data'!$D:$D,"SPO",'caseload data'!$C:$C,'custody caseload'!$T$57,'caseload data'!$B:$B,"custody")</f>
        <v>0</v>
      </c>
      <c r="AI62" s="94">
        <f>SUMIFS('caseload data'!S:S,'caseload data'!$D:$D,"SPO",'caseload data'!$C:$C,'custody caseload'!$T$57,'caseload data'!$B:$B,"custody")</f>
        <v>0</v>
      </c>
      <c r="AJ62" s="94">
        <f>SUMIFS('caseload data'!T:T,'caseload data'!$D:$D,"SPO",'caseload data'!$C:$C,'custody caseload'!$T$57,'caseload data'!$B:$B,"custody")</f>
        <v>0</v>
      </c>
    </row>
    <row r="64" spans="2:36" ht="21" customHeight="1" x14ac:dyDescent="0.15">
      <c r="B64" s="142">
        <f>HLOOKUP($B$5,Region_Table,18,0)</f>
        <v>0</v>
      </c>
      <c r="C64" s="523" t="s">
        <v>1131</v>
      </c>
      <c r="D64" s="524"/>
      <c r="E64" s="524"/>
      <c r="F64" s="524"/>
      <c r="G64" s="524"/>
      <c r="H64" s="524"/>
      <c r="I64" s="524"/>
      <c r="J64" s="524"/>
      <c r="K64" s="524"/>
      <c r="L64" s="524"/>
      <c r="M64" s="533"/>
      <c r="N64" s="533"/>
      <c r="O64" s="534"/>
      <c r="P64" s="510">
        <f>SUMIFS('caseload data'!V:V,'caseload data'!B:B,"custody",'caseload data'!$C:$C,'custody caseload'!B64)</f>
        <v>0</v>
      </c>
      <c r="Q64" s="527"/>
      <c r="R64" s="528"/>
      <c r="S64" s="64"/>
      <c r="T64" s="142">
        <f>HLOOKUP($B$5,Region_Table,19,0)</f>
        <v>0</v>
      </c>
      <c r="U64" s="523" t="s">
        <v>1131</v>
      </c>
      <c r="V64" s="524"/>
      <c r="W64" s="524"/>
      <c r="X64" s="524"/>
      <c r="Y64" s="524"/>
      <c r="Z64" s="524"/>
      <c r="AA64" s="524"/>
      <c r="AB64" s="524"/>
      <c r="AC64" s="524"/>
      <c r="AD64" s="524"/>
      <c r="AE64" s="533"/>
      <c r="AF64" s="533"/>
      <c r="AG64" s="534"/>
      <c r="AH64" s="510">
        <f>SUMIFS('caseload data'!V:V,'caseload data'!B:B,"custody",'caseload data'!$C:$C,'custody caseload'!T64)</f>
        <v>0</v>
      </c>
      <c r="AI64" s="527"/>
      <c r="AJ64" s="528"/>
    </row>
    <row r="65" spans="2:36" x14ac:dyDescent="0.15">
      <c r="B65" s="95" t="s">
        <v>1006</v>
      </c>
      <c r="C65" s="38" t="s">
        <v>869</v>
      </c>
      <c r="D65" s="38" t="s">
        <v>870</v>
      </c>
      <c r="E65" s="38" t="s">
        <v>871</v>
      </c>
      <c r="F65" s="38" t="s">
        <v>872</v>
      </c>
      <c r="G65" s="38" t="s">
        <v>873</v>
      </c>
      <c r="H65" s="38" t="s">
        <v>874</v>
      </c>
      <c r="I65" s="38" t="s">
        <v>875</v>
      </c>
      <c r="J65" s="38" t="s">
        <v>876</v>
      </c>
      <c r="K65" s="38" t="s">
        <v>877</v>
      </c>
      <c r="L65" s="38" t="s">
        <v>878</v>
      </c>
      <c r="M65" s="38" t="s">
        <v>879</v>
      </c>
      <c r="N65" s="38" t="s">
        <v>880</v>
      </c>
      <c r="O65" s="38" t="s">
        <v>881</v>
      </c>
      <c r="P65" s="38" t="s">
        <v>882</v>
      </c>
      <c r="Q65" s="38" t="s">
        <v>883</v>
      </c>
      <c r="R65" s="38" t="s">
        <v>884</v>
      </c>
      <c r="S65" s="64"/>
      <c r="T65" s="95" t="s">
        <v>1006</v>
      </c>
      <c r="U65" s="38" t="s">
        <v>869</v>
      </c>
      <c r="V65" s="38" t="s">
        <v>870</v>
      </c>
      <c r="W65" s="38" t="s">
        <v>871</v>
      </c>
      <c r="X65" s="38" t="s">
        <v>872</v>
      </c>
      <c r="Y65" s="38" t="s">
        <v>873</v>
      </c>
      <c r="Z65" s="38" t="s">
        <v>874</v>
      </c>
      <c r="AA65" s="38" t="s">
        <v>875</v>
      </c>
      <c r="AB65" s="38" t="s">
        <v>876</v>
      </c>
      <c r="AC65" s="38" t="s">
        <v>877</v>
      </c>
      <c r="AD65" s="38" t="s">
        <v>878</v>
      </c>
      <c r="AE65" s="38" t="s">
        <v>879</v>
      </c>
      <c r="AF65" s="38" t="s">
        <v>880</v>
      </c>
      <c r="AG65" s="38" t="s">
        <v>881</v>
      </c>
      <c r="AH65" s="38" t="s">
        <v>882</v>
      </c>
      <c r="AI65" s="38" t="s">
        <v>883</v>
      </c>
      <c r="AJ65" s="38" t="s">
        <v>884</v>
      </c>
    </row>
    <row r="66" spans="2:36" x14ac:dyDescent="0.15">
      <c r="B66" s="96" t="s">
        <v>1002</v>
      </c>
      <c r="C66" s="94">
        <f>SUMIFS('caseload data'!E:E,'caseload data'!$D:$D,"PO",'caseload data'!$C:$C,'custody caseload'!$B$64,'caseload data'!$B:$B,"custody")</f>
        <v>0</v>
      </c>
      <c r="D66" s="94">
        <f>SUMIFS('caseload data'!F:F,'caseload data'!$D:$D,"PO",'caseload data'!$C:$C,'custody caseload'!$B$64,'caseload data'!$B:$B,"custody")</f>
        <v>0</v>
      </c>
      <c r="E66" s="94">
        <f>SUMIFS('caseload data'!G:G,'caseload data'!$D:$D,"PO",'caseload data'!$C:$C,'custody caseload'!$B$64,'caseload data'!$B:$B,"custody")</f>
        <v>0</v>
      </c>
      <c r="F66" s="94">
        <f>SUMIFS('caseload data'!H:H,'caseload data'!$D:$D,"PO",'caseload data'!$C:$C,'custody caseload'!$B$64,'caseload data'!$B:$B,"custody")</f>
        <v>0</v>
      </c>
      <c r="G66" s="94">
        <f>SUMIFS('caseload data'!I:I,'caseload data'!$D:$D,"PO",'caseload data'!$C:$C,'custody caseload'!$B$64,'caseload data'!$B:$B,"custody")</f>
        <v>0</v>
      </c>
      <c r="H66" s="94">
        <f>SUMIFS('caseload data'!J:J,'caseload data'!$D:$D,"PO",'caseload data'!$C:$C,'custody caseload'!$B$64,'caseload data'!$B:$B,"custody")</f>
        <v>0</v>
      </c>
      <c r="I66" s="94">
        <f>SUMIFS('caseload data'!K:K,'caseload data'!$D:$D,"PO",'caseload data'!$C:$C,'custody caseload'!$B$64,'caseload data'!$B:$B,"custody")</f>
        <v>0</v>
      </c>
      <c r="J66" s="94">
        <f>SUMIFS('caseload data'!L:L,'caseload data'!$D:$D,"PO",'caseload data'!$C:$C,'custody caseload'!$B$64,'caseload data'!$B:$B,"custody")</f>
        <v>0</v>
      </c>
      <c r="K66" s="94">
        <f>SUMIFS('caseload data'!M:M,'caseload data'!$D:$D,"PO",'caseload data'!$C:$C,'custody caseload'!$B$64,'caseload data'!$B:$B,"custody")</f>
        <v>0</v>
      </c>
      <c r="L66" s="94">
        <f>SUMIFS('caseload data'!N:N,'caseload data'!$D:$D,"PO",'caseload data'!$C:$C,'custody caseload'!$B$64,'caseload data'!$B:$B,"custody")</f>
        <v>0</v>
      </c>
      <c r="M66" s="94">
        <f>SUMIFS('caseload data'!O:O,'caseload data'!$D:$D,"PO",'caseload data'!$C:$C,'custody caseload'!$B$64,'caseload data'!$B:$B,"custody")</f>
        <v>0</v>
      </c>
      <c r="N66" s="94">
        <f>SUMIFS('caseload data'!P:P,'caseload data'!$D:$D,"PO",'caseload data'!$C:$C,'custody caseload'!$B$64,'caseload data'!$B:$B,"custody")</f>
        <v>0</v>
      </c>
      <c r="O66" s="94">
        <f>SUMIFS('caseload data'!Q:Q,'caseload data'!$D:$D,"PO",'caseload data'!$C:$C,'custody caseload'!$B$64,'caseload data'!$B:$B,"custody")</f>
        <v>0</v>
      </c>
      <c r="P66" s="94">
        <f>SUMIFS('caseload data'!R:R,'caseload data'!$D:$D,"PO",'caseload data'!$C:$C,'custody caseload'!$B$64,'caseload data'!$B:$B,"custody")</f>
        <v>0</v>
      </c>
      <c r="Q66" s="94">
        <f>SUMIFS('caseload data'!S:S,'caseload data'!$D:$D,"PO",'caseload data'!$C:$C,'custody caseload'!$B$64,'caseload data'!$B:$B,"custody")</f>
        <v>0</v>
      </c>
      <c r="R66" s="94">
        <f>SUMIFS('caseload data'!T:T,'caseload data'!$D:$D,"PO",'caseload data'!$C:$C,'custody caseload'!$B$64,'caseload data'!$B:$B,"custody")</f>
        <v>0</v>
      </c>
      <c r="S66" s="64"/>
      <c r="T66" s="96" t="s">
        <v>1002</v>
      </c>
      <c r="U66" s="94">
        <f>SUMIFS('caseload data'!E:E,'caseload data'!$D:$D,"PO",'caseload data'!$C:$C,'custody caseload'!$T$64,'caseload data'!$B:$B,"custody")</f>
        <v>0</v>
      </c>
      <c r="V66" s="94">
        <f>SUMIFS('caseload data'!F:F,'caseload data'!$D:$D,"PO",'caseload data'!$C:$C,'custody caseload'!$T$64,'caseload data'!$B:$B,"custody")</f>
        <v>0</v>
      </c>
      <c r="W66" s="94">
        <f>SUMIFS('caseload data'!G:G,'caseload data'!$D:$D,"PO",'caseload data'!$C:$C,'custody caseload'!$T$64,'caseload data'!$B:$B,"custody")</f>
        <v>0</v>
      </c>
      <c r="X66" s="94">
        <f>SUMIFS('caseload data'!H:H,'caseload data'!$D:$D,"PO",'caseload data'!$C:$C,'custody caseload'!$T$64,'caseload data'!$B:$B,"custody")</f>
        <v>0</v>
      </c>
      <c r="Y66" s="94">
        <f>SUMIFS('caseload data'!I:I,'caseload data'!$D:$D,"PO",'caseload data'!$C:$C,'custody caseload'!$T$64,'caseload data'!$B:$B,"custody")</f>
        <v>0</v>
      </c>
      <c r="Z66" s="94">
        <f>SUMIFS('caseload data'!J:J,'caseload data'!$D:$D,"PO",'caseload data'!$C:$C,'custody caseload'!$T$64,'caseload data'!$B:$B,"custody")</f>
        <v>0</v>
      </c>
      <c r="AA66" s="94">
        <f>SUMIFS('caseload data'!K:K,'caseload data'!$D:$D,"PO",'caseload data'!$C:$C,'custody caseload'!$T$64,'caseload data'!$B:$B,"custody")</f>
        <v>0</v>
      </c>
      <c r="AB66" s="94">
        <f>SUMIFS('caseload data'!L:L,'caseload data'!$D:$D,"PO",'caseload data'!$C:$C,'custody caseload'!$T$64,'caseload data'!$B:$B,"custody")</f>
        <v>0</v>
      </c>
      <c r="AC66" s="94">
        <f>SUMIFS('caseload data'!M:M,'caseload data'!$D:$D,"PO",'caseload data'!$C:$C,'custody caseload'!$T$64,'caseload data'!$B:$B,"custody")</f>
        <v>0</v>
      </c>
      <c r="AD66" s="94">
        <f>SUMIFS('caseload data'!N:N,'caseload data'!$D:$D,"PO",'caseload data'!$C:$C,'custody caseload'!$T$64,'caseload data'!$B:$B,"custody")</f>
        <v>0</v>
      </c>
      <c r="AE66" s="94">
        <f>SUMIFS('caseload data'!O:O,'caseload data'!$D:$D,"PO",'caseload data'!$C:$C,'custody caseload'!$T$64,'caseload data'!$B:$B,"custody")</f>
        <v>0</v>
      </c>
      <c r="AF66" s="94">
        <f>SUMIFS('caseload data'!P:P,'caseload data'!$D:$D,"PO",'caseload data'!$C:$C,'custody caseload'!$T$64,'caseload data'!$B:$B,"custody")</f>
        <v>0</v>
      </c>
      <c r="AG66" s="94">
        <f>SUMIFS('caseload data'!Q:Q,'caseload data'!$D:$D,"PO",'caseload data'!$C:$C,'custody caseload'!$T$64,'caseload data'!$B:$B,"custody")</f>
        <v>0</v>
      </c>
      <c r="AH66" s="94">
        <f>SUMIFS('caseload data'!R:R,'caseload data'!$D:$D,"PO",'caseload data'!$C:$C,'custody caseload'!$T$64,'caseload data'!$B:$B,"custody")</f>
        <v>0</v>
      </c>
      <c r="AI66" s="94">
        <f>SUMIFS('caseload data'!S:S,'caseload data'!$D:$D,"PO",'caseload data'!$C:$C,'custody caseload'!$T$64,'caseload data'!$B:$B,"custody")</f>
        <v>0</v>
      </c>
      <c r="AJ66" s="94">
        <f>SUMIFS('caseload data'!T:T,'caseload data'!$D:$D,"PO",'caseload data'!$C:$C,'custody caseload'!$T$64,'caseload data'!$B:$B,"custody")</f>
        <v>0</v>
      </c>
    </row>
    <row r="67" spans="2:36" ht="15" x14ac:dyDescent="0.2">
      <c r="B67" s="97" t="s">
        <v>1007</v>
      </c>
      <c r="C67" s="145">
        <f>SUMIFS('caseload data'!E:E,'caseload data'!$D:$D,"PSO",'caseload data'!$C:$C,'custody caseload'!$B$64,'caseload data'!$B:$B,"custody")</f>
        <v>0</v>
      </c>
      <c r="D67" s="145">
        <f>SUMIFS('caseload data'!F:F,'caseload data'!$D:$D,"PSO",'caseload data'!$C:$C,'custody caseload'!$B$64,'caseload data'!$B:$B,"custody")</f>
        <v>0</v>
      </c>
      <c r="E67" s="145">
        <f>SUMIFS('caseload data'!G:G,'caseload data'!$D:$D,"PSO",'caseload data'!$C:$C,'custody caseload'!$B$64,'caseload data'!$B:$B,"custody")</f>
        <v>0</v>
      </c>
      <c r="F67" s="145">
        <f>SUMIFS('caseload data'!H:H,'caseload data'!$D:$D,"PSO",'caseload data'!$C:$C,'custody caseload'!$B$64,'caseload data'!$B:$B,"custody")</f>
        <v>0</v>
      </c>
      <c r="G67" s="145">
        <f>SUMIFS('caseload data'!I:I,'caseload data'!$D:$D,"PSO",'caseload data'!$C:$C,'custody caseload'!$B$64,'caseload data'!$B:$B,"custody")</f>
        <v>0</v>
      </c>
      <c r="H67" s="145">
        <f>SUMIFS('caseload data'!J:J,'caseload data'!$D:$D,"PSO",'caseload data'!$C:$C,'custody caseload'!$B$64,'caseload data'!$B:$B,"custody")</f>
        <v>0</v>
      </c>
      <c r="I67" s="145">
        <f>SUMIFS('caseload data'!K:K,'caseload data'!$D:$D,"PSO",'caseload data'!$C:$C,'custody caseload'!$B$64,'caseload data'!$B:$B,"custody")</f>
        <v>0</v>
      </c>
      <c r="J67" s="145">
        <f>SUMIFS('caseload data'!L:L,'caseload data'!$D:$D,"PSO",'caseload data'!$C:$C,'custody caseload'!$B$64,'caseload data'!$B:$B,"custody")</f>
        <v>0</v>
      </c>
      <c r="K67" s="94">
        <f>SUMIFS('caseload data'!M:M,'caseload data'!$D:$D,"PSO",'caseload data'!$C:$C,'custody caseload'!$B$64,'caseload data'!$B:$B,"custody")</f>
        <v>0</v>
      </c>
      <c r="L67" s="94">
        <f>SUMIFS('caseload data'!N:N,'caseload data'!$D:$D,"PSO",'caseload data'!$C:$C,'custody caseload'!$B$64,'caseload data'!$B:$B,"custody")</f>
        <v>0</v>
      </c>
      <c r="M67" s="94">
        <f>SUMIFS('caseload data'!O:O,'caseload data'!$D:$D,"PSO",'caseload data'!$C:$C,'custody caseload'!$B$64,'caseload data'!$B:$B,"custody")</f>
        <v>0</v>
      </c>
      <c r="N67" s="94">
        <f>SUMIFS('caseload data'!P:P,'caseload data'!$D:$D,"PSO",'caseload data'!$C:$C,'custody caseload'!$B$64,'caseload data'!$B:$B,"custody")</f>
        <v>0</v>
      </c>
      <c r="O67" s="94">
        <f>SUMIFS('caseload data'!Q:Q,'caseload data'!$D:$D,"PSO",'caseload data'!$C:$C,'custody caseload'!$B$64,'caseload data'!$B:$B,"custody")</f>
        <v>0</v>
      </c>
      <c r="P67" s="94">
        <f>SUMIFS('caseload data'!R:R,'caseload data'!$D:$D,"PSO",'caseload data'!$C:$C,'custody caseload'!$B$64,'caseload data'!$B:$B,"custody")</f>
        <v>0</v>
      </c>
      <c r="Q67" s="94">
        <f>SUMIFS('caseload data'!S:S,'caseload data'!$D:$D,"PSO",'caseload data'!$C:$C,'custody caseload'!$B$64,'caseload data'!$B:$B,"custody")</f>
        <v>0</v>
      </c>
      <c r="R67" s="94">
        <f>SUMIFS('caseload data'!T:T,'caseload data'!$D:$D,"PSO",'caseload data'!$C:$C,'custody caseload'!$B$64,'caseload data'!$B:$B,"custody")</f>
        <v>0</v>
      </c>
      <c r="S67" s="64"/>
      <c r="T67" s="97" t="s">
        <v>1007</v>
      </c>
      <c r="U67" s="145">
        <f>SUMIFS('caseload data'!E:E,'caseload data'!$D:$D,"PSO",'caseload data'!$C:$C,'custody caseload'!$T$64,'caseload data'!$B:$B,"custody")</f>
        <v>0</v>
      </c>
      <c r="V67" s="145">
        <f>SUMIFS('caseload data'!F:F,'caseload data'!$D:$D,"PSO",'caseload data'!$C:$C,'custody caseload'!$T$64,'caseload data'!$B:$B,"custody")</f>
        <v>0</v>
      </c>
      <c r="W67" s="145">
        <f>SUMIFS('caseload data'!G:G,'caseload data'!$D:$D,"PSO",'caseload data'!$C:$C,'custody caseload'!$T$64,'caseload data'!$B:$B,"custody")</f>
        <v>0</v>
      </c>
      <c r="X67" s="145">
        <f>SUMIFS('caseload data'!H:H,'caseload data'!$D:$D,"PSO",'caseload data'!$C:$C,'custody caseload'!$T$64,'caseload data'!$B:$B,"custody")</f>
        <v>0</v>
      </c>
      <c r="Y67" s="145">
        <f>SUMIFS('caseload data'!I:I,'caseload data'!$D:$D,"PSO",'caseload data'!$C:$C,'custody caseload'!$T$64,'caseload data'!$B:$B,"custody")</f>
        <v>0</v>
      </c>
      <c r="Z67" s="145">
        <f>SUMIFS('caseload data'!J:J,'caseload data'!$D:$D,"PSO",'caseload data'!$C:$C,'custody caseload'!$T$64,'caseload data'!$B:$B,"custody")</f>
        <v>0</v>
      </c>
      <c r="AA67" s="145">
        <f>SUMIFS('caseload data'!K:K,'caseload data'!$D:$D,"PSO",'caseload data'!$C:$C,'custody caseload'!$T$64,'caseload data'!$B:$B,"custody")</f>
        <v>0</v>
      </c>
      <c r="AB67" s="145">
        <f>SUMIFS('caseload data'!L:L,'caseload data'!$D:$D,"PSO",'caseload data'!$C:$C,'custody caseload'!$T$64,'caseload data'!$B:$B,"custody")</f>
        <v>0</v>
      </c>
      <c r="AC67" s="94">
        <f>SUMIFS('caseload data'!M:M,'caseload data'!$D:$D,"PSO",'caseload data'!$C:$C,'custody caseload'!$T$64,'caseload data'!$B:$B,"custody")</f>
        <v>0</v>
      </c>
      <c r="AD67" s="94">
        <f>SUMIFS('caseload data'!N:N,'caseload data'!$D:$D,"PSO",'caseload data'!$C:$C,'custody caseload'!$T$64,'caseload data'!$B:$B,"custody")</f>
        <v>0</v>
      </c>
      <c r="AE67" s="94">
        <f>SUMIFS('caseload data'!O:O,'caseload data'!$D:$D,"PSO",'caseload data'!$C:$C,'custody caseload'!$T$64,'caseload data'!$B:$B,"custody")</f>
        <v>0</v>
      </c>
      <c r="AF67" s="94">
        <f>SUMIFS('caseload data'!P:P,'caseload data'!$D:$D,"PSO",'caseload data'!$C:$C,'custody caseload'!$T$64,'caseload data'!$B:$B,"custody")</f>
        <v>0</v>
      </c>
      <c r="AG67" s="94">
        <f>SUMIFS('caseload data'!Q:Q,'caseload data'!$D:$D,"PSO",'caseload data'!$C:$C,'custody caseload'!$T$64,'caseload data'!$B:$B,"custody")</f>
        <v>0</v>
      </c>
      <c r="AH67" s="94">
        <f>SUMIFS('caseload data'!R:R,'caseload data'!$D:$D,"PSO",'caseload data'!$C:$C,'custody caseload'!$T$64,'caseload data'!$B:$B,"custody")</f>
        <v>0</v>
      </c>
      <c r="AI67" s="94">
        <f>SUMIFS('caseload data'!S:S,'caseload data'!$D:$D,"PSO",'caseload data'!$C:$C,'custody caseload'!$T$64,'caseload data'!$B:$B,"custody")</f>
        <v>0</v>
      </c>
      <c r="AJ67" s="94">
        <f>SUMIFS('caseload data'!T:T,'caseload data'!$D:$D,"PSO",'caseload data'!$C:$C,'custody caseload'!$T$64,'caseload data'!$B:$B,"custody")</f>
        <v>0</v>
      </c>
    </row>
    <row r="68" spans="2:36" ht="15" x14ac:dyDescent="0.2">
      <c r="B68" s="97" t="s">
        <v>1008</v>
      </c>
      <c r="C68" s="145">
        <f>SUMIFS('caseload data'!E:E,'caseload data'!$D:$D,"TPO",'caseload data'!$C:$C,'custody caseload'!$B$64,'caseload data'!$B:$B,"custody")</f>
        <v>0</v>
      </c>
      <c r="D68" s="145">
        <f>SUMIFS('caseload data'!F:F,'caseload data'!$D:$D,"TPO",'caseload data'!$C:$C,'custody caseload'!$B$64,'caseload data'!$B:$B,"custody")</f>
        <v>0</v>
      </c>
      <c r="E68" s="145">
        <f>SUMIFS('caseload data'!G:G,'caseload data'!$D:$D,"TPO",'caseload data'!$C:$C,'custody caseload'!$B$64,'caseload data'!$B:$B,"custody")</f>
        <v>0</v>
      </c>
      <c r="F68" s="145">
        <f>SUMIFS('caseload data'!H:H,'caseload data'!$D:$D,"TPO",'caseload data'!$C:$C,'custody caseload'!$B$64,'caseload data'!$B:$B,"custody")</f>
        <v>0</v>
      </c>
      <c r="G68" s="145">
        <f>SUMIFS('caseload data'!I:I,'caseload data'!$D:$D,"TPO",'caseload data'!$C:$C,'custody caseload'!$B$64,'caseload data'!$B:$B,"custody")</f>
        <v>0</v>
      </c>
      <c r="H68" s="145">
        <f>SUMIFS('caseload data'!J:J,'caseload data'!$D:$D,"TPO",'caseload data'!$C:$C,'custody caseload'!$B$64,'caseload data'!$B:$B,"custody")</f>
        <v>0</v>
      </c>
      <c r="I68" s="145">
        <f>SUMIFS('caseload data'!K:K,'caseload data'!$D:$D,"TPO",'caseload data'!$C:$C,'custody caseload'!$B$64,'caseload data'!$B:$B,"custody")</f>
        <v>0</v>
      </c>
      <c r="J68" s="145">
        <f>SUMIFS('caseload data'!L:L,'caseload data'!$D:$D,"TPO",'caseload data'!$C:$C,'custody caseload'!$B$64,'caseload data'!$B:$B,"custody")</f>
        <v>0</v>
      </c>
      <c r="K68" s="94">
        <f>SUMIFS('caseload data'!M:M,'caseload data'!$D:$D,"TPO",'caseload data'!$C:$C,'custody caseload'!$B$64,'caseload data'!$B:$B,"custody")</f>
        <v>0</v>
      </c>
      <c r="L68" s="94">
        <f>SUMIFS('caseload data'!N:N,'caseload data'!$D:$D,"TPO",'caseload data'!$C:$C,'custody caseload'!$B$64,'caseload data'!$B:$B,"custody")</f>
        <v>0</v>
      </c>
      <c r="M68" s="94">
        <f>SUMIFS('caseload data'!O:O,'caseload data'!$D:$D,"TPO",'caseload data'!$C:$C,'custody caseload'!$B$64,'caseload data'!$B:$B,"custody")</f>
        <v>0</v>
      </c>
      <c r="N68" s="94">
        <f>SUMIFS('caseload data'!P:P,'caseload data'!$D:$D,"TPO",'caseload data'!$C:$C,'custody caseload'!$B$64,'caseload data'!$B:$B,"custody")</f>
        <v>0</v>
      </c>
      <c r="O68" s="94">
        <f>SUMIFS('caseload data'!Q:Q,'caseload data'!$D:$D,"TPO",'caseload data'!$C:$C,'custody caseload'!$B$64,'caseload data'!$B:$B,"custody")</f>
        <v>0</v>
      </c>
      <c r="P68" s="94">
        <f>SUMIFS('caseload data'!R:R,'caseload data'!$D:$D,"TPO",'caseload data'!$C:$C,'custody caseload'!$B$64,'caseload data'!$B:$B,"custody")</f>
        <v>0</v>
      </c>
      <c r="Q68" s="94">
        <f>SUMIFS('caseload data'!S:S,'caseload data'!$D:$D,"TPO",'caseload data'!$C:$C,'custody caseload'!$B$64,'caseload data'!$B:$B,"custody")</f>
        <v>0</v>
      </c>
      <c r="R68" s="94">
        <f>SUMIFS('caseload data'!T:T,'caseload data'!$D:$D,"TPO",'caseload data'!$C:$C,'custody caseload'!$B$64,'caseload data'!$B:$B,"custody")</f>
        <v>0</v>
      </c>
      <c r="S68" s="64"/>
      <c r="T68" s="97" t="s">
        <v>1008</v>
      </c>
      <c r="U68" s="145">
        <f>SUMIFS('caseload data'!E:E,'caseload data'!$D:$D,"TPO",'caseload data'!$C:$C,'custody caseload'!$T$64,'caseload data'!$B:$B,"custody")</f>
        <v>0</v>
      </c>
      <c r="V68" s="145">
        <f>SUMIFS('caseload data'!F:F,'caseload data'!$D:$D,"TPO",'caseload data'!$C:$C,'custody caseload'!$T$64,'caseload data'!$B:$B,"custody")</f>
        <v>0</v>
      </c>
      <c r="W68" s="145">
        <f>SUMIFS('caseload data'!G:G,'caseload data'!$D:$D,"TPO",'caseload data'!$C:$C,'custody caseload'!$T$64,'caseload data'!$B:$B,"custody")</f>
        <v>0</v>
      </c>
      <c r="X68" s="145">
        <f>SUMIFS('caseload data'!H:H,'caseload data'!$D:$D,"TPO",'caseload data'!$C:$C,'custody caseload'!$T$64,'caseload data'!$B:$B,"custody")</f>
        <v>0</v>
      </c>
      <c r="Y68" s="145">
        <f>SUMIFS('caseload data'!I:I,'caseload data'!$D:$D,"TPO",'caseload data'!$C:$C,'custody caseload'!$T$64,'caseload data'!$B:$B,"custody")</f>
        <v>0</v>
      </c>
      <c r="Z68" s="145">
        <f>SUMIFS('caseload data'!J:J,'caseload data'!$D:$D,"TPO",'caseload data'!$C:$C,'custody caseload'!$T$64,'caseload data'!$B:$B,"custody")</f>
        <v>0</v>
      </c>
      <c r="AA68" s="145">
        <f>SUMIFS('caseload data'!K:K,'caseload data'!$D:$D,"TPO",'caseload data'!$C:$C,'custody caseload'!$T$64,'caseload data'!$B:$B,"custody")</f>
        <v>0</v>
      </c>
      <c r="AB68" s="145">
        <f>SUMIFS('caseload data'!L:L,'caseload data'!$D:$D,"TPO",'caseload data'!$C:$C,'custody caseload'!$T$64,'caseload data'!$B:$B,"custody")</f>
        <v>0</v>
      </c>
      <c r="AC68" s="94">
        <f>SUMIFS('caseload data'!M:M,'caseload data'!$D:$D,"TPO",'caseload data'!$C:$C,'custody caseload'!$T$64,'caseload data'!$B:$B,"custody")</f>
        <v>0</v>
      </c>
      <c r="AD68" s="94">
        <f>SUMIFS('caseload data'!N:N,'caseload data'!$D:$D,"TPO",'caseload data'!$C:$C,'custody caseload'!$T$64,'caseload data'!$B:$B,"custody")</f>
        <v>0</v>
      </c>
      <c r="AE68" s="94">
        <f>SUMIFS('caseload data'!O:O,'caseload data'!$D:$D,"TPO",'caseload data'!$C:$C,'custody caseload'!$T$64,'caseload data'!$B:$B,"custody")</f>
        <v>0</v>
      </c>
      <c r="AF68" s="94">
        <f>SUMIFS('caseload data'!P:P,'caseload data'!$D:$D,"TPO",'caseload data'!$C:$C,'custody caseload'!$T$64,'caseload data'!$B:$B,"custody")</f>
        <v>0</v>
      </c>
      <c r="AG68" s="94">
        <f>SUMIFS('caseload data'!Q:Q,'caseload data'!$D:$D,"TPO",'caseload data'!$C:$C,'custody caseload'!$T$64,'caseload data'!$B:$B,"custody")</f>
        <v>0</v>
      </c>
      <c r="AH68" s="94">
        <f>SUMIFS('caseload data'!R:R,'caseload data'!$D:$D,"TPO",'caseload data'!$C:$C,'custody caseload'!$T$64,'caseload data'!$B:$B,"custody")</f>
        <v>0</v>
      </c>
      <c r="AI68" s="94">
        <f>SUMIFS('caseload data'!S:S,'caseload data'!$D:$D,"TPO",'caseload data'!$C:$C,'custody caseload'!$T$64,'caseload data'!$B:$B,"custody")</f>
        <v>0</v>
      </c>
      <c r="AJ68" s="94">
        <f>SUMIFS('caseload data'!T:T,'caseload data'!$D:$D,"TPO",'caseload data'!$C:$C,'custody caseload'!$T$64,'caseload data'!$B:$B,"custody")</f>
        <v>0</v>
      </c>
    </row>
    <row r="69" spans="2:36" x14ac:dyDescent="0.15">
      <c r="B69" s="98" t="s">
        <v>1009</v>
      </c>
      <c r="C69" s="94">
        <f>SUMIFS('caseload data'!E:E,'caseload data'!$D:$D,"SPO",'caseload data'!$C:$C,'custody caseload'!$B$64,'caseload data'!$B:$B,"custody")</f>
        <v>0</v>
      </c>
      <c r="D69" s="94">
        <f>SUMIFS('caseload data'!F:F,'caseload data'!$D:$D,"SPO",'caseload data'!$C:$C,'custody caseload'!$B$64,'caseload data'!$B:$B,"custody")</f>
        <v>0</v>
      </c>
      <c r="E69" s="94">
        <f>SUMIFS('caseload data'!G:G,'caseload data'!$D:$D,"SPO",'caseload data'!$C:$C,'custody caseload'!$B$64,'caseload data'!$B:$B,"custody")</f>
        <v>0</v>
      </c>
      <c r="F69" s="94">
        <f>SUMIFS('caseload data'!H:H,'caseload data'!$D:$D,"SPO",'caseload data'!$C:$C,'custody caseload'!$B$64,'caseload data'!$B:$B,"custody")</f>
        <v>0</v>
      </c>
      <c r="G69" s="94">
        <f>SUMIFS('caseload data'!I:I,'caseload data'!$D:$D,"SPO",'caseload data'!$C:$C,'custody caseload'!$B$64,'caseload data'!$B:$B,"custody")</f>
        <v>0</v>
      </c>
      <c r="H69" s="94">
        <f>SUMIFS('caseload data'!J:J,'caseload data'!$D:$D,"SPO",'caseload data'!$C:$C,'custody caseload'!$B$64,'caseload data'!$B:$B,"custody")</f>
        <v>0</v>
      </c>
      <c r="I69" s="94">
        <f>SUMIFS('caseload data'!K:K,'caseload data'!$D:$D,"SPO",'caseload data'!$C:$C,'custody caseload'!$B$64,'caseload data'!$B:$B,"custody")</f>
        <v>0</v>
      </c>
      <c r="J69" s="94">
        <f>SUMIFS('caseload data'!L:L,'caseload data'!$D:$D,"SPO",'caseload data'!$C:$C,'custody caseload'!$B$64,'caseload data'!$B:$B,"custody")</f>
        <v>0</v>
      </c>
      <c r="K69" s="94">
        <f>SUMIFS('caseload data'!M:M,'caseload data'!$D:$D,"SPO",'caseload data'!$C:$C,'custody caseload'!$B$64,'caseload data'!$B:$B,"custody")</f>
        <v>0</v>
      </c>
      <c r="L69" s="94">
        <f>SUMIFS('caseload data'!N:N,'caseload data'!$D:$D,"SPO",'caseload data'!$C:$C,'custody caseload'!$B$64,'caseload data'!$B:$B,"custody")</f>
        <v>0</v>
      </c>
      <c r="M69" s="94">
        <f>SUMIFS('caseload data'!O:O,'caseload data'!$D:$D,"SPO",'caseload data'!$C:$C,'custody caseload'!$B$64,'caseload data'!$B:$B,"custody")</f>
        <v>0</v>
      </c>
      <c r="N69" s="94">
        <f>SUMIFS('caseload data'!P:P,'caseload data'!$D:$D,"SPO",'caseload data'!$C:$C,'custody caseload'!$B$64,'caseload data'!$B:$B,"custody")</f>
        <v>0</v>
      </c>
      <c r="O69" s="94">
        <f>SUMIFS('caseload data'!Q:Q,'caseload data'!$D:$D,"SPO",'caseload data'!$C:$C,'custody caseload'!$B$64,'caseload data'!$B:$B,"custody")</f>
        <v>0</v>
      </c>
      <c r="P69" s="94">
        <f>SUMIFS('caseload data'!R:R,'caseload data'!$D:$D,"SPO",'caseload data'!$C:$C,'custody caseload'!$B$64,'caseload data'!$B:$B,"custody")</f>
        <v>0</v>
      </c>
      <c r="Q69" s="94">
        <f>SUMIFS('caseload data'!S:S,'caseload data'!$D:$D,"SPO",'caseload data'!$C:$C,'custody caseload'!$B$64,'caseload data'!$B:$B,"custody")</f>
        <v>0</v>
      </c>
      <c r="R69" s="94">
        <f>SUMIFS('caseload data'!T:T,'caseload data'!$D:$D,"SPO",'caseload data'!$C:$C,'custody caseload'!$B$64,'caseload data'!$B:$B,"custody")</f>
        <v>0</v>
      </c>
      <c r="S69" s="64"/>
      <c r="T69" s="98" t="s">
        <v>1009</v>
      </c>
      <c r="U69" s="94">
        <f>SUMIFS('caseload data'!E:E,'caseload data'!$D:$D,"SPO",'caseload data'!$C:$C,'custody caseload'!$T$64,'caseload data'!$B:$B,"custody")</f>
        <v>0</v>
      </c>
      <c r="V69" s="94">
        <f>SUMIFS('caseload data'!F:F,'caseload data'!$D:$D,"SPO",'caseload data'!$C:$C,'custody caseload'!$T$64,'caseload data'!$B:$B,"custody")</f>
        <v>0</v>
      </c>
      <c r="W69" s="94">
        <f>SUMIFS('caseload data'!G:G,'caseload data'!$D:$D,"SPO",'caseload data'!$C:$C,'custody caseload'!$T$64,'caseload data'!$B:$B,"custody")</f>
        <v>0</v>
      </c>
      <c r="X69" s="94">
        <f>SUMIFS('caseload data'!H:H,'caseload data'!$D:$D,"SPO",'caseload data'!$C:$C,'custody caseload'!$T$64,'caseload data'!$B:$B,"custody")</f>
        <v>0</v>
      </c>
      <c r="Y69" s="94">
        <f>SUMIFS('caseload data'!I:I,'caseload data'!$D:$D,"SPO",'caseload data'!$C:$C,'custody caseload'!$T$64,'caseload data'!$B:$B,"custody")</f>
        <v>0</v>
      </c>
      <c r="Z69" s="94">
        <f>SUMIFS('caseload data'!J:J,'caseload data'!$D:$D,"SPO",'caseload data'!$C:$C,'custody caseload'!$T$64,'caseload data'!$B:$B,"custody")</f>
        <v>0</v>
      </c>
      <c r="AA69" s="94">
        <f>SUMIFS('caseload data'!K:K,'caseload data'!$D:$D,"SPO",'caseload data'!$C:$C,'custody caseload'!$T$64,'caseload data'!$B:$B,"custody")</f>
        <v>0</v>
      </c>
      <c r="AB69" s="94">
        <f>SUMIFS('caseload data'!L:L,'caseload data'!$D:$D,"SPO",'caseload data'!$C:$C,'custody caseload'!$T$64,'caseload data'!$B:$B,"custody")</f>
        <v>0</v>
      </c>
      <c r="AC69" s="94">
        <f>SUMIFS('caseload data'!M:M,'caseload data'!$D:$D,"SPO",'caseload data'!$C:$C,'custody caseload'!$T$64,'caseload data'!$B:$B,"custody")</f>
        <v>0</v>
      </c>
      <c r="AD69" s="94">
        <f>SUMIFS('caseload data'!N:N,'caseload data'!$D:$D,"SPO",'caseload data'!$C:$C,'custody caseload'!$T$64,'caseload data'!$B:$B,"custody")</f>
        <v>0</v>
      </c>
      <c r="AE69" s="94">
        <f>SUMIFS('caseload data'!O:O,'caseload data'!$D:$D,"SPO",'caseload data'!$C:$C,'custody caseload'!$T$64,'caseload data'!$B:$B,"custody")</f>
        <v>0</v>
      </c>
      <c r="AF69" s="94">
        <f>SUMIFS('caseload data'!P:P,'caseload data'!$D:$D,"SPO",'caseload data'!$C:$C,'custody caseload'!$T$64,'caseload data'!$B:$B,"custody")</f>
        <v>0</v>
      </c>
      <c r="AG69" s="94">
        <f>SUMIFS('caseload data'!Q:Q,'caseload data'!$D:$D,"SPO",'caseload data'!$C:$C,'custody caseload'!$T$64,'caseload data'!$B:$B,"custody")</f>
        <v>0</v>
      </c>
      <c r="AH69" s="94">
        <f>SUMIFS('caseload data'!R:R,'caseload data'!$D:$D,"SPO",'caseload data'!$C:$C,'custody caseload'!$T$64,'caseload data'!$B:$B,"custody")</f>
        <v>0</v>
      </c>
      <c r="AI69" s="94">
        <f>SUMIFS('caseload data'!S:S,'caseload data'!$D:$D,"SPO",'caseload data'!$C:$C,'custody caseload'!$T$64,'caseload data'!$B:$B,"custody")</f>
        <v>0</v>
      </c>
      <c r="AJ69" s="94">
        <f>SUMIFS('caseload data'!T:T,'caseload data'!$D:$D,"SPO",'caseload data'!$C:$C,'custody caseload'!$T$64,'caseload data'!$B:$B,"custody")</f>
        <v>0</v>
      </c>
    </row>
    <row r="71" spans="2:36" ht="22.5" customHeight="1" x14ac:dyDescent="0.15">
      <c r="B71" s="142">
        <f>HLOOKUP($B$5,Region_Table,20,0)</f>
        <v>0</v>
      </c>
      <c r="C71" s="523" t="s">
        <v>1131</v>
      </c>
      <c r="D71" s="524"/>
      <c r="E71" s="524"/>
      <c r="F71" s="524"/>
      <c r="G71" s="524"/>
      <c r="H71" s="524"/>
      <c r="I71" s="524"/>
      <c r="J71" s="524"/>
      <c r="K71" s="524"/>
      <c r="L71" s="524"/>
      <c r="M71" s="533"/>
      <c r="N71" s="533"/>
      <c r="O71" s="534"/>
      <c r="P71" s="510">
        <f>SUMIFS('caseload data'!V:V,'caseload data'!B:B,"custody",'caseload data'!$C:$C,'custody caseload'!B71)</f>
        <v>0</v>
      </c>
      <c r="Q71" s="527"/>
      <c r="R71" s="528"/>
      <c r="T71" s="142">
        <f>HLOOKUP($B$5,Region_Table,21,0)</f>
        <v>0</v>
      </c>
      <c r="U71" s="523" t="s">
        <v>1131</v>
      </c>
      <c r="V71" s="524"/>
      <c r="W71" s="524"/>
      <c r="X71" s="524"/>
      <c r="Y71" s="524"/>
      <c r="Z71" s="524"/>
      <c r="AA71" s="524"/>
      <c r="AB71" s="524"/>
      <c r="AC71" s="524"/>
      <c r="AD71" s="524"/>
      <c r="AE71" s="533"/>
      <c r="AF71" s="533"/>
      <c r="AG71" s="534"/>
      <c r="AH71" s="510">
        <f>SUMIFS('caseload data'!V:V,'caseload data'!B:B,"custody",'caseload data'!$C:$C,'custody caseload'!T71)</f>
        <v>0</v>
      </c>
      <c r="AI71" s="527"/>
      <c r="AJ71" s="528"/>
    </row>
    <row r="72" spans="2:36" x14ac:dyDescent="0.15">
      <c r="B72" s="95" t="s">
        <v>1006</v>
      </c>
      <c r="C72" s="38" t="s">
        <v>869</v>
      </c>
      <c r="D72" s="38" t="s">
        <v>870</v>
      </c>
      <c r="E72" s="38" t="s">
        <v>871</v>
      </c>
      <c r="F72" s="38" t="s">
        <v>872</v>
      </c>
      <c r="G72" s="38" t="s">
        <v>873</v>
      </c>
      <c r="H72" s="38" t="s">
        <v>874</v>
      </c>
      <c r="I72" s="38" t="s">
        <v>875</v>
      </c>
      <c r="J72" s="38" t="s">
        <v>876</v>
      </c>
      <c r="K72" s="38" t="s">
        <v>877</v>
      </c>
      <c r="L72" s="38" t="s">
        <v>878</v>
      </c>
      <c r="M72" s="38" t="s">
        <v>879</v>
      </c>
      <c r="N72" s="38" t="s">
        <v>880</v>
      </c>
      <c r="O72" s="38" t="s">
        <v>881</v>
      </c>
      <c r="P72" s="38" t="s">
        <v>882</v>
      </c>
      <c r="Q72" s="38" t="s">
        <v>883</v>
      </c>
      <c r="R72" s="38" t="s">
        <v>884</v>
      </c>
      <c r="T72" s="95" t="s">
        <v>1006</v>
      </c>
      <c r="U72" s="38" t="s">
        <v>869</v>
      </c>
      <c r="V72" s="38" t="s">
        <v>870</v>
      </c>
      <c r="W72" s="38" t="s">
        <v>871</v>
      </c>
      <c r="X72" s="38" t="s">
        <v>872</v>
      </c>
      <c r="Y72" s="38" t="s">
        <v>873</v>
      </c>
      <c r="Z72" s="38" t="s">
        <v>874</v>
      </c>
      <c r="AA72" s="38" t="s">
        <v>875</v>
      </c>
      <c r="AB72" s="38" t="s">
        <v>876</v>
      </c>
      <c r="AC72" s="38" t="s">
        <v>877</v>
      </c>
      <c r="AD72" s="38" t="s">
        <v>878</v>
      </c>
      <c r="AE72" s="38" t="s">
        <v>879</v>
      </c>
      <c r="AF72" s="38" t="s">
        <v>880</v>
      </c>
      <c r="AG72" s="38" t="s">
        <v>881</v>
      </c>
      <c r="AH72" s="38" t="s">
        <v>882</v>
      </c>
      <c r="AI72" s="38" t="s">
        <v>883</v>
      </c>
      <c r="AJ72" s="38" t="s">
        <v>884</v>
      </c>
    </row>
    <row r="73" spans="2:36" x14ac:dyDescent="0.15">
      <c r="B73" s="96" t="s">
        <v>1002</v>
      </c>
      <c r="C73" s="94">
        <f>SUMIFS('caseload data'!E:E,'caseload data'!$D:$D,"PO",'caseload data'!$C:$C,'custody caseload'!$B$71,'caseload data'!$B:$B,"custody")</f>
        <v>0</v>
      </c>
      <c r="D73" s="94">
        <f>SUMIFS('caseload data'!F:F,'caseload data'!$D:$D,"PO",'caseload data'!$C:$C,'custody caseload'!$B$71,'caseload data'!$B:$B,"custody")</f>
        <v>0</v>
      </c>
      <c r="E73" s="94">
        <f>SUMIFS('caseload data'!G:G,'caseload data'!$D:$D,"PO",'caseload data'!$C:$C,'custody caseload'!$B$71,'caseload data'!$B:$B,"custody")</f>
        <v>0</v>
      </c>
      <c r="F73" s="94">
        <f>SUMIFS('caseload data'!H:H,'caseload data'!$D:$D,"PO",'caseload data'!$C:$C,'custody caseload'!$B$71,'caseload data'!$B:$B,"custody")</f>
        <v>0</v>
      </c>
      <c r="G73" s="94">
        <f>SUMIFS('caseload data'!I:I,'caseload data'!$D:$D,"PO",'caseload data'!$C:$C,'custody caseload'!$B$71,'caseload data'!$B:$B,"custody")</f>
        <v>0</v>
      </c>
      <c r="H73" s="94">
        <f>SUMIFS('caseload data'!J:J,'caseload data'!$D:$D,"PO",'caseload data'!$C:$C,'custody caseload'!$B$71,'caseload data'!$B:$B,"custody")</f>
        <v>0</v>
      </c>
      <c r="I73" s="94">
        <f>SUMIFS('caseload data'!K:K,'caseload data'!$D:$D,"PO",'caseload data'!$C:$C,'custody caseload'!$B$71,'caseload data'!$B:$B,"custody")</f>
        <v>0</v>
      </c>
      <c r="J73" s="94">
        <f>SUMIFS('caseload data'!L:L,'caseload data'!$D:$D,"PO",'caseload data'!$C:$C,'custody caseload'!$B$71,'caseload data'!$B:$B,"custody")</f>
        <v>0</v>
      </c>
      <c r="K73" s="94">
        <f>SUMIFS('caseload data'!M:M,'caseload data'!$D:$D,"PO",'caseload data'!$C:$C,'custody caseload'!$B$71,'caseload data'!$B:$B,"custody")</f>
        <v>0</v>
      </c>
      <c r="L73" s="94">
        <f>SUMIFS('caseload data'!N:N,'caseload data'!$D:$D,"PO",'caseload data'!$C:$C,'custody caseload'!$B$71,'caseload data'!$B:$B,"custody")</f>
        <v>0</v>
      </c>
      <c r="M73" s="94">
        <f>SUMIFS('caseload data'!O:O,'caseload data'!$D:$D,"PO",'caseload data'!$C:$C,'custody caseload'!$B$71,'caseload data'!$B:$B,"custody")</f>
        <v>0</v>
      </c>
      <c r="N73" s="94">
        <f>SUMIFS('caseload data'!P:P,'caseload data'!$D:$D,"PO",'caseload data'!$C:$C,'custody caseload'!$B$71,'caseload data'!$B:$B,"custody")</f>
        <v>0</v>
      </c>
      <c r="O73" s="94">
        <f>SUMIFS('caseload data'!Q:Q,'caseload data'!$D:$D,"PO",'caseload data'!$C:$C,'custody caseload'!$B$71,'caseload data'!$B:$B,"custody")</f>
        <v>0</v>
      </c>
      <c r="P73" s="94">
        <f>SUMIFS('caseload data'!R:R,'caseload data'!$D:$D,"PO",'caseload data'!$C:$C,'custody caseload'!$B$71,'caseload data'!$B:$B,"custody")</f>
        <v>0</v>
      </c>
      <c r="Q73" s="94">
        <f>SUMIFS('caseload data'!S:S,'caseload data'!$D:$D,"PO",'caseload data'!$C:$C,'custody caseload'!$B$71,'caseload data'!$B:$B,"custody")</f>
        <v>0</v>
      </c>
      <c r="R73" s="94">
        <f>SUMIFS('caseload data'!T:T,'caseload data'!$D:$D,"PO",'caseload data'!$C:$C,'custody caseload'!$B$71,'caseload data'!$B:$B,"custody")</f>
        <v>0</v>
      </c>
      <c r="T73" s="96" t="s">
        <v>1002</v>
      </c>
      <c r="U73" s="94">
        <f>SUMIFS('caseload data'!E:E,'caseload data'!$D:$D,"PO",'caseload data'!$C:$C,'custody caseload'!$T$71,'caseload data'!$B:$B,"custody")</f>
        <v>0</v>
      </c>
      <c r="V73" s="94">
        <f>SUMIFS('caseload data'!F:F,'caseload data'!$D:$D,"PO",'caseload data'!$C:$C,'custody caseload'!$T$71,'caseload data'!$B:$B,"custody")</f>
        <v>0</v>
      </c>
      <c r="W73" s="94">
        <f>SUMIFS('caseload data'!G:G,'caseload data'!$D:$D,"PO",'caseload data'!$C:$C,'custody caseload'!$T$71,'caseload data'!$B:$B,"custody")</f>
        <v>0</v>
      </c>
      <c r="X73" s="94">
        <f>SUMIFS('caseload data'!H:H,'caseload data'!$D:$D,"PO",'caseload data'!$C:$C,'custody caseload'!$T$71,'caseload data'!$B:$B,"custody")</f>
        <v>0</v>
      </c>
      <c r="Y73" s="94">
        <f>SUMIFS('caseload data'!I:I,'caseload data'!$D:$D,"PO",'caseload data'!$C:$C,'custody caseload'!$T$71,'caseload data'!$B:$B,"custody")</f>
        <v>0</v>
      </c>
      <c r="Z73" s="94">
        <f>SUMIFS('caseload data'!J:J,'caseload data'!$D:$D,"PO",'caseload data'!$C:$C,'custody caseload'!$T$71,'caseload data'!$B:$B,"custody")</f>
        <v>0</v>
      </c>
      <c r="AA73" s="94">
        <f>SUMIFS('caseload data'!K:K,'caseload data'!$D:$D,"PO",'caseload data'!$C:$C,'custody caseload'!$T$71,'caseload data'!$B:$B,"custody")</f>
        <v>0</v>
      </c>
      <c r="AB73" s="94">
        <f>SUMIFS('caseload data'!L:L,'caseload data'!$D:$D,"PO",'caseload data'!$C:$C,'custody caseload'!$T$71,'caseload data'!$B:$B,"custody")</f>
        <v>0</v>
      </c>
      <c r="AC73" s="94">
        <f>SUMIFS('caseload data'!M:M,'caseload data'!$D:$D,"PO",'caseload data'!$C:$C,'custody caseload'!$T$71,'caseload data'!$B:$B,"custody")</f>
        <v>0</v>
      </c>
      <c r="AD73" s="94">
        <f>SUMIFS('caseload data'!N:N,'caseload data'!$D:$D,"PO",'caseload data'!$C:$C,'custody caseload'!$T$71,'caseload data'!$B:$B,"custody")</f>
        <v>0</v>
      </c>
      <c r="AE73" s="94">
        <f>SUMIFS('caseload data'!O:O,'caseload data'!$D:$D,"PO",'caseload data'!$C:$C,'custody caseload'!$T$71,'caseload data'!$B:$B,"custody")</f>
        <v>0</v>
      </c>
      <c r="AF73" s="94">
        <f>SUMIFS('caseload data'!P:P,'caseload data'!$D:$D,"PO",'caseload data'!$C:$C,'custody caseload'!$T$71,'caseload data'!$B:$B,"custody")</f>
        <v>0</v>
      </c>
      <c r="AG73" s="94">
        <f>SUMIFS('caseload data'!Q:Q,'caseload data'!$D:$D,"PO",'caseload data'!$C:$C,'custody caseload'!$T$71,'caseload data'!$B:$B,"custody")</f>
        <v>0</v>
      </c>
      <c r="AH73" s="94">
        <f>SUMIFS('caseload data'!R:R,'caseload data'!$D:$D,"PO",'caseload data'!$C:$C,'custody caseload'!$T$71,'caseload data'!$B:$B,"custody")</f>
        <v>0</v>
      </c>
      <c r="AI73" s="94">
        <f>SUMIFS('caseload data'!S:S,'caseload data'!$D:$D,"PO",'caseload data'!$C:$C,'custody caseload'!$T$71,'caseload data'!$B:$B,"custody")</f>
        <v>0</v>
      </c>
      <c r="AJ73" s="94">
        <f>SUMIFS('caseload data'!T:T,'caseload data'!$D:$D,"PO",'caseload data'!$C:$C,'custody caseload'!$T$71,'caseload data'!$B:$B,"custody")</f>
        <v>0</v>
      </c>
    </row>
    <row r="74" spans="2:36" ht="15" x14ac:dyDescent="0.2">
      <c r="B74" s="97" t="s">
        <v>1007</v>
      </c>
      <c r="C74" s="145">
        <f>SUMIFS('caseload data'!E:E,'caseload data'!$D:$D,"PSO",'caseload data'!$C:$C,'custody caseload'!$B$71,'caseload data'!$B:$B,"custody")</f>
        <v>0</v>
      </c>
      <c r="D74" s="145">
        <f>SUMIFS('caseload data'!F:F,'caseload data'!$D:$D,"PSO",'caseload data'!$C:$C,'custody caseload'!$B$71,'caseload data'!$B:$B,"custody")</f>
        <v>0</v>
      </c>
      <c r="E74" s="145">
        <f>SUMIFS('caseload data'!G:G,'caseload data'!$D:$D,"PSO",'caseload data'!$C:$C,'custody caseload'!$B$71,'caseload data'!$B:$B,"custody")</f>
        <v>0</v>
      </c>
      <c r="F74" s="145">
        <f>SUMIFS('caseload data'!H:H,'caseload data'!$D:$D,"PSO",'caseload data'!$C:$C,'custody caseload'!$B$71,'caseload data'!$B:$B,"custody")</f>
        <v>0</v>
      </c>
      <c r="G74" s="145">
        <f>SUMIFS('caseload data'!I:I,'caseload data'!$D:$D,"PSO",'caseload data'!$C:$C,'custody caseload'!$B$71,'caseload data'!$B:$B,"custody")</f>
        <v>0</v>
      </c>
      <c r="H74" s="145">
        <f>SUMIFS('caseload data'!J:J,'caseload data'!$D:$D,"PSO",'caseload data'!$C:$C,'custody caseload'!$B$71,'caseload data'!$B:$B,"custody")</f>
        <v>0</v>
      </c>
      <c r="I74" s="145">
        <f>SUMIFS('caseload data'!K:K,'caseload data'!$D:$D,"PSO",'caseload data'!$C:$C,'custody caseload'!$B$71,'caseload data'!$B:$B,"custody")</f>
        <v>0</v>
      </c>
      <c r="J74" s="145">
        <f>SUMIFS('caseload data'!L:L,'caseload data'!$D:$D,"PSO",'caseload data'!$C:$C,'custody caseload'!$B$71,'caseload data'!$B:$B,"custody")</f>
        <v>0</v>
      </c>
      <c r="K74" s="94">
        <f>SUMIFS('caseload data'!M:M,'caseload data'!$D:$D,"PSO",'caseload data'!$C:$C,'custody caseload'!$B$71,'caseload data'!$B:$B,"custody")</f>
        <v>0</v>
      </c>
      <c r="L74" s="94">
        <f>SUMIFS('caseload data'!N:N,'caseload data'!$D:$D,"PSO",'caseload data'!$C:$C,'custody caseload'!$B$71,'caseload data'!$B:$B,"custody")</f>
        <v>0</v>
      </c>
      <c r="M74" s="94">
        <f>SUMIFS('caseload data'!O:O,'caseload data'!$D:$D,"PSO",'caseload data'!$C:$C,'custody caseload'!$B$71,'caseload data'!$B:$B,"custody")</f>
        <v>0</v>
      </c>
      <c r="N74" s="94">
        <f>SUMIFS('caseload data'!P:P,'caseload data'!$D:$D,"PSO",'caseload data'!$C:$C,'custody caseload'!$B$71,'caseload data'!$B:$B,"custody")</f>
        <v>0</v>
      </c>
      <c r="O74" s="94">
        <f>SUMIFS('caseload data'!Q:Q,'caseload data'!$D:$D,"PSO",'caseload data'!$C:$C,'custody caseload'!$B$71,'caseload data'!$B:$B,"custody")</f>
        <v>0</v>
      </c>
      <c r="P74" s="94">
        <f>SUMIFS('caseload data'!R:R,'caseload data'!$D:$D,"PSO",'caseload data'!$C:$C,'custody caseload'!$B$71,'caseload data'!$B:$B,"custody")</f>
        <v>0</v>
      </c>
      <c r="Q74" s="94">
        <f>SUMIFS('caseload data'!S:S,'caseload data'!$D:$D,"PSO",'caseload data'!$C:$C,'custody caseload'!$B$71,'caseload data'!$B:$B,"custody")</f>
        <v>0</v>
      </c>
      <c r="R74" s="94">
        <f>SUMIFS('caseload data'!T:T,'caseload data'!$D:$D,"PSO",'caseload data'!$C:$C,'custody caseload'!$B$71,'caseload data'!$B:$B,"custody")</f>
        <v>0</v>
      </c>
      <c r="T74" s="97" t="s">
        <v>1007</v>
      </c>
      <c r="U74" s="145">
        <f>SUMIFS('caseload data'!E:E,'caseload data'!$D:$D,"PSO",'caseload data'!$C:$C,'custody caseload'!$T$71,'caseload data'!$B:$B,"custody")</f>
        <v>0</v>
      </c>
      <c r="V74" s="145">
        <f>SUMIFS('caseload data'!F:F,'caseload data'!$D:$D,"PSO",'caseload data'!$C:$C,'custody caseload'!$T$71,'caseload data'!$B:$B,"custody")</f>
        <v>0</v>
      </c>
      <c r="W74" s="145">
        <f>SUMIFS('caseload data'!G:G,'caseload data'!$D:$D,"PSO",'caseload data'!$C:$C,'custody caseload'!$T$71,'caseload data'!$B:$B,"custody")</f>
        <v>0</v>
      </c>
      <c r="X74" s="145">
        <f>SUMIFS('caseload data'!H:H,'caseload data'!$D:$D,"PSO",'caseload data'!$C:$C,'custody caseload'!$T$71,'caseload data'!$B:$B,"custody")</f>
        <v>0</v>
      </c>
      <c r="Y74" s="145">
        <f>SUMIFS('caseload data'!I:I,'caseload data'!$D:$D,"PSO",'caseload data'!$C:$C,'custody caseload'!$T$71,'caseload data'!$B:$B,"custody")</f>
        <v>0</v>
      </c>
      <c r="Z74" s="145">
        <f>SUMIFS('caseload data'!J:J,'caseload data'!$D:$D,"PSO",'caseload data'!$C:$C,'custody caseload'!$T$71,'caseload data'!$B:$B,"custody")</f>
        <v>0</v>
      </c>
      <c r="AA74" s="145">
        <f>SUMIFS('caseload data'!K:K,'caseload data'!$D:$D,"PSO",'caseload data'!$C:$C,'custody caseload'!$T$71,'caseload data'!$B:$B,"custody")</f>
        <v>0</v>
      </c>
      <c r="AB74" s="145">
        <f>SUMIFS('caseload data'!L:L,'caseload data'!$D:$D,"PSO",'caseload data'!$C:$C,'custody caseload'!$T$71,'caseload data'!$B:$B,"custody")</f>
        <v>0</v>
      </c>
      <c r="AC74" s="94">
        <f>SUMIFS('caseload data'!M:M,'caseload data'!$D:$D,"PSO",'caseload data'!$C:$C,'custody caseload'!$T$71,'caseload data'!$B:$B,"custody")</f>
        <v>0</v>
      </c>
      <c r="AD74" s="94">
        <f>SUMIFS('caseload data'!N:N,'caseload data'!$D:$D,"PSO",'caseload data'!$C:$C,'custody caseload'!$T$71,'caseload data'!$B:$B,"custody")</f>
        <v>0</v>
      </c>
      <c r="AE74" s="94">
        <f>SUMIFS('caseload data'!O:O,'caseload data'!$D:$D,"PSO",'caseload data'!$C:$C,'custody caseload'!$T$71,'caseload data'!$B:$B,"custody")</f>
        <v>0</v>
      </c>
      <c r="AF74" s="94">
        <f>SUMIFS('caseload data'!P:P,'caseload data'!$D:$D,"PSO",'caseload data'!$C:$C,'custody caseload'!$T$71,'caseload data'!$B:$B,"custody")</f>
        <v>0</v>
      </c>
      <c r="AG74" s="94">
        <f>SUMIFS('caseload data'!Q:Q,'caseload data'!$D:$D,"PSO",'caseload data'!$C:$C,'custody caseload'!$T$71,'caseload data'!$B:$B,"custody")</f>
        <v>0</v>
      </c>
      <c r="AH74" s="94">
        <f>SUMIFS('caseload data'!R:R,'caseload data'!$D:$D,"PSO",'caseload data'!$C:$C,'custody caseload'!$T$71,'caseload data'!$B:$B,"custody")</f>
        <v>0</v>
      </c>
      <c r="AI74" s="94">
        <f>SUMIFS('caseload data'!S:S,'caseload data'!$D:$D,"PSO",'caseload data'!$C:$C,'custody caseload'!$T$71,'caseload data'!$B:$B,"custody")</f>
        <v>0</v>
      </c>
      <c r="AJ74" s="94">
        <f>SUMIFS('caseload data'!T:T,'caseload data'!$D:$D,"PSO",'caseload data'!$C:$C,'custody caseload'!$T$71,'caseload data'!$B:$B,"custody")</f>
        <v>0</v>
      </c>
    </row>
    <row r="75" spans="2:36" ht="15" x14ac:dyDescent="0.2">
      <c r="B75" s="97" t="s">
        <v>1008</v>
      </c>
      <c r="C75" s="145">
        <f>SUMIFS('caseload data'!E:E,'caseload data'!$D:$D,"TPO",'caseload data'!$C:$C,'custody caseload'!$B$71,'caseload data'!$B:$B,"custody")</f>
        <v>0</v>
      </c>
      <c r="D75" s="145">
        <f>SUMIFS('caseload data'!F:F,'caseload data'!$D:$D,"TPO",'caseload data'!$C:$C,'custody caseload'!$B$71,'caseload data'!$B:$B,"custody")</f>
        <v>0</v>
      </c>
      <c r="E75" s="145">
        <f>SUMIFS('caseload data'!G:G,'caseload data'!$D:$D,"TPO",'caseload data'!$C:$C,'custody caseload'!$B$71,'caseload data'!$B:$B,"custody")</f>
        <v>0</v>
      </c>
      <c r="F75" s="145">
        <f>SUMIFS('caseload data'!H:H,'caseload data'!$D:$D,"TPO",'caseload data'!$C:$C,'custody caseload'!$B$71,'caseload data'!$B:$B,"custody")</f>
        <v>0</v>
      </c>
      <c r="G75" s="145">
        <f>SUMIFS('caseload data'!I:I,'caseload data'!$D:$D,"TPO",'caseload data'!$C:$C,'custody caseload'!$B$71,'caseload data'!$B:$B,"custody")</f>
        <v>0</v>
      </c>
      <c r="H75" s="145">
        <f>SUMIFS('caseload data'!J:J,'caseload data'!$D:$D,"TPO",'caseload data'!$C:$C,'custody caseload'!$B$71,'caseload data'!$B:$B,"custody")</f>
        <v>0</v>
      </c>
      <c r="I75" s="145">
        <f>SUMIFS('caseload data'!K:K,'caseload data'!$D:$D,"TPO",'caseload data'!$C:$C,'custody caseload'!$B$71,'caseload data'!$B:$B,"custody")</f>
        <v>0</v>
      </c>
      <c r="J75" s="145">
        <f>SUMIFS('caseload data'!L:L,'caseload data'!$D:$D,"TPO",'caseload data'!$C:$C,'custody caseload'!$B$71,'caseload data'!$B:$B,"custody")</f>
        <v>0</v>
      </c>
      <c r="K75" s="94">
        <f>SUMIFS('caseload data'!M:M,'caseload data'!$D:$D,"TPO",'caseload data'!$C:$C,'custody caseload'!$B$71,'caseload data'!$B:$B,"custody")</f>
        <v>0</v>
      </c>
      <c r="L75" s="94">
        <f>SUMIFS('caseload data'!N:N,'caseload data'!$D:$D,"TPO",'caseload data'!$C:$C,'custody caseload'!$B$71,'caseload data'!$B:$B,"custody")</f>
        <v>0</v>
      </c>
      <c r="M75" s="94">
        <f>SUMIFS('caseload data'!O:O,'caseload data'!$D:$D,"TPO",'caseload data'!$C:$C,'custody caseload'!$B$71,'caseload data'!$B:$B,"custody")</f>
        <v>0</v>
      </c>
      <c r="N75" s="94">
        <f>SUMIFS('caseload data'!P:P,'caseload data'!$D:$D,"TPO",'caseload data'!$C:$C,'custody caseload'!$B$71,'caseload data'!$B:$B,"custody")</f>
        <v>0</v>
      </c>
      <c r="O75" s="94">
        <f>SUMIFS('caseload data'!Q:Q,'caseload data'!$D:$D,"TPO",'caseload data'!$C:$C,'custody caseload'!$B$71,'caseload data'!$B:$B,"custody")</f>
        <v>0</v>
      </c>
      <c r="P75" s="94">
        <f>SUMIFS('caseload data'!R:R,'caseload data'!$D:$D,"TPO",'caseload data'!$C:$C,'custody caseload'!$B$71,'caseload data'!$B:$B,"custody")</f>
        <v>0</v>
      </c>
      <c r="Q75" s="94">
        <f>SUMIFS('caseload data'!S:S,'caseload data'!$D:$D,"TPO",'caseload data'!$C:$C,'custody caseload'!$B$71,'caseload data'!$B:$B,"custody")</f>
        <v>0</v>
      </c>
      <c r="R75" s="94">
        <f>SUMIFS('caseload data'!T:T,'caseload data'!$D:$D,"TPO",'caseload data'!$C:$C,'custody caseload'!$B$71,'caseload data'!$B:$B,"custody")</f>
        <v>0</v>
      </c>
      <c r="T75" s="97" t="s">
        <v>1008</v>
      </c>
      <c r="U75" s="145">
        <f>SUMIFS('caseload data'!E:E,'caseload data'!$D:$D,"TPO",'caseload data'!$C:$C,'custody caseload'!$T$71,'caseload data'!$B:$B,"custody")</f>
        <v>0</v>
      </c>
      <c r="V75" s="145">
        <f>SUMIFS('caseload data'!F:F,'caseload data'!$D:$D,"TPO",'caseload data'!$C:$C,'custody caseload'!$T$71,'caseload data'!$B:$B,"custody")</f>
        <v>0</v>
      </c>
      <c r="W75" s="145">
        <f>SUMIFS('caseload data'!G:G,'caseload data'!$D:$D,"TPO",'caseload data'!$C:$C,'custody caseload'!$T$71,'caseload data'!$B:$B,"custody")</f>
        <v>0</v>
      </c>
      <c r="X75" s="145">
        <f>SUMIFS('caseload data'!H:H,'caseload data'!$D:$D,"TPO",'caseload data'!$C:$C,'custody caseload'!$T$71,'caseload data'!$B:$B,"custody")</f>
        <v>0</v>
      </c>
      <c r="Y75" s="145">
        <f>SUMIFS('caseload data'!I:I,'caseload data'!$D:$D,"TPO",'caseload data'!$C:$C,'custody caseload'!$T$71,'caseload data'!$B:$B,"custody")</f>
        <v>0</v>
      </c>
      <c r="Z75" s="145">
        <f>SUMIFS('caseload data'!J:J,'caseload data'!$D:$D,"TPO",'caseload data'!$C:$C,'custody caseload'!$T$71,'caseload data'!$B:$B,"custody")</f>
        <v>0</v>
      </c>
      <c r="AA75" s="145">
        <f>SUMIFS('caseload data'!K:K,'caseload data'!$D:$D,"TPO",'caseload data'!$C:$C,'custody caseload'!$T$71,'caseload data'!$B:$B,"custody")</f>
        <v>0</v>
      </c>
      <c r="AB75" s="145">
        <f>SUMIFS('caseload data'!L:L,'caseload data'!$D:$D,"TPO",'caseload data'!$C:$C,'custody caseload'!$T$71,'caseload data'!$B:$B,"custody")</f>
        <v>0</v>
      </c>
      <c r="AC75" s="94">
        <f>SUMIFS('caseload data'!M:M,'caseload data'!$D:$D,"TPO",'caseload data'!$C:$C,'custody caseload'!$T$71,'caseload data'!$B:$B,"custody")</f>
        <v>0</v>
      </c>
      <c r="AD75" s="94">
        <f>SUMIFS('caseload data'!N:N,'caseload data'!$D:$D,"TPO",'caseload data'!$C:$C,'custody caseload'!$T$71,'caseload data'!$B:$B,"custody")</f>
        <v>0</v>
      </c>
      <c r="AE75" s="94">
        <f>SUMIFS('caseload data'!O:O,'caseload data'!$D:$D,"TPO",'caseload data'!$C:$C,'custody caseload'!$T$71,'caseload data'!$B:$B,"custody")</f>
        <v>0</v>
      </c>
      <c r="AF75" s="94">
        <f>SUMIFS('caseload data'!P:P,'caseload data'!$D:$D,"TPO",'caseload data'!$C:$C,'custody caseload'!$T$71,'caseload data'!$B:$B,"custody")</f>
        <v>0</v>
      </c>
      <c r="AG75" s="94">
        <f>SUMIFS('caseload data'!Q:Q,'caseload data'!$D:$D,"TPO",'caseload data'!$C:$C,'custody caseload'!$T$71,'caseload data'!$B:$B,"custody")</f>
        <v>0</v>
      </c>
      <c r="AH75" s="94">
        <f>SUMIFS('caseload data'!R:R,'caseload data'!$D:$D,"TPO",'caseload data'!$C:$C,'custody caseload'!$T$71,'caseload data'!$B:$B,"custody")</f>
        <v>0</v>
      </c>
      <c r="AI75" s="94">
        <f>SUMIFS('caseload data'!S:S,'caseload data'!$D:$D,"TPO",'caseload data'!$C:$C,'custody caseload'!$T$71,'caseload data'!$B:$B,"custody")</f>
        <v>0</v>
      </c>
      <c r="AJ75" s="94">
        <f>SUMIFS('caseload data'!T:T,'caseload data'!$D:$D,"TPO",'caseload data'!$C:$C,'custody caseload'!$T$71,'caseload data'!$B:$B,"custody")</f>
        <v>0</v>
      </c>
    </row>
    <row r="76" spans="2:36" x14ac:dyDescent="0.15">
      <c r="B76" s="98" t="s">
        <v>1009</v>
      </c>
      <c r="C76" s="94">
        <f>SUMIFS('caseload data'!E:E,'caseload data'!$D:$D,"SPO",'caseload data'!$C:$C,'custody caseload'!$B$71,'caseload data'!$B:$B,"custody")</f>
        <v>0</v>
      </c>
      <c r="D76" s="94">
        <f>SUMIFS('caseload data'!F:F,'caseload data'!$D:$D,"SPO",'caseload data'!$C:$C,'custody caseload'!$B$71,'caseload data'!$B:$B,"custody")</f>
        <v>0</v>
      </c>
      <c r="E76" s="94">
        <f>SUMIFS('caseload data'!G:G,'caseload data'!$D:$D,"SPO",'caseload data'!$C:$C,'custody caseload'!$B$71,'caseload data'!$B:$B,"custody")</f>
        <v>0</v>
      </c>
      <c r="F76" s="94">
        <f>SUMIFS('caseload data'!H:H,'caseload data'!$D:$D,"SPO",'caseload data'!$C:$C,'custody caseload'!$B$71,'caseload data'!$B:$B,"custody")</f>
        <v>0</v>
      </c>
      <c r="G76" s="94">
        <f>SUMIFS('caseload data'!I:I,'caseload data'!$D:$D,"SPO",'caseload data'!$C:$C,'custody caseload'!$B$71,'caseload data'!$B:$B,"custody")</f>
        <v>0</v>
      </c>
      <c r="H76" s="94">
        <f>SUMIFS('caseload data'!J:J,'caseload data'!$D:$D,"SPO",'caseload data'!$C:$C,'custody caseload'!$B$71,'caseload data'!$B:$B,"custody")</f>
        <v>0</v>
      </c>
      <c r="I76" s="94">
        <f>SUMIFS('caseload data'!K:K,'caseload data'!$D:$D,"SPO",'caseload data'!$C:$C,'custody caseload'!$B$71,'caseload data'!$B:$B,"custody")</f>
        <v>0</v>
      </c>
      <c r="J76" s="94">
        <f>SUMIFS('caseload data'!L:L,'caseload data'!$D:$D,"SPO",'caseload data'!$C:$C,'custody caseload'!$B$71,'caseload data'!$B:$B,"custody")</f>
        <v>0</v>
      </c>
      <c r="K76" s="94">
        <f>SUMIFS('caseload data'!M:M,'caseload data'!$D:$D,"SPO",'caseload data'!$C:$C,'custody caseload'!$B$71,'caseload data'!$B:$B,"custody")</f>
        <v>0</v>
      </c>
      <c r="L76" s="94">
        <f>SUMIFS('caseload data'!N:N,'caseload data'!$D:$D,"SPO",'caseload data'!$C:$C,'custody caseload'!$B$71,'caseload data'!$B:$B,"custody")</f>
        <v>0</v>
      </c>
      <c r="M76" s="94">
        <f>SUMIFS('caseload data'!O:O,'caseload data'!$D:$D,"SPO",'caseload data'!$C:$C,'custody caseload'!$B$71,'caseload data'!$B:$B,"custody")</f>
        <v>0</v>
      </c>
      <c r="N76" s="94">
        <f>SUMIFS('caseload data'!P:P,'caseload data'!$D:$D,"SPO",'caseload data'!$C:$C,'custody caseload'!$B$71,'caseload data'!$B:$B,"custody")</f>
        <v>0</v>
      </c>
      <c r="O76" s="94">
        <f>SUMIFS('caseload data'!Q:Q,'caseload data'!$D:$D,"SPO",'caseload data'!$C:$C,'custody caseload'!$B$71,'caseload data'!$B:$B,"custody")</f>
        <v>0</v>
      </c>
      <c r="P76" s="94">
        <f>SUMIFS('caseload data'!R:R,'caseload data'!$D:$D,"SPO",'caseload data'!$C:$C,'custody caseload'!$B$71,'caseload data'!$B:$B,"custody")</f>
        <v>0</v>
      </c>
      <c r="Q76" s="94">
        <f>SUMIFS('caseload data'!S:S,'caseload data'!$D:$D,"SPO",'caseload data'!$C:$C,'custody caseload'!$B$71,'caseload data'!$B:$B,"custody")</f>
        <v>0</v>
      </c>
      <c r="R76" s="94">
        <f>SUMIFS('caseload data'!T:T,'caseload data'!$D:$D,"SPO",'caseload data'!$C:$C,'custody caseload'!$B$71,'caseload data'!$B:$B,"custody")</f>
        <v>0</v>
      </c>
      <c r="T76" s="98" t="s">
        <v>1009</v>
      </c>
      <c r="U76" s="94">
        <f>SUMIFS('caseload data'!E:E,'caseload data'!$D:$D,"SPO",'caseload data'!$C:$C,'custody caseload'!$T$71,'caseload data'!$B:$B,"custody")</f>
        <v>0</v>
      </c>
      <c r="V76" s="94">
        <f>SUMIFS('caseload data'!F:F,'caseload data'!$D:$D,"SPO",'caseload data'!$C:$C,'custody caseload'!$T$71,'caseload data'!$B:$B,"custody")</f>
        <v>0</v>
      </c>
      <c r="W76" s="94">
        <f>SUMIFS('caseload data'!G:G,'caseload data'!$D:$D,"SPO",'caseload data'!$C:$C,'custody caseload'!$T$71,'caseload data'!$B:$B,"custody")</f>
        <v>0</v>
      </c>
      <c r="X76" s="94">
        <f>SUMIFS('caseload data'!H:H,'caseload data'!$D:$D,"SPO",'caseload data'!$C:$C,'custody caseload'!$T$71,'caseload data'!$B:$B,"custody")</f>
        <v>0</v>
      </c>
      <c r="Y76" s="94">
        <f>SUMIFS('caseload data'!I:I,'caseload data'!$D:$D,"SPO",'caseload data'!$C:$C,'custody caseload'!$T$71,'caseload data'!$B:$B,"custody")</f>
        <v>0</v>
      </c>
      <c r="Z76" s="94">
        <f>SUMIFS('caseload data'!J:J,'caseload data'!$D:$D,"SPO",'caseload data'!$C:$C,'custody caseload'!$T$71,'caseload data'!$B:$B,"custody")</f>
        <v>0</v>
      </c>
      <c r="AA76" s="94">
        <f>SUMIFS('caseload data'!K:K,'caseload data'!$D:$D,"SPO",'caseload data'!$C:$C,'custody caseload'!$T$71,'caseload data'!$B:$B,"custody")</f>
        <v>0</v>
      </c>
      <c r="AB76" s="94">
        <f>SUMIFS('caseload data'!L:L,'caseload data'!$D:$D,"SPO",'caseload data'!$C:$C,'custody caseload'!$T$71,'caseload data'!$B:$B,"custody")</f>
        <v>0</v>
      </c>
      <c r="AC76" s="94">
        <f>SUMIFS('caseload data'!M:M,'caseload data'!$D:$D,"SPO",'caseload data'!$C:$C,'custody caseload'!$T$71,'caseload data'!$B:$B,"custody")</f>
        <v>0</v>
      </c>
      <c r="AD76" s="94">
        <f>SUMIFS('caseload data'!N:N,'caseload data'!$D:$D,"SPO",'caseload data'!$C:$C,'custody caseload'!$T$71,'caseload data'!$B:$B,"custody")</f>
        <v>0</v>
      </c>
      <c r="AE76" s="94">
        <f>SUMIFS('caseload data'!O:O,'caseload data'!$D:$D,"SPO",'caseload data'!$C:$C,'custody caseload'!$T$71,'caseload data'!$B:$B,"custody")</f>
        <v>0</v>
      </c>
      <c r="AF76" s="94">
        <f>SUMIFS('caseload data'!P:P,'caseload data'!$D:$D,"SPO",'caseload data'!$C:$C,'custody caseload'!$T$71,'caseload data'!$B:$B,"custody")</f>
        <v>0</v>
      </c>
      <c r="AG76" s="94">
        <f>SUMIFS('caseload data'!Q:Q,'caseload data'!$D:$D,"SPO",'caseload data'!$C:$C,'custody caseload'!$T$71,'caseload data'!$B:$B,"custody")</f>
        <v>0</v>
      </c>
      <c r="AH76" s="94">
        <f>SUMIFS('caseload data'!R:R,'caseload data'!$D:$D,"SPO",'caseload data'!$C:$C,'custody caseload'!$T$71,'caseload data'!$B:$B,"custody")</f>
        <v>0</v>
      </c>
      <c r="AI76" s="94">
        <f>SUMIFS('caseload data'!S:S,'caseload data'!$D:$D,"SPO",'caseload data'!$C:$C,'custody caseload'!$T$71,'caseload data'!$B:$B,"custody")</f>
        <v>0</v>
      </c>
      <c r="AJ76" s="94">
        <f>SUMIFS('caseload data'!T:T,'caseload data'!$D:$D,"SPO",'caseload data'!$C:$C,'custody caseload'!$T$71,'caseload data'!$B:$B,"custody")</f>
        <v>0</v>
      </c>
    </row>
    <row r="78" spans="2:36" ht="21.75" customHeight="1" x14ac:dyDescent="0.15">
      <c r="B78" s="142">
        <f>HLOOKUP($B$5,Region_Table,22,0)</f>
        <v>0</v>
      </c>
      <c r="C78" s="523" t="s">
        <v>1131</v>
      </c>
      <c r="D78" s="524"/>
      <c r="E78" s="524"/>
      <c r="F78" s="524"/>
      <c r="G78" s="524"/>
      <c r="H78" s="524"/>
      <c r="I78" s="524"/>
      <c r="J78" s="524"/>
      <c r="K78" s="524"/>
      <c r="L78" s="524"/>
      <c r="M78" s="533"/>
      <c r="N78" s="533"/>
      <c r="O78" s="534"/>
      <c r="P78" s="510">
        <f>SUMIFS('caseload data'!V:V,'caseload data'!B:B,"custody",'caseload data'!$C:$C,'custody caseload'!B78)</f>
        <v>0</v>
      </c>
      <c r="Q78" s="527"/>
      <c r="R78" s="528"/>
      <c r="T78" s="142">
        <f>HLOOKUP($B$5,Region_Table,23,0)</f>
        <v>0</v>
      </c>
      <c r="U78" s="523" t="s">
        <v>1131</v>
      </c>
      <c r="V78" s="524"/>
      <c r="W78" s="524"/>
      <c r="X78" s="524"/>
      <c r="Y78" s="524"/>
      <c r="Z78" s="524"/>
      <c r="AA78" s="524"/>
      <c r="AB78" s="524"/>
      <c r="AC78" s="524"/>
      <c r="AD78" s="524"/>
      <c r="AE78" s="533"/>
      <c r="AF78" s="533"/>
      <c r="AG78" s="534"/>
      <c r="AH78" s="510">
        <f>SUMIFS('caseload data'!V:V,'caseload data'!B:B,"custody",'caseload data'!$C:$C,'custody caseload'!T78)</f>
        <v>0</v>
      </c>
      <c r="AI78" s="527"/>
      <c r="AJ78" s="528"/>
    </row>
    <row r="79" spans="2:36" x14ac:dyDescent="0.15">
      <c r="B79" s="95" t="s">
        <v>1006</v>
      </c>
      <c r="C79" s="38" t="s">
        <v>869</v>
      </c>
      <c r="D79" s="38" t="s">
        <v>870</v>
      </c>
      <c r="E79" s="38" t="s">
        <v>871</v>
      </c>
      <c r="F79" s="38" t="s">
        <v>872</v>
      </c>
      <c r="G79" s="38" t="s">
        <v>873</v>
      </c>
      <c r="H79" s="38" t="s">
        <v>874</v>
      </c>
      <c r="I79" s="38" t="s">
        <v>875</v>
      </c>
      <c r="J79" s="38" t="s">
        <v>876</v>
      </c>
      <c r="K79" s="38" t="s">
        <v>877</v>
      </c>
      <c r="L79" s="38" t="s">
        <v>878</v>
      </c>
      <c r="M79" s="38" t="s">
        <v>879</v>
      </c>
      <c r="N79" s="38" t="s">
        <v>880</v>
      </c>
      <c r="O79" s="38" t="s">
        <v>881</v>
      </c>
      <c r="P79" s="38" t="s">
        <v>882</v>
      </c>
      <c r="Q79" s="38" t="s">
        <v>883</v>
      </c>
      <c r="R79" s="38" t="s">
        <v>884</v>
      </c>
      <c r="T79" s="95" t="s">
        <v>1006</v>
      </c>
      <c r="U79" s="38" t="s">
        <v>869</v>
      </c>
      <c r="V79" s="38" t="s">
        <v>870</v>
      </c>
      <c r="W79" s="38" t="s">
        <v>871</v>
      </c>
      <c r="X79" s="38" t="s">
        <v>872</v>
      </c>
      <c r="Y79" s="38" t="s">
        <v>873</v>
      </c>
      <c r="Z79" s="38" t="s">
        <v>874</v>
      </c>
      <c r="AA79" s="38" t="s">
        <v>875</v>
      </c>
      <c r="AB79" s="38" t="s">
        <v>876</v>
      </c>
      <c r="AC79" s="38" t="s">
        <v>877</v>
      </c>
      <c r="AD79" s="38" t="s">
        <v>878</v>
      </c>
      <c r="AE79" s="38" t="s">
        <v>879</v>
      </c>
      <c r="AF79" s="38" t="s">
        <v>880</v>
      </c>
      <c r="AG79" s="38" t="s">
        <v>881</v>
      </c>
      <c r="AH79" s="38" t="s">
        <v>882</v>
      </c>
      <c r="AI79" s="38" t="s">
        <v>883</v>
      </c>
      <c r="AJ79" s="38" t="s">
        <v>884</v>
      </c>
    </row>
    <row r="80" spans="2:36" x14ac:dyDescent="0.15">
      <c r="B80" s="96" t="s">
        <v>1002</v>
      </c>
      <c r="C80" s="94">
        <f>SUMIFS('caseload data'!E:E,'caseload data'!$D:$D,"PO",'caseload data'!$C:$C,'custody caseload'!$B$78,'caseload data'!$B:$B,"custody")</f>
        <v>0</v>
      </c>
      <c r="D80" s="94">
        <f>SUMIFS('caseload data'!F:F,'caseload data'!$D:$D,"PO",'caseload data'!$C:$C,'custody caseload'!$B$78,'caseload data'!$B:$B,"custody")</f>
        <v>0</v>
      </c>
      <c r="E80" s="94">
        <f>SUMIFS('caseload data'!G:G,'caseload data'!$D:$D,"PO",'caseload data'!$C:$C,'custody caseload'!$B$78,'caseload data'!$B:$B,"custody")</f>
        <v>0</v>
      </c>
      <c r="F80" s="94">
        <f>SUMIFS('caseload data'!H:H,'caseload data'!$D:$D,"PO",'caseload data'!$C:$C,'custody caseload'!$B$78,'caseload data'!$B:$B,"custody")</f>
        <v>0</v>
      </c>
      <c r="G80" s="94">
        <f>SUMIFS('caseload data'!I:I,'caseload data'!$D:$D,"PO",'caseload data'!$C:$C,'custody caseload'!$B$78,'caseload data'!$B:$B,"custody")</f>
        <v>0</v>
      </c>
      <c r="H80" s="94">
        <f>SUMIFS('caseload data'!J:J,'caseload data'!$D:$D,"PO",'caseload data'!$C:$C,'custody caseload'!$B$78,'caseload data'!$B:$B,"custody")</f>
        <v>0</v>
      </c>
      <c r="I80" s="94">
        <f>SUMIFS('caseload data'!K:K,'caseload data'!$D:$D,"PO",'caseload data'!$C:$C,'custody caseload'!$B$78,'caseload data'!$B:$B,"custody")</f>
        <v>0</v>
      </c>
      <c r="J80" s="94">
        <f>SUMIFS('caseload data'!L:L,'caseload data'!$D:$D,"PO",'caseload data'!$C:$C,'custody caseload'!$B$78,'caseload data'!$B:$B,"custody")</f>
        <v>0</v>
      </c>
      <c r="K80" s="94">
        <f>SUMIFS('caseload data'!M:M,'caseload data'!$D:$D,"PO",'caseload data'!$C:$C,'custody caseload'!$B$78,'caseload data'!$B:$B,"custody")</f>
        <v>0</v>
      </c>
      <c r="L80" s="94">
        <f>SUMIFS('caseload data'!N:N,'caseload data'!$D:$D,"PO",'caseload data'!$C:$C,'custody caseload'!$B$78,'caseload data'!$B:$B,"custody")</f>
        <v>0</v>
      </c>
      <c r="M80" s="94">
        <f>SUMIFS('caseload data'!O:O,'caseload data'!$D:$D,"PO",'caseload data'!$C:$C,'custody caseload'!$B$78,'caseload data'!$B:$B,"custody")</f>
        <v>0</v>
      </c>
      <c r="N80" s="94">
        <f>SUMIFS('caseload data'!P:P,'caseload data'!$D:$D,"PO",'caseload data'!$C:$C,'custody caseload'!$B$78,'caseload data'!$B:$B,"custody")</f>
        <v>0</v>
      </c>
      <c r="O80" s="94">
        <f>SUMIFS('caseload data'!Q:Q,'caseload data'!$D:$D,"PO",'caseload data'!$C:$C,'custody caseload'!$B$78,'caseload data'!$B:$B,"custody")</f>
        <v>0</v>
      </c>
      <c r="P80" s="94">
        <f>SUMIFS('caseload data'!R:R,'caseload data'!$D:$D,"PO",'caseload data'!$C:$C,'custody caseload'!$B$78,'caseload data'!$B:$B,"custody")</f>
        <v>0</v>
      </c>
      <c r="Q80" s="94">
        <f>SUMIFS('caseload data'!S:S,'caseload data'!$D:$D,"PO",'caseload data'!$C:$C,'custody caseload'!$B$78,'caseload data'!$B:$B,"custody")</f>
        <v>0</v>
      </c>
      <c r="R80" s="94">
        <f>SUMIFS('caseload data'!T:T,'caseload data'!$D:$D,"PO",'caseload data'!$C:$C,'custody caseload'!$B$78,'caseload data'!$B:$B,"custody")</f>
        <v>0</v>
      </c>
      <c r="T80" s="96" t="s">
        <v>1002</v>
      </c>
      <c r="U80" s="94">
        <f>SUMIFS('caseload data'!E:E,'caseload data'!$D:$D,"PO",'caseload data'!$C:$C,'custody caseload'!$T$78,'caseload data'!$B:$B,"custody")</f>
        <v>0</v>
      </c>
      <c r="V80" s="94">
        <f>SUMIFS('caseload data'!F:F,'caseload data'!$D:$D,"PO",'caseload data'!$C:$C,'custody caseload'!$T$78,'caseload data'!$B:$B,"custody")</f>
        <v>0</v>
      </c>
      <c r="W80" s="94">
        <f>SUMIFS('caseload data'!G:G,'caseload data'!$D:$D,"PO",'caseload data'!$C:$C,'custody caseload'!$T$78,'caseload data'!$B:$B,"custody")</f>
        <v>0</v>
      </c>
      <c r="X80" s="94">
        <f>SUMIFS('caseload data'!H:H,'caseload data'!$D:$D,"PO",'caseload data'!$C:$C,'custody caseload'!$T$78,'caseload data'!$B:$B,"custody")</f>
        <v>0</v>
      </c>
      <c r="Y80" s="94">
        <f>SUMIFS('caseload data'!I:I,'caseload data'!$D:$D,"PO",'caseload data'!$C:$C,'custody caseload'!$T$78,'caseload data'!$B:$B,"custody")</f>
        <v>0</v>
      </c>
      <c r="Z80" s="94">
        <f>SUMIFS('caseload data'!J:J,'caseload data'!$D:$D,"PO",'caseload data'!$C:$C,'custody caseload'!$T$78,'caseload data'!$B:$B,"custody")</f>
        <v>0</v>
      </c>
      <c r="AA80" s="94">
        <f>SUMIFS('caseload data'!K:K,'caseload data'!$D:$D,"PO",'caseload data'!$C:$C,'custody caseload'!$T$78,'caseload data'!$B:$B,"custody")</f>
        <v>0</v>
      </c>
      <c r="AB80" s="94">
        <f>SUMIFS('caseload data'!L:L,'caseload data'!$D:$D,"PO",'caseload data'!$C:$C,'custody caseload'!$T$78,'caseload data'!$B:$B,"custody")</f>
        <v>0</v>
      </c>
      <c r="AC80" s="94">
        <f>SUMIFS('caseload data'!M:M,'caseload data'!$D:$D,"PO",'caseload data'!$C:$C,'custody caseload'!$T$78,'caseload data'!$B:$B,"custody")</f>
        <v>0</v>
      </c>
      <c r="AD80" s="94">
        <f>SUMIFS('caseload data'!N:N,'caseload data'!$D:$D,"PO",'caseload data'!$C:$C,'custody caseload'!$T$78,'caseload data'!$B:$B,"custody")</f>
        <v>0</v>
      </c>
      <c r="AE80" s="94">
        <f>SUMIFS('caseload data'!O:O,'caseload data'!$D:$D,"PO",'caseload data'!$C:$C,'custody caseload'!$T$78,'caseload data'!$B:$B,"custody")</f>
        <v>0</v>
      </c>
      <c r="AF80" s="94">
        <f>SUMIFS('caseload data'!P:P,'caseload data'!$D:$D,"PO",'caseload data'!$C:$C,'custody caseload'!$T$78,'caseload data'!$B:$B,"custody")</f>
        <v>0</v>
      </c>
      <c r="AG80" s="94">
        <f>SUMIFS('caseload data'!Q:Q,'caseload data'!$D:$D,"PO",'caseload data'!$C:$C,'custody caseload'!$T$78,'caseload data'!$B:$B,"custody")</f>
        <v>0</v>
      </c>
      <c r="AH80" s="94">
        <f>SUMIFS('caseload data'!R:R,'caseload data'!$D:$D,"PO",'caseload data'!$C:$C,'custody caseload'!$T$78,'caseload data'!$B:$B,"custody")</f>
        <v>0</v>
      </c>
      <c r="AI80" s="94">
        <f>SUMIFS('caseload data'!S:S,'caseload data'!$D:$D,"PO",'caseload data'!$C:$C,'custody caseload'!$T$78,'caseload data'!$B:$B,"custody")</f>
        <v>0</v>
      </c>
      <c r="AJ80" s="94">
        <f>SUMIFS('caseload data'!T:T,'caseload data'!$D:$D,"PO",'caseload data'!$C:$C,'custody caseload'!$T$78,'caseload data'!$B:$B,"custody")</f>
        <v>0</v>
      </c>
    </row>
    <row r="81" spans="2:36" ht="15" x14ac:dyDescent="0.2">
      <c r="B81" s="97" t="s">
        <v>1007</v>
      </c>
      <c r="C81" s="145">
        <f>SUMIFS('caseload data'!E:E,'caseload data'!$D:$D,"PSO",'caseload data'!$C:$C,'custody caseload'!$B$78,'caseload data'!$B:$B,"custody")</f>
        <v>0</v>
      </c>
      <c r="D81" s="145">
        <f>SUMIFS('caseload data'!F:F,'caseload data'!$D:$D,"PSO",'caseload data'!$C:$C,'custody caseload'!$B$78,'caseload data'!$B:$B,"custody")</f>
        <v>0</v>
      </c>
      <c r="E81" s="145">
        <f>SUMIFS('caseload data'!G:G,'caseload data'!$D:$D,"PSO",'caseload data'!$C:$C,'custody caseload'!$B$78,'caseload data'!$B:$B,"custody")</f>
        <v>0</v>
      </c>
      <c r="F81" s="145">
        <f>SUMIFS('caseload data'!H:H,'caseload data'!$D:$D,"PSO",'caseload data'!$C:$C,'custody caseload'!$B$78,'caseload data'!$B:$B,"custody")</f>
        <v>0</v>
      </c>
      <c r="G81" s="145">
        <f>SUMIFS('caseload data'!I:I,'caseload data'!$D:$D,"PSO",'caseload data'!$C:$C,'custody caseload'!$B$78,'caseload data'!$B:$B,"custody")</f>
        <v>0</v>
      </c>
      <c r="H81" s="145">
        <f>SUMIFS('caseload data'!J:J,'caseload data'!$D:$D,"PSO",'caseload data'!$C:$C,'custody caseload'!$B$78,'caseload data'!$B:$B,"custody")</f>
        <v>0</v>
      </c>
      <c r="I81" s="145">
        <f>SUMIFS('caseload data'!K:K,'caseload data'!$D:$D,"PSO",'caseload data'!$C:$C,'custody caseload'!$B$78,'caseload data'!$B:$B,"custody")</f>
        <v>0</v>
      </c>
      <c r="J81" s="145">
        <f>SUMIFS('caseload data'!L:L,'caseload data'!$D:$D,"PSO",'caseload data'!$C:$C,'custody caseload'!$B$78,'caseload data'!$B:$B,"custody")</f>
        <v>0</v>
      </c>
      <c r="K81" s="94">
        <f>SUMIFS('caseload data'!M:M,'caseload data'!$D:$D,"PSO",'caseload data'!$C:$C,'custody caseload'!$B$78,'caseload data'!$B:$B,"custody")</f>
        <v>0</v>
      </c>
      <c r="L81" s="94">
        <f>SUMIFS('caseload data'!N:N,'caseload data'!$D:$D,"PSO",'caseload data'!$C:$C,'custody caseload'!$B$78,'caseload data'!$B:$B,"custody")</f>
        <v>0</v>
      </c>
      <c r="M81" s="94">
        <f>SUMIFS('caseload data'!O:O,'caseload data'!$D:$D,"PSO",'caseload data'!$C:$C,'custody caseload'!$B$78,'caseload data'!$B:$B,"custody")</f>
        <v>0</v>
      </c>
      <c r="N81" s="94">
        <f>SUMIFS('caseload data'!P:P,'caseload data'!$D:$D,"PSO",'caseload data'!$C:$C,'custody caseload'!$B$78,'caseload data'!$B:$B,"custody")</f>
        <v>0</v>
      </c>
      <c r="O81" s="94">
        <f>SUMIFS('caseload data'!Q:Q,'caseload data'!$D:$D,"PSO",'caseload data'!$C:$C,'custody caseload'!$B$78,'caseload data'!$B:$B,"custody")</f>
        <v>0</v>
      </c>
      <c r="P81" s="94">
        <f>SUMIFS('caseload data'!R:R,'caseload data'!$D:$D,"PSO",'caseload data'!$C:$C,'custody caseload'!$B$78,'caseload data'!$B:$B,"custody")</f>
        <v>0</v>
      </c>
      <c r="Q81" s="94">
        <f>SUMIFS('caseload data'!S:S,'caseload data'!$D:$D,"PSO",'caseload data'!$C:$C,'custody caseload'!$B$78,'caseload data'!$B:$B,"custody")</f>
        <v>0</v>
      </c>
      <c r="R81" s="94">
        <f>SUMIFS('caseload data'!T:T,'caseload data'!$D:$D,"PSO",'caseload data'!$C:$C,'custody caseload'!$B$78,'caseload data'!$B:$B,"custody")</f>
        <v>0</v>
      </c>
      <c r="T81" s="97" t="s">
        <v>1007</v>
      </c>
      <c r="U81" s="145">
        <f>SUMIFS('caseload data'!E:E,'caseload data'!$D:$D,"PSO",'caseload data'!$C:$C,'custody caseload'!$T$78,'caseload data'!$B:$B,"custody")</f>
        <v>0</v>
      </c>
      <c r="V81" s="145">
        <f>SUMIFS('caseload data'!F:F,'caseload data'!$D:$D,"PSO",'caseload data'!$C:$C,'custody caseload'!$T$78,'caseload data'!$B:$B,"custody")</f>
        <v>0</v>
      </c>
      <c r="W81" s="145">
        <f>SUMIFS('caseload data'!G:G,'caseload data'!$D:$D,"PSO",'caseload data'!$C:$C,'custody caseload'!$T$78,'caseload data'!$B:$B,"custody")</f>
        <v>0</v>
      </c>
      <c r="X81" s="145">
        <f>SUMIFS('caseload data'!H:H,'caseload data'!$D:$D,"PSO",'caseload data'!$C:$C,'custody caseload'!$T$78,'caseload data'!$B:$B,"custody")</f>
        <v>0</v>
      </c>
      <c r="Y81" s="145">
        <f>SUMIFS('caseload data'!I:I,'caseload data'!$D:$D,"PSO",'caseload data'!$C:$C,'custody caseload'!$T$78,'caseload data'!$B:$B,"custody")</f>
        <v>0</v>
      </c>
      <c r="Z81" s="145">
        <f>SUMIFS('caseload data'!J:J,'caseload data'!$D:$D,"PSO",'caseload data'!$C:$C,'custody caseload'!$T$78,'caseload data'!$B:$B,"custody")</f>
        <v>0</v>
      </c>
      <c r="AA81" s="145">
        <f>SUMIFS('caseload data'!K:K,'caseload data'!$D:$D,"PSO",'caseload data'!$C:$C,'custody caseload'!$T$78,'caseload data'!$B:$B,"custody")</f>
        <v>0</v>
      </c>
      <c r="AB81" s="145">
        <f>SUMIFS('caseload data'!L:L,'caseload data'!$D:$D,"PSO",'caseload data'!$C:$C,'custody caseload'!$T$78,'caseload data'!$B:$B,"custody")</f>
        <v>0</v>
      </c>
      <c r="AC81" s="94">
        <f>SUMIFS('caseload data'!M:M,'caseload data'!$D:$D,"PSO",'caseload data'!$C:$C,'custody caseload'!$T$78,'caseload data'!$B:$B,"custody")</f>
        <v>0</v>
      </c>
      <c r="AD81" s="94">
        <f>SUMIFS('caseload data'!N:N,'caseload data'!$D:$D,"PSO",'caseload data'!$C:$C,'custody caseload'!$T$78,'caseload data'!$B:$B,"custody")</f>
        <v>0</v>
      </c>
      <c r="AE81" s="94">
        <f>SUMIFS('caseload data'!O:O,'caseload data'!$D:$D,"PSO",'caseload data'!$C:$C,'custody caseload'!$T$78,'caseload data'!$B:$B,"custody")</f>
        <v>0</v>
      </c>
      <c r="AF81" s="94">
        <f>SUMIFS('caseload data'!P:P,'caseload data'!$D:$D,"PSO",'caseload data'!$C:$C,'custody caseload'!$T$78,'caseload data'!$B:$B,"custody")</f>
        <v>0</v>
      </c>
      <c r="AG81" s="94">
        <f>SUMIFS('caseload data'!Q:Q,'caseload data'!$D:$D,"PSO",'caseload data'!$C:$C,'custody caseload'!$T$78,'caseload data'!$B:$B,"custody")</f>
        <v>0</v>
      </c>
      <c r="AH81" s="94">
        <f>SUMIFS('caseload data'!R:R,'caseload data'!$D:$D,"PSO",'caseload data'!$C:$C,'custody caseload'!$T$78,'caseload data'!$B:$B,"custody")</f>
        <v>0</v>
      </c>
      <c r="AI81" s="94">
        <f>SUMIFS('caseload data'!S:S,'caseload data'!$D:$D,"PSO",'caseload data'!$C:$C,'custody caseload'!$T$78,'caseload data'!$B:$B,"custody")</f>
        <v>0</v>
      </c>
      <c r="AJ81" s="94">
        <f>SUMIFS('caseload data'!T:T,'caseload data'!$D:$D,"PSO",'caseload data'!$C:$C,'custody caseload'!$T$78,'caseload data'!$B:$B,"custody")</f>
        <v>0</v>
      </c>
    </row>
    <row r="82" spans="2:36" ht="15" x14ac:dyDescent="0.2">
      <c r="B82" s="97" t="s">
        <v>1008</v>
      </c>
      <c r="C82" s="145">
        <f>SUMIFS('caseload data'!E:E,'caseload data'!$D:$D,"TPO",'caseload data'!$C:$C,'custody caseload'!$B$78,'caseload data'!$B:$B,"custody")</f>
        <v>0</v>
      </c>
      <c r="D82" s="145">
        <f>SUMIFS('caseload data'!F:F,'caseload data'!$D:$D,"TPO",'caseload data'!$C:$C,'custody caseload'!$B$78,'caseload data'!$B:$B,"custody")</f>
        <v>0</v>
      </c>
      <c r="E82" s="145">
        <f>SUMIFS('caseload data'!G:G,'caseload data'!$D:$D,"TPO",'caseload data'!$C:$C,'custody caseload'!$B$78,'caseload data'!$B:$B,"custody")</f>
        <v>0</v>
      </c>
      <c r="F82" s="145">
        <f>SUMIFS('caseload data'!H:H,'caseload data'!$D:$D,"TPO",'caseload data'!$C:$C,'custody caseload'!$B$78,'caseload data'!$B:$B,"custody")</f>
        <v>0</v>
      </c>
      <c r="G82" s="145">
        <f>SUMIFS('caseload data'!I:I,'caseload data'!$D:$D,"TPO",'caseload data'!$C:$C,'custody caseload'!$B$78,'caseload data'!$B:$B,"custody")</f>
        <v>0</v>
      </c>
      <c r="H82" s="145">
        <f>SUMIFS('caseload data'!J:J,'caseload data'!$D:$D,"TPO",'caseload data'!$C:$C,'custody caseload'!$B$78,'caseload data'!$B:$B,"custody")</f>
        <v>0</v>
      </c>
      <c r="I82" s="145">
        <f>SUMIFS('caseload data'!K:K,'caseload data'!$D:$D,"TPO",'caseload data'!$C:$C,'custody caseload'!$B$78,'caseload data'!$B:$B,"custody")</f>
        <v>0</v>
      </c>
      <c r="J82" s="145">
        <f>SUMIFS('caseload data'!L:L,'caseload data'!$D:$D,"TPO",'caseload data'!$C:$C,'custody caseload'!$B$78,'caseload data'!$B:$B,"custody")</f>
        <v>0</v>
      </c>
      <c r="K82" s="94">
        <f>SUMIFS('caseload data'!M:M,'caseload data'!$D:$D,"TPO",'caseload data'!$C:$C,'custody caseload'!$B$78,'caseload data'!$B:$B,"custody")</f>
        <v>0</v>
      </c>
      <c r="L82" s="94">
        <f>SUMIFS('caseload data'!N:N,'caseload data'!$D:$D,"TPO",'caseload data'!$C:$C,'custody caseload'!$B$78,'caseload data'!$B:$B,"custody")</f>
        <v>0</v>
      </c>
      <c r="M82" s="94">
        <f>SUMIFS('caseload data'!O:O,'caseload data'!$D:$D,"TPO",'caseload data'!$C:$C,'custody caseload'!$B$78,'caseload data'!$B:$B,"custody")</f>
        <v>0</v>
      </c>
      <c r="N82" s="94">
        <f>SUMIFS('caseload data'!P:P,'caseload data'!$D:$D,"TPO",'caseload data'!$C:$C,'custody caseload'!$B$78,'caseload data'!$B:$B,"custody")</f>
        <v>0</v>
      </c>
      <c r="O82" s="94">
        <f>SUMIFS('caseload data'!Q:Q,'caseload data'!$D:$D,"TPO",'caseload data'!$C:$C,'custody caseload'!$B$78,'caseload data'!$B:$B,"custody")</f>
        <v>0</v>
      </c>
      <c r="P82" s="94">
        <f>SUMIFS('caseload data'!R:R,'caseload data'!$D:$D,"TPO",'caseload data'!$C:$C,'custody caseload'!$B$78,'caseload data'!$B:$B,"custody")</f>
        <v>0</v>
      </c>
      <c r="Q82" s="94">
        <f>SUMIFS('caseload data'!S:S,'caseload data'!$D:$D,"TPO",'caseload data'!$C:$C,'custody caseload'!$B$78,'caseload data'!$B:$B,"custody")</f>
        <v>0</v>
      </c>
      <c r="R82" s="94">
        <f>SUMIFS('caseload data'!T:T,'caseload data'!$D:$D,"TPO",'caseload data'!$C:$C,'custody caseload'!$B$78,'caseload data'!$B:$B,"custody")</f>
        <v>0</v>
      </c>
      <c r="T82" s="97" t="s">
        <v>1008</v>
      </c>
      <c r="U82" s="145">
        <f>SUMIFS('caseload data'!E:E,'caseload data'!$D:$D,"TPO",'caseload data'!$C:$C,'custody caseload'!$T$78,'caseload data'!$B:$B,"custody")</f>
        <v>0</v>
      </c>
      <c r="V82" s="145">
        <f>SUMIFS('caseload data'!F:F,'caseload data'!$D:$D,"TPO",'caseload data'!$C:$C,'custody caseload'!$T$78,'caseload data'!$B:$B,"custody")</f>
        <v>0</v>
      </c>
      <c r="W82" s="145">
        <f>SUMIFS('caseload data'!G:G,'caseload data'!$D:$D,"TPO",'caseload data'!$C:$C,'custody caseload'!$T$78,'caseload data'!$B:$B,"custody")</f>
        <v>0</v>
      </c>
      <c r="X82" s="145">
        <f>SUMIFS('caseload data'!H:H,'caseload data'!$D:$D,"TPO",'caseload data'!$C:$C,'custody caseload'!$T$78,'caseload data'!$B:$B,"custody")</f>
        <v>0</v>
      </c>
      <c r="Y82" s="145">
        <f>SUMIFS('caseload data'!I:I,'caseload data'!$D:$D,"TPO",'caseload data'!$C:$C,'custody caseload'!$T$78,'caseload data'!$B:$B,"custody")</f>
        <v>0</v>
      </c>
      <c r="Z82" s="145">
        <f>SUMIFS('caseload data'!J:J,'caseload data'!$D:$D,"TPO",'caseload data'!$C:$C,'custody caseload'!$T$78,'caseload data'!$B:$B,"custody")</f>
        <v>0</v>
      </c>
      <c r="AA82" s="145">
        <f>SUMIFS('caseload data'!K:K,'caseload data'!$D:$D,"TPO",'caseload data'!$C:$C,'custody caseload'!$T$78,'caseload data'!$B:$B,"custody")</f>
        <v>0</v>
      </c>
      <c r="AB82" s="145">
        <f>SUMIFS('caseload data'!L:L,'caseload data'!$D:$D,"TPO",'caseload data'!$C:$C,'custody caseload'!$T$78,'caseload data'!$B:$B,"custody")</f>
        <v>0</v>
      </c>
      <c r="AC82" s="94">
        <f>SUMIFS('caseload data'!M:M,'caseload data'!$D:$D,"TPO",'caseload data'!$C:$C,'custody caseload'!$T$78,'caseload data'!$B:$B,"custody")</f>
        <v>0</v>
      </c>
      <c r="AD82" s="94">
        <f>SUMIFS('caseload data'!N:N,'caseload data'!$D:$D,"TPO",'caseload data'!$C:$C,'custody caseload'!$T$78,'caseload data'!$B:$B,"custody")</f>
        <v>0</v>
      </c>
      <c r="AE82" s="94">
        <f>SUMIFS('caseload data'!O:O,'caseload data'!$D:$D,"TPO",'caseload data'!$C:$C,'custody caseload'!$T$78,'caseload data'!$B:$B,"custody")</f>
        <v>0</v>
      </c>
      <c r="AF82" s="94">
        <f>SUMIFS('caseload data'!P:P,'caseload data'!$D:$D,"TPO",'caseload data'!$C:$C,'custody caseload'!$T$78,'caseload data'!$B:$B,"custody")</f>
        <v>0</v>
      </c>
      <c r="AG82" s="94">
        <f>SUMIFS('caseload data'!Q:Q,'caseload data'!$D:$D,"TPO",'caseload data'!$C:$C,'custody caseload'!$T$78,'caseload data'!$B:$B,"custody")</f>
        <v>0</v>
      </c>
      <c r="AH82" s="94">
        <f>SUMIFS('caseload data'!R:R,'caseload data'!$D:$D,"TPO",'caseload data'!$C:$C,'custody caseload'!$T$78,'caseload data'!$B:$B,"custody")</f>
        <v>0</v>
      </c>
      <c r="AI82" s="94">
        <f>SUMIFS('caseload data'!S:S,'caseload data'!$D:$D,"TPO",'caseload data'!$C:$C,'custody caseload'!$T$78,'caseload data'!$B:$B,"custody")</f>
        <v>0</v>
      </c>
      <c r="AJ82" s="94">
        <f>SUMIFS('caseload data'!T:T,'caseload data'!$D:$D,"TPO",'caseload data'!$C:$C,'custody caseload'!$T$78,'caseload data'!$B:$B,"custody")</f>
        <v>0</v>
      </c>
    </row>
    <row r="83" spans="2:36" x14ac:dyDescent="0.15">
      <c r="B83" s="98" t="s">
        <v>1009</v>
      </c>
      <c r="C83" s="94">
        <f>SUMIFS('caseload data'!E:E,'caseload data'!$D:$D,"SPO",'caseload data'!$C:$C,'custody caseload'!$B$78,'caseload data'!$B:$B,"custody")</f>
        <v>0</v>
      </c>
      <c r="D83" s="94">
        <f>SUMIFS('caseload data'!F:F,'caseload data'!$D:$D,"SPO",'caseload data'!$C:$C,'custody caseload'!$B$78,'caseload data'!$B:$B,"custody")</f>
        <v>0</v>
      </c>
      <c r="E83" s="94">
        <f>SUMIFS('caseload data'!G:G,'caseload data'!$D:$D,"SPO",'caseload data'!$C:$C,'custody caseload'!$B$78,'caseload data'!$B:$B,"custody")</f>
        <v>0</v>
      </c>
      <c r="F83" s="94">
        <f>SUMIFS('caseload data'!H:H,'caseload data'!$D:$D,"SPO",'caseload data'!$C:$C,'custody caseload'!$B$78,'caseload data'!$B:$B,"custody")</f>
        <v>0</v>
      </c>
      <c r="G83" s="94">
        <f>SUMIFS('caseload data'!I:I,'caseload data'!$D:$D,"SPO",'caseload data'!$C:$C,'custody caseload'!$B$78,'caseload data'!$B:$B,"custody")</f>
        <v>0</v>
      </c>
      <c r="H83" s="94">
        <f>SUMIFS('caseload data'!J:J,'caseload data'!$D:$D,"SPO",'caseload data'!$C:$C,'custody caseload'!$B$78,'caseload data'!$B:$B,"custody")</f>
        <v>0</v>
      </c>
      <c r="I83" s="94">
        <f>SUMIFS('caseload data'!K:K,'caseload data'!$D:$D,"SPO",'caseload data'!$C:$C,'custody caseload'!$B$78,'caseload data'!$B:$B,"custody")</f>
        <v>0</v>
      </c>
      <c r="J83" s="94">
        <f>SUMIFS('caseload data'!L:L,'caseload data'!$D:$D,"SPO",'caseload data'!$C:$C,'custody caseload'!$B$78,'caseload data'!$B:$B,"custody")</f>
        <v>0</v>
      </c>
      <c r="K83" s="94">
        <f>SUMIFS('caseload data'!M:M,'caseload data'!$D:$D,"SPO",'caseload data'!$C:$C,'custody caseload'!$B$78,'caseload data'!$B:$B,"custody")</f>
        <v>0</v>
      </c>
      <c r="L83" s="94">
        <f>SUMIFS('caseload data'!N:N,'caseload data'!$D:$D,"SPO",'caseload data'!$C:$C,'custody caseload'!$B$78,'caseload data'!$B:$B,"custody")</f>
        <v>0</v>
      </c>
      <c r="M83" s="94">
        <f>SUMIFS('caseload data'!O:O,'caseload data'!$D:$D,"SPO",'caseload data'!$C:$C,'custody caseload'!$B$78,'caseload data'!$B:$B,"custody")</f>
        <v>0</v>
      </c>
      <c r="N83" s="94">
        <f>SUMIFS('caseload data'!P:P,'caseload data'!$D:$D,"SPO",'caseload data'!$C:$C,'custody caseload'!$B$78,'caseload data'!$B:$B,"custody")</f>
        <v>0</v>
      </c>
      <c r="O83" s="94">
        <f>SUMIFS('caseload data'!Q:Q,'caseload data'!$D:$D,"SPO",'caseload data'!$C:$C,'custody caseload'!$B$78,'caseload data'!$B:$B,"custody")</f>
        <v>0</v>
      </c>
      <c r="P83" s="94">
        <f>SUMIFS('caseload data'!R:R,'caseload data'!$D:$D,"SPO",'caseload data'!$C:$C,'custody caseload'!$B$78,'caseload data'!$B:$B,"custody")</f>
        <v>0</v>
      </c>
      <c r="Q83" s="94">
        <f>SUMIFS('caseload data'!S:S,'caseload data'!$D:$D,"SPO",'caseload data'!$C:$C,'custody caseload'!$B$78,'caseload data'!$B:$B,"custody")</f>
        <v>0</v>
      </c>
      <c r="R83" s="94">
        <f>SUMIFS('caseload data'!T:T,'caseload data'!$D:$D,"SPO",'caseload data'!$C:$C,'custody caseload'!$B$78,'caseload data'!$B:$B,"custody")</f>
        <v>0</v>
      </c>
      <c r="T83" s="98" t="s">
        <v>1009</v>
      </c>
      <c r="U83" s="94">
        <f>SUMIFS('caseload data'!E:E,'caseload data'!$D:$D,"SPO",'caseload data'!$C:$C,'custody caseload'!$T$78,'caseload data'!$B:$B,"custody")</f>
        <v>0</v>
      </c>
      <c r="V83" s="94">
        <f>SUMIFS('caseload data'!F:F,'caseload data'!$D:$D,"SPO",'caseload data'!$C:$C,'custody caseload'!$T$78,'caseload data'!$B:$B,"custody")</f>
        <v>0</v>
      </c>
      <c r="W83" s="94">
        <f>SUMIFS('caseload data'!G:G,'caseload data'!$D:$D,"SPO",'caseload data'!$C:$C,'custody caseload'!$T$78,'caseload data'!$B:$B,"custody")</f>
        <v>0</v>
      </c>
      <c r="X83" s="94">
        <f>SUMIFS('caseload data'!H:H,'caseload data'!$D:$D,"SPO",'caseload data'!$C:$C,'custody caseload'!$T$78,'caseload data'!$B:$B,"custody")</f>
        <v>0</v>
      </c>
      <c r="Y83" s="94">
        <f>SUMIFS('caseload data'!I:I,'caseload data'!$D:$D,"SPO",'caseload data'!$C:$C,'custody caseload'!$T$78,'caseload data'!$B:$B,"custody")</f>
        <v>0</v>
      </c>
      <c r="Z83" s="94">
        <f>SUMIFS('caseload data'!J:J,'caseload data'!$D:$D,"SPO",'caseload data'!$C:$C,'custody caseload'!$T$78,'caseload data'!$B:$B,"custody")</f>
        <v>0</v>
      </c>
      <c r="AA83" s="94">
        <f>SUMIFS('caseload data'!K:K,'caseload data'!$D:$D,"SPO",'caseload data'!$C:$C,'custody caseload'!$T$78,'caseload data'!$B:$B,"custody")</f>
        <v>0</v>
      </c>
      <c r="AB83" s="94">
        <f>SUMIFS('caseload data'!L:L,'caseload data'!$D:$D,"SPO",'caseload data'!$C:$C,'custody caseload'!$T$78,'caseload data'!$B:$B,"custody")</f>
        <v>0</v>
      </c>
      <c r="AC83" s="94">
        <f>SUMIFS('caseload data'!M:M,'caseload data'!$D:$D,"SPO",'caseload data'!$C:$C,'custody caseload'!$T$78,'caseload data'!$B:$B,"custody")</f>
        <v>0</v>
      </c>
      <c r="AD83" s="94">
        <f>SUMIFS('caseload data'!N:N,'caseload data'!$D:$D,"SPO",'caseload data'!$C:$C,'custody caseload'!$T$78,'caseload data'!$B:$B,"custody")</f>
        <v>0</v>
      </c>
      <c r="AE83" s="94">
        <f>SUMIFS('caseload data'!O:O,'caseload data'!$D:$D,"SPO",'caseload data'!$C:$C,'custody caseload'!$T$78,'caseload data'!$B:$B,"custody")</f>
        <v>0</v>
      </c>
      <c r="AF83" s="94">
        <f>SUMIFS('caseload data'!P:P,'caseload data'!$D:$D,"SPO",'caseload data'!$C:$C,'custody caseload'!$T$78,'caseload data'!$B:$B,"custody")</f>
        <v>0</v>
      </c>
      <c r="AG83" s="94">
        <f>SUMIFS('caseload data'!Q:Q,'caseload data'!$D:$D,"SPO",'caseload data'!$C:$C,'custody caseload'!$T$78,'caseload data'!$B:$B,"custody")</f>
        <v>0</v>
      </c>
      <c r="AH83" s="94">
        <f>SUMIFS('caseload data'!R:R,'caseload data'!$D:$D,"SPO",'caseload data'!$C:$C,'custody caseload'!$T$78,'caseload data'!$B:$B,"custody")</f>
        <v>0</v>
      </c>
      <c r="AI83" s="94">
        <f>SUMIFS('caseload data'!S:S,'caseload data'!$D:$D,"SPO",'caseload data'!$C:$C,'custody caseload'!$T$78,'caseload data'!$B:$B,"custody")</f>
        <v>0</v>
      </c>
      <c r="AJ83" s="94">
        <f>SUMIFS('caseload data'!T:T,'caseload data'!$D:$D,"SPO",'caseload data'!$C:$C,'custody caseload'!$T$78,'caseload data'!$B:$B,"custody")</f>
        <v>0</v>
      </c>
    </row>
    <row r="85" spans="2:36" ht="21.75" customHeight="1" x14ac:dyDescent="0.15">
      <c r="B85" s="142">
        <f>HLOOKUP($B$5,Region_Table,24,0)</f>
        <v>0</v>
      </c>
      <c r="C85" s="523" t="s">
        <v>1131</v>
      </c>
      <c r="D85" s="524"/>
      <c r="E85" s="524"/>
      <c r="F85" s="524"/>
      <c r="G85" s="524"/>
      <c r="H85" s="524"/>
      <c r="I85" s="524"/>
      <c r="J85" s="524"/>
      <c r="K85" s="524"/>
      <c r="L85" s="524"/>
      <c r="M85" s="533"/>
      <c r="N85" s="533"/>
      <c r="O85" s="534"/>
      <c r="P85" s="510">
        <f>SUMIFS('caseload data'!V:V,'caseload data'!B:B,"custody",'caseload data'!$C:$C,'custody caseload'!B85)</f>
        <v>0</v>
      </c>
      <c r="Q85" s="527"/>
      <c r="R85" s="528"/>
      <c r="T85" s="142">
        <f>HLOOKUP($B$5,Region_Table,25,0)</f>
        <v>0</v>
      </c>
      <c r="U85" s="523" t="s">
        <v>1131</v>
      </c>
      <c r="V85" s="524"/>
      <c r="W85" s="524"/>
      <c r="X85" s="524"/>
      <c r="Y85" s="524"/>
      <c r="Z85" s="524"/>
      <c r="AA85" s="524"/>
      <c r="AB85" s="524"/>
      <c r="AC85" s="524"/>
      <c r="AD85" s="524"/>
      <c r="AE85" s="533"/>
      <c r="AF85" s="533"/>
      <c r="AG85" s="534"/>
      <c r="AH85" s="510">
        <f>SUMIFS('caseload data'!V:V,'caseload data'!B:B,"custody",'caseload data'!$C:$C,'custody caseload'!T85)</f>
        <v>0</v>
      </c>
      <c r="AI85" s="527"/>
      <c r="AJ85" s="528"/>
    </row>
    <row r="86" spans="2:36" x14ac:dyDescent="0.15">
      <c r="B86" s="95" t="s">
        <v>1006</v>
      </c>
      <c r="C86" s="38" t="s">
        <v>869</v>
      </c>
      <c r="D86" s="38" t="s">
        <v>870</v>
      </c>
      <c r="E86" s="38" t="s">
        <v>871</v>
      </c>
      <c r="F86" s="38" t="s">
        <v>872</v>
      </c>
      <c r="G86" s="38" t="s">
        <v>873</v>
      </c>
      <c r="H86" s="38" t="s">
        <v>874</v>
      </c>
      <c r="I86" s="38" t="s">
        <v>875</v>
      </c>
      <c r="J86" s="38" t="s">
        <v>876</v>
      </c>
      <c r="K86" s="38" t="s">
        <v>877</v>
      </c>
      <c r="L86" s="38" t="s">
        <v>878</v>
      </c>
      <c r="M86" s="38" t="s">
        <v>879</v>
      </c>
      <c r="N86" s="38" t="s">
        <v>880</v>
      </c>
      <c r="O86" s="38" t="s">
        <v>881</v>
      </c>
      <c r="P86" s="38" t="s">
        <v>882</v>
      </c>
      <c r="Q86" s="38" t="s">
        <v>883</v>
      </c>
      <c r="R86" s="38" t="s">
        <v>884</v>
      </c>
      <c r="T86" s="95" t="s">
        <v>1006</v>
      </c>
      <c r="U86" s="38" t="s">
        <v>869</v>
      </c>
      <c r="V86" s="38" t="s">
        <v>870</v>
      </c>
      <c r="W86" s="38" t="s">
        <v>871</v>
      </c>
      <c r="X86" s="38" t="s">
        <v>872</v>
      </c>
      <c r="Y86" s="38" t="s">
        <v>873</v>
      </c>
      <c r="Z86" s="38" t="s">
        <v>874</v>
      </c>
      <c r="AA86" s="38" t="s">
        <v>875</v>
      </c>
      <c r="AB86" s="38" t="s">
        <v>876</v>
      </c>
      <c r="AC86" s="38" t="s">
        <v>877</v>
      </c>
      <c r="AD86" s="38" t="s">
        <v>878</v>
      </c>
      <c r="AE86" s="38" t="s">
        <v>879</v>
      </c>
      <c r="AF86" s="38" t="s">
        <v>880</v>
      </c>
      <c r="AG86" s="38" t="s">
        <v>881</v>
      </c>
      <c r="AH86" s="38" t="s">
        <v>882</v>
      </c>
      <c r="AI86" s="38" t="s">
        <v>883</v>
      </c>
      <c r="AJ86" s="38" t="s">
        <v>884</v>
      </c>
    </row>
    <row r="87" spans="2:36" x14ac:dyDescent="0.15">
      <c r="B87" s="96" t="s">
        <v>1002</v>
      </c>
      <c r="C87" s="94">
        <f>SUMIFS('caseload data'!E:E,'caseload data'!$D:$D,"PO",'caseload data'!$C:$C,'custody caseload'!$B$85,'caseload data'!$B:$B,"custody")</f>
        <v>0</v>
      </c>
      <c r="D87" s="94">
        <f>SUMIFS('caseload data'!F:F,'caseload data'!$D:$D,"PO",'caseload data'!$C:$C,'custody caseload'!$B$85,'caseload data'!$B:$B,"custody")</f>
        <v>0</v>
      </c>
      <c r="E87" s="94">
        <f>SUMIFS('caseload data'!G:G,'caseload data'!$D:$D,"PO",'caseload data'!$C:$C,'custody caseload'!$B$85,'caseload data'!$B:$B,"custody")</f>
        <v>0</v>
      </c>
      <c r="F87" s="94">
        <f>SUMIFS('caseload data'!H:H,'caseload data'!$D:$D,"PO",'caseload data'!$C:$C,'custody caseload'!$B$85,'caseload data'!$B:$B,"custody")</f>
        <v>0</v>
      </c>
      <c r="G87" s="94">
        <f>SUMIFS('caseload data'!I:I,'caseload data'!$D:$D,"PO",'caseload data'!$C:$C,'custody caseload'!$B$85,'caseload data'!$B:$B,"custody")</f>
        <v>0</v>
      </c>
      <c r="H87" s="94">
        <f>SUMIFS('caseload data'!J:J,'caseload data'!$D:$D,"PO",'caseload data'!$C:$C,'custody caseload'!$B$85,'caseload data'!$B:$B,"custody")</f>
        <v>0</v>
      </c>
      <c r="I87" s="94">
        <f>SUMIFS('caseload data'!K:K,'caseload data'!$D:$D,"PO",'caseload data'!$C:$C,'custody caseload'!$B$85,'caseload data'!$B:$B,"custody")</f>
        <v>0</v>
      </c>
      <c r="J87" s="94">
        <f>SUMIFS('caseload data'!L:L,'caseload data'!$D:$D,"PO",'caseload data'!$C:$C,'custody caseload'!$B$85,'caseload data'!$B:$B,"custody")</f>
        <v>0</v>
      </c>
      <c r="K87" s="94">
        <f>SUMIFS('caseload data'!M:M,'caseload data'!$D:$D,"PO",'caseload data'!$C:$C,'custody caseload'!$B$85,'caseload data'!$B:$B,"custody")</f>
        <v>0</v>
      </c>
      <c r="L87" s="94">
        <f>SUMIFS('caseload data'!N:N,'caseload data'!$D:$D,"PO",'caseload data'!$C:$C,'custody caseload'!$B$85,'caseload data'!$B:$B,"custody")</f>
        <v>0</v>
      </c>
      <c r="M87" s="94">
        <f>SUMIFS('caseload data'!O:O,'caseload data'!$D:$D,"PO",'caseload data'!$C:$C,'custody caseload'!$B$85,'caseload data'!$B:$B,"custody")</f>
        <v>0</v>
      </c>
      <c r="N87" s="94">
        <f>SUMIFS('caseload data'!P:P,'caseload data'!$D:$D,"PO",'caseload data'!$C:$C,'custody caseload'!$B$85,'caseload data'!$B:$B,"custody")</f>
        <v>0</v>
      </c>
      <c r="O87" s="94">
        <f>SUMIFS('caseload data'!Q:Q,'caseload data'!$D:$D,"PO",'caseload data'!$C:$C,'custody caseload'!$B$85,'caseload data'!$B:$B,"custody")</f>
        <v>0</v>
      </c>
      <c r="P87" s="94">
        <f>SUMIFS('caseload data'!R:R,'caseload data'!$D:$D,"PO",'caseload data'!$C:$C,'custody caseload'!$B$85,'caseload data'!$B:$B,"custody")</f>
        <v>0</v>
      </c>
      <c r="Q87" s="94">
        <f>SUMIFS('caseload data'!S:S,'caseload data'!$D:$D,"PO",'caseload data'!$C:$C,'custody caseload'!$B$85,'caseload data'!$B:$B,"custody")</f>
        <v>0</v>
      </c>
      <c r="R87" s="94">
        <f>SUMIFS('caseload data'!T:T,'caseload data'!$D:$D,"PO",'caseload data'!$C:$C,'custody caseload'!$B$85,'caseload data'!$B:$B,"custody")</f>
        <v>0</v>
      </c>
      <c r="T87" s="96" t="s">
        <v>1002</v>
      </c>
      <c r="U87" s="94">
        <f>SUMIFS('caseload data'!E:E,'caseload data'!$D:$D,"PO",'caseload data'!$C:$C,'custody caseload'!$T$85,'caseload data'!$B:$B,"custody")</f>
        <v>0</v>
      </c>
      <c r="V87" s="94">
        <f>SUMIFS('caseload data'!F:F,'caseload data'!$D:$D,"PO",'caseload data'!$C:$C,'custody caseload'!$T$85,'caseload data'!$B:$B,"custody")</f>
        <v>0</v>
      </c>
      <c r="W87" s="94">
        <f>SUMIFS('caseload data'!G:G,'caseload data'!$D:$D,"PO",'caseload data'!$C:$C,'custody caseload'!$T$85,'caseload data'!$B:$B,"custody")</f>
        <v>0</v>
      </c>
      <c r="X87" s="94">
        <f>SUMIFS('caseload data'!H:H,'caseload data'!$D:$D,"PO",'caseload data'!$C:$C,'custody caseload'!$T$85,'caseload data'!$B:$B,"custody")</f>
        <v>0</v>
      </c>
      <c r="Y87" s="94">
        <f>SUMIFS('caseload data'!I:I,'caseload data'!$D:$D,"PO",'caseload data'!$C:$C,'custody caseload'!$T$85,'caseload data'!$B:$B,"custody")</f>
        <v>0</v>
      </c>
      <c r="Z87" s="94">
        <f>SUMIFS('caseload data'!J:J,'caseload data'!$D:$D,"PO",'caseload data'!$C:$C,'custody caseload'!$T$85,'caseload data'!$B:$B,"custody")</f>
        <v>0</v>
      </c>
      <c r="AA87" s="94">
        <f>SUMIFS('caseload data'!K:K,'caseload data'!$D:$D,"PO",'caseload data'!$C:$C,'custody caseload'!$T$85,'caseload data'!$B:$B,"custody")</f>
        <v>0</v>
      </c>
      <c r="AB87" s="94">
        <f>SUMIFS('caseload data'!L:L,'caseload data'!$D:$D,"PO",'caseload data'!$C:$C,'custody caseload'!$T$85,'caseload data'!$B:$B,"custody")</f>
        <v>0</v>
      </c>
      <c r="AC87" s="94">
        <f>SUMIFS('caseload data'!M:M,'caseload data'!$D:$D,"PO",'caseload data'!$C:$C,'custody caseload'!$T$85,'caseload data'!$B:$B,"custody")</f>
        <v>0</v>
      </c>
      <c r="AD87" s="94">
        <f>SUMIFS('caseload data'!N:N,'caseload data'!$D:$D,"PO",'caseload data'!$C:$C,'custody caseload'!$T$85,'caseload data'!$B:$B,"custody")</f>
        <v>0</v>
      </c>
      <c r="AE87" s="94">
        <f>SUMIFS('caseload data'!O:O,'caseload data'!$D:$D,"PO",'caseload data'!$C:$C,'custody caseload'!$T$85,'caseload data'!$B:$B,"custody")</f>
        <v>0</v>
      </c>
      <c r="AF87" s="94">
        <f>SUMIFS('caseload data'!P:P,'caseload data'!$D:$D,"PO",'caseload data'!$C:$C,'custody caseload'!$T$85,'caseload data'!$B:$B,"custody")</f>
        <v>0</v>
      </c>
      <c r="AG87" s="94">
        <f>SUMIFS('caseload data'!Q:Q,'caseload data'!$D:$D,"PO",'caseload data'!$C:$C,'custody caseload'!$T$85,'caseload data'!$B:$B,"custody")</f>
        <v>0</v>
      </c>
      <c r="AH87" s="94">
        <f>SUMIFS('caseload data'!R:R,'caseload data'!$D:$D,"PO",'caseload data'!$C:$C,'custody caseload'!$T$85,'caseload data'!$B:$B,"custody")</f>
        <v>0</v>
      </c>
      <c r="AI87" s="94">
        <f>SUMIFS('caseload data'!S:S,'caseload data'!$D:$D,"PO",'caseload data'!$C:$C,'custody caseload'!$T$85,'caseload data'!$B:$B,"custody")</f>
        <v>0</v>
      </c>
      <c r="AJ87" s="94">
        <f>SUMIFS('caseload data'!T:T,'caseload data'!$D:$D,"PO",'caseload data'!$C:$C,'custody caseload'!$T$85,'caseload data'!$B:$B,"custody")</f>
        <v>0</v>
      </c>
    </row>
    <row r="88" spans="2:36" ht="15" x14ac:dyDescent="0.2">
      <c r="B88" s="97" t="s">
        <v>1007</v>
      </c>
      <c r="C88" s="145">
        <f>SUMIFS('caseload data'!E:E,'caseload data'!$D:$D,"PSO",'caseload data'!$C:$C,'custody caseload'!$B$85,'caseload data'!$B:$B,"custody")</f>
        <v>0</v>
      </c>
      <c r="D88" s="145">
        <f>SUMIFS('caseload data'!F:F,'caseload data'!$D:$D,"PSO",'caseload data'!$C:$C,'custody caseload'!$B$85,'caseload data'!$B:$B,"custody")</f>
        <v>0</v>
      </c>
      <c r="E88" s="145">
        <f>SUMIFS('caseload data'!G:G,'caseload data'!$D:$D,"PSO",'caseload data'!$C:$C,'custody caseload'!$B$85,'caseload data'!$B:$B,"custody")</f>
        <v>0</v>
      </c>
      <c r="F88" s="145">
        <f>SUMIFS('caseload data'!H:H,'caseload data'!$D:$D,"PSO",'caseload data'!$C:$C,'custody caseload'!$B$85,'caseload data'!$B:$B,"custody")</f>
        <v>0</v>
      </c>
      <c r="G88" s="145">
        <f>SUMIFS('caseload data'!I:I,'caseload data'!$D:$D,"PSO",'caseload data'!$C:$C,'custody caseload'!$B$85,'caseload data'!$B:$B,"custody")</f>
        <v>0</v>
      </c>
      <c r="H88" s="145">
        <f>SUMIFS('caseload data'!J:J,'caseload data'!$D:$D,"PSO",'caseload data'!$C:$C,'custody caseload'!$B$85,'caseload data'!$B:$B,"custody")</f>
        <v>0</v>
      </c>
      <c r="I88" s="145">
        <f>SUMIFS('caseload data'!K:K,'caseload data'!$D:$D,"PSO",'caseload data'!$C:$C,'custody caseload'!$B$85,'caseload data'!$B:$B,"custody")</f>
        <v>0</v>
      </c>
      <c r="J88" s="145">
        <f>SUMIFS('caseload data'!L:L,'caseload data'!$D:$D,"PSO",'caseload data'!$C:$C,'custody caseload'!$B$85,'caseload data'!$B:$B,"custody")</f>
        <v>0</v>
      </c>
      <c r="K88" s="94">
        <f>SUMIFS('caseload data'!M:M,'caseload data'!$D:$D,"PSO",'caseload data'!$C:$C,'custody caseload'!$B$85,'caseload data'!$B:$B,"custody")</f>
        <v>0</v>
      </c>
      <c r="L88" s="94">
        <f>SUMIFS('caseload data'!N:N,'caseload data'!$D:$D,"PSO",'caseload data'!$C:$C,'custody caseload'!$B$85,'caseload data'!$B:$B,"custody")</f>
        <v>0</v>
      </c>
      <c r="M88" s="94">
        <f>SUMIFS('caseload data'!O:O,'caseload data'!$D:$D,"PSO",'caseload data'!$C:$C,'custody caseload'!$B$85,'caseload data'!$B:$B,"custody")</f>
        <v>0</v>
      </c>
      <c r="N88" s="94">
        <f>SUMIFS('caseload data'!P:P,'caseload data'!$D:$D,"PSO",'caseload data'!$C:$C,'custody caseload'!$B$85,'caseload data'!$B:$B,"custody")</f>
        <v>0</v>
      </c>
      <c r="O88" s="94">
        <f>SUMIFS('caseload data'!Q:Q,'caseload data'!$D:$D,"PSO",'caseload data'!$C:$C,'custody caseload'!$B$85,'caseload data'!$B:$B,"custody")</f>
        <v>0</v>
      </c>
      <c r="P88" s="94">
        <f>SUMIFS('caseload data'!R:R,'caseload data'!$D:$D,"PSO",'caseload data'!$C:$C,'custody caseload'!$B$85,'caseload data'!$B:$B,"custody")</f>
        <v>0</v>
      </c>
      <c r="Q88" s="94">
        <f>SUMIFS('caseload data'!S:S,'caseload data'!$D:$D,"PSO",'caseload data'!$C:$C,'custody caseload'!$B$85,'caseload data'!$B:$B,"custody")</f>
        <v>0</v>
      </c>
      <c r="R88" s="94">
        <f>SUMIFS('caseload data'!T:T,'caseload data'!$D:$D,"PSO",'caseload data'!$C:$C,'custody caseload'!$B$85,'caseload data'!$B:$B,"custody")</f>
        <v>0</v>
      </c>
      <c r="T88" s="97" t="s">
        <v>1007</v>
      </c>
      <c r="U88" s="145">
        <f>SUMIFS('caseload data'!E:E,'caseload data'!$D:$D,"PSO",'caseload data'!$C:$C,'custody caseload'!$T$85,'caseload data'!$B:$B,"custody")</f>
        <v>0</v>
      </c>
      <c r="V88" s="145">
        <f>SUMIFS('caseload data'!F:F,'caseload data'!$D:$D,"PSO",'caseload data'!$C:$C,'custody caseload'!$T$85,'caseload data'!$B:$B,"custody")</f>
        <v>0</v>
      </c>
      <c r="W88" s="145">
        <f>SUMIFS('caseload data'!G:G,'caseload data'!$D:$D,"PSO",'caseload data'!$C:$C,'custody caseload'!$T$85,'caseload data'!$B:$B,"custody")</f>
        <v>0</v>
      </c>
      <c r="X88" s="145">
        <f>SUMIFS('caseload data'!H:H,'caseload data'!$D:$D,"PSO",'caseload data'!$C:$C,'custody caseload'!$T$85,'caseload data'!$B:$B,"custody")</f>
        <v>0</v>
      </c>
      <c r="Y88" s="145">
        <f>SUMIFS('caseload data'!I:I,'caseload data'!$D:$D,"PSO",'caseload data'!$C:$C,'custody caseload'!$T$85,'caseload data'!$B:$B,"custody")</f>
        <v>0</v>
      </c>
      <c r="Z88" s="145">
        <f>SUMIFS('caseload data'!J:J,'caseload data'!$D:$D,"PSO",'caseload data'!$C:$C,'custody caseload'!$T$85,'caseload data'!$B:$B,"custody")</f>
        <v>0</v>
      </c>
      <c r="AA88" s="145">
        <f>SUMIFS('caseload data'!K:K,'caseload data'!$D:$D,"PSO",'caseload data'!$C:$C,'custody caseload'!$T$85,'caseload data'!$B:$B,"custody")</f>
        <v>0</v>
      </c>
      <c r="AB88" s="145">
        <f>SUMIFS('caseload data'!L:L,'caseload data'!$D:$D,"PSO",'caseload data'!$C:$C,'custody caseload'!$T$85,'caseload data'!$B:$B,"custody")</f>
        <v>0</v>
      </c>
      <c r="AC88" s="94">
        <f>SUMIFS('caseload data'!M:M,'caseload data'!$D:$D,"PSO",'caseload data'!$C:$C,'custody caseload'!$T$85,'caseload data'!$B:$B,"custody")</f>
        <v>0</v>
      </c>
      <c r="AD88" s="94">
        <f>SUMIFS('caseload data'!N:N,'caseload data'!$D:$D,"PSO",'caseload data'!$C:$C,'custody caseload'!$T$85,'caseload data'!$B:$B,"custody")</f>
        <v>0</v>
      </c>
      <c r="AE88" s="94">
        <f>SUMIFS('caseload data'!O:O,'caseload data'!$D:$D,"PSO",'caseload data'!$C:$C,'custody caseload'!$T$85,'caseload data'!$B:$B,"custody")</f>
        <v>0</v>
      </c>
      <c r="AF88" s="94">
        <f>SUMIFS('caseload data'!P:P,'caseload data'!$D:$D,"PSO",'caseload data'!$C:$C,'custody caseload'!$T$85,'caseload data'!$B:$B,"custody")</f>
        <v>0</v>
      </c>
      <c r="AG88" s="94">
        <f>SUMIFS('caseload data'!Q:Q,'caseload data'!$D:$D,"PSO",'caseload data'!$C:$C,'custody caseload'!$T$85,'caseload data'!$B:$B,"custody")</f>
        <v>0</v>
      </c>
      <c r="AH88" s="94">
        <f>SUMIFS('caseload data'!R:R,'caseload data'!$D:$D,"PSO",'caseload data'!$C:$C,'custody caseload'!$T$85,'caseload data'!$B:$B,"custody")</f>
        <v>0</v>
      </c>
      <c r="AI88" s="94">
        <f>SUMIFS('caseload data'!S:S,'caseload data'!$D:$D,"PSO",'caseload data'!$C:$C,'custody caseload'!$T$85,'caseload data'!$B:$B,"custody")</f>
        <v>0</v>
      </c>
      <c r="AJ88" s="94">
        <f>SUMIFS('caseload data'!T:T,'caseload data'!$D:$D,"PSO",'caseload data'!$C:$C,'custody caseload'!$T$85,'caseload data'!$B:$B,"custody")</f>
        <v>0</v>
      </c>
    </row>
    <row r="89" spans="2:36" ht="15" x14ac:dyDescent="0.2">
      <c r="B89" s="97" t="s">
        <v>1008</v>
      </c>
      <c r="C89" s="145">
        <f>SUMIFS('caseload data'!E:E,'caseload data'!$D:$D,"TPO",'caseload data'!$C:$C,'custody caseload'!$B$85,'caseload data'!$B:$B,"custody")</f>
        <v>0</v>
      </c>
      <c r="D89" s="145">
        <f>SUMIFS('caseload data'!F:F,'caseload data'!$D:$D,"TPO",'caseload data'!$C:$C,'custody caseload'!$B$85,'caseload data'!$B:$B,"custody")</f>
        <v>0</v>
      </c>
      <c r="E89" s="145">
        <f>SUMIFS('caseload data'!G:G,'caseload data'!$D:$D,"TPO",'caseload data'!$C:$C,'custody caseload'!$B$85,'caseload data'!$B:$B,"custody")</f>
        <v>0</v>
      </c>
      <c r="F89" s="145">
        <f>SUMIFS('caseload data'!H:H,'caseload data'!$D:$D,"TPO",'caseload data'!$C:$C,'custody caseload'!$B$85,'caseload data'!$B:$B,"custody")</f>
        <v>0</v>
      </c>
      <c r="G89" s="145">
        <f>SUMIFS('caseload data'!I:I,'caseload data'!$D:$D,"TPO",'caseload data'!$C:$C,'custody caseload'!$B$85,'caseload data'!$B:$B,"custody")</f>
        <v>0</v>
      </c>
      <c r="H89" s="145">
        <f>SUMIFS('caseload data'!J:J,'caseload data'!$D:$D,"TPO",'caseload data'!$C:$C,'custody caseload'!$B$85,'caseload data'!$B:$B,"custody")</f>
        <v>0</v>
      </c>
      <c r="I89" s="145">
        <f>SUMIFS('caseload data'!K:K,'caseload data'!$D:$D,"TPO",'caseload data'!$C:$C,'custody caseload'!$B$85,'caseload data'!$B:$B,"custody")</f>
        <v>0</v>
      </c>
      <c r="J89" s="145">
        <f>SUMIFS('caseload data'!L:L,'caseload data'!$D:$D,"TPO",'caseload data'!$C:$C,'custody caseload'!$B$85,'caseload data'!$B:$B,"custody")</f>
        <v>0</v>
      </c>
      <c r="K89" s="94">
        <f>SUMIFS('caseload data'!M:M,'caseload data'!$D:$D,"TPO",'caseload data'!$C:$C,'custody caseload'!$B$85,'caseload data'!$B:$B,"custody")</f>
        <v>0</v>
      </c>
      <c r="L89" s="94">
        <f>SUMIFS('caseload data'!N:N,'caseload data'!$D:$D,"TPO",'caseload data'!$C:$C,'custody caseload'!$B$85,'caseload data'!$B:$B,"custody")</f>
        <v>0</v>
      </c>
      <c r="M89" s="94">
        <f>SUMIFS('caseload data'!O:O,'caseload data'!$D:$D,"TPO",'caseload data'!$C:$C,'custody caseload'!$B$85,'caseload data'!$B:$B,"custody")</f>
        <v>0</v>
      </c>
      <c r="N89" s="94">
        <f>SUMIFS('caseload data'!P:P,'caseload data'!$D:$D,"TPO",'caseload data'!$C:$C,'custody caseload'!$B$85,'caseload data'!$B:$B,"custody")</f>
        <v>0</v>
      </c>
      <c r="O89" s="94">
        <f>SUMIFS('caseload data'!Q:Q,'caseload data'!$D:$D,"TPO",'caseload data'!$C:$C,'custody caseload'!$B$85,'caseload data'!$B:$B,"custody")</f>
        <v>0</v>
      </c>
      <c r="P89" s="94">
        <f>SUMIFS('caseload data'!R:R,'caseload data'!$D:$D,"TPO",'caseload data'!$C:$C,'custody caseload'!$B$85,'caseload data'!$B:$B,"custody")</f>
        <v>0</v>
      </c>
      <c r="Q89" s="94">
        <f>SUMIFS('caseload data'!S:S,'caseload data'!$D:$D,"TPO",'caseload data'!$C:$C,'custody caseload'!$B$85,'caseload data'!$B:$B,"custody")</f>
        <v>0</v>
      </c>
      <c r="R89" s="94">
        <f>SUMIFS('caseload data'!T:T,'caseload data'!$D:$D,"TPO",'caseload data'!$C:$C,'custody caseload'!$B$85,'caseload data'!$B:$B,"custody")</f>
        <v>0</v>
      </c>
      <c r="T89" s="97" t="s">
        <v>1008</v>
      </c>
      <c r="U89" s="145">
        <f>SUMIFS('caseload data'!E:E,'caseload data'!$D:$D,"TPO",'caseload data'!$C:$C,'custody caseload'!$T$85,'caseload data'!$B:$B,"custody")</f>
        <v>0</v>
      </c>
      <c r="V89" s="145">
        <f>SUMIFS('caseload data'!F:F,'caseload data'!$D:$D,"TPO",'caseload data'!$C:$C,'custody caseload'!$T$85,'caseload data'!$B:$B,"custody")</f>
        <v>0</v>
      </c>
      <c r="W89" s="145">
        <f>SUMIFS('caseload data'!G:G,'caseload data'!$D:$D,"TPO",'caseload data'!$C:$C,'custody caseload'!$T$85,'caseload data'!$B:$B,"custody")</f>
        <v>0</v>
      </c>
      <c r="X89" s="145">
        <f>SUMIFS('caseload data'!H:H,'caseload data'!$D:$D,"TPO",'caseload data'!$C:$C,'custody caseload'!$T$85,'caseload data'!$B:$B,"custody")</f>
        <v>0</v>
      </c>
      <c r="Y89" s="145">
        <f>SUMIFS('caseload data'!I:I,'caseload data'!$D:$D,"TPO",'caseload data'!$C:$C,'custody caseload'!$T$85,'caseload data'!$B:$B,"custody")</f>
        <v>0</v>
      </c>
      <c r="Z89" s="145">
        <f>SUMIFS('caseload data'!J:J,'caseload data'!$D:$D,"TPO",'caseload data'!$C:$C,'custody caseload'!$T$85,'caseload data'!$B:$B,"custody")</f>
        <v>0</v>
      </c>
      <c r="AA89" s="145">
        <f>SUMIFS('caseload data'!K:K,'caseload data'!$D:$D,"TPO",'caseload data'!$C:$C,'custody caseload'!$T$85,'caseload data'!$B:$B,"custody")</f>
        <v>0</v>
      </c>
      <c r="AB89" s="145">
        <f>SUMIFS('caseload data'!L:L,'caseload data'!$D:$D,"TPO",'caseload data'!$C:$C,'custody caseload'!$T$85,'caseload data'!$B:$B,"custody")</f>
        <v>0</v>
      </c>
      <c r="AC89" s="94">
        <f>SUMIFS('caseload data'!M:M,'caseload data'!$D:$D,"TPO",'caseload data'!$C:$C,'custody caseload'!$T$85,'caseload data'!$B:$B,"custody")</f>
        <v>0</v>
      </c>
      <c r="AD89" s="94">
        <f>SUMIFS('caseload data'!N:N,'caseload data'!$D:$D,"TPO",'caseload data'!$C:$C,'custody caseload'!$T$85,'caseload data'!$B:$B,"custody")</f>
        <v>0</v>
      </c>
      <c r="AE89" s="94">
        <f>SUMIFS('caseload data'!O:O,'caseload data'!$D:$D,"TPO",'caseload data'!$C:$C,'custody caseload'!$T$85,'caseload data'!$B:$B,"custody")</f>
        <v>0</v>
      </c>
      <c r="AF89" s="94">
        <f>SUMIFS('caseload data'!P:P,'caseload data'!$D:$D,"TPO",'caseload data'!$C:$C,'custody caseload'!$T$85,'caseload data'!$B:$B,"custody")</f>
        <v>0</v>
      </c>
      <c r="AG89" s="94">
        <f>SUMIFS('caseload data'!Q:Q,'caseload data'!$D:$D,"TPO",'caseload data'!$C:$C,'custody caseload'!$T$85,'caseload data'!$B:$B,"custody")</f>
        <v>0</v>
      </c>
      <c r="AH89" s="94">
        <f>SUMIFS('caseload data'!R:R,'caseload data'!$D:$D,"TPO",'caseload data'!$C:$C,'custody caseload'!$T$85,'caseload data'!$B:$B,"custody")</f>
        <v>0</v>
      </c>
      <c r="AI89" s="94">
        <f>SUMIFS('caseload data'!S:S,'caseload data'!$D:$D,"TPO",'caseload data'!$C:$C,'custody caseload'!$T$85,'caseload data'!$B:$B,"custody")</f>
        <v>0</v>
      </c>
      <c r="AJ89" s="94">
        <f>SUMIFS('caseload data'!T:T,'caseload data'!$D:$D,"TPO",'caseload data'!$C:$C,'custody caseload'!$T$85,'caseload data'!$B:$B,"custody")</f>
        <v>0</v>
      </c>
    </row>
    <row r="90" spans="2:36" x14ac:dyDescent="0.15">
      <c r="B90" s="98" t="s">
        <v>1009</v>
      </c>
      <c r="C90" s="94">
        <f>SUMIFS('caseload data'!E:E,'caseload data'!$D:$D,"SPO",'caseload data'!$C:$C,'custody caseload'!$B$85,'caseload data'!$B:$B,"custody")</f>
        <v>0</v>
      </c>
      <c r="D90" s="94">
        <f>SUMIFS('caseload data'!F:F,'caseload data'!$D:$D,"SPO",'caseload data'!$C:$C,'custody caseload'!$B$85,'caseload data'!$B:$B,"custody")</f>
        <v>0</v>
      </c>
      <c r="E90" s="94">
        <f>SUMIFS('caseload data'!G:G,'caseload data'!$D:$D,"SPO",'caseload data'!$C:$C,'custody caseload'!$B$85,'caseload data'!$B:$B,"custody")</f>
        <v>0</v>
      </c>
      <c r="F90" s="94">
        <f>SUMIFS('caseload data'!H:H,'caseload data'!$D:$D,"SPO",'caseload data'!$C:$C,'custody caseload'!$B$85,'caseload data'!$B:$B,"custody")</f>
        <v>0</v>
      </c>
      <c r="G90" s="94">
        <f>SUMIFS('caseload data'!I:I,'caseload data'!$D:$D,"SPO",'caseload data'!$C:$C,'custody caseload'!$B$85,'caseload data'!$B:$B,"custody")</f>
        <v>0</v>
      </c>
      <c r="H90" s="94">
        <f>SUMIFS('caseload data'!J:J,'caseload data'!$D:$D,"SPO",'caseload data'!$C:$C,'custody caseload'!$B$85,'caseload data'!$B:$B,"custody")</f>
        <v>0</v>
      </c>
      <c r="I90" s="94">
        <f>SUMIFS('caseload data'!K:K,'caseload data'!$D:$D,"SPO",'caseload data'!$C:$C,'custody caseload'!$B$85,'caseload data'!$B:$B,"custody")</f>
        <v>0</v>
      </c>
      <c r="J90" s="94">
        <f>SUMIFS('caseload data'!L:L,'caseload data'!$D:$D,"SPO",'caseload data'!$C:$C,'custody caseload'!$B$85,'caseload data'!$B:$B,"custody")</f>
        <v>0</v>
      </c>
      <c r="K90" s="94">
        <f>SUMIFS('caseload data'!M:M,'caseload data'!$D:$D,"SPO",'caseload data'!$C:$C,'custody caseload'!$B$85,'caseload data'!$B:$B,"custody")</f>
        <v>0</v>
      </c>
      <c r="L90" s="94">
        <f>SUMIFS('caseload data'!N:N,'caseload data'!$D:$D,"SPO",'caseload data'!$C:$C,'custody caseload'!$B$85,'caseload data'!$B:$B,"custody")</f>
        <v>0</v>
      </c>
      <c r="M90" s="94">
        <f>SUMIFS('caseload data'!O:O,'caseload data'!$D:$D,"SPO",'caseload data'!$C:$C,'custody caseload'!$B$85,'caseload data'!$B:$B,"custody")</f>
        <v>0</v>
      </c>
      <c r="N90" s="94">
        <f>SUMIFS('caseload data'!P:P,'caseload data'!$D:$D,"SPO",'caseload data'!$C:$C,'custody caseload'!$B$85,'caseload data'!$B:$B,"custody")</f>
        <v>0</v>
      </c>
      <c r="O90" s="94">
        <f>SUMIFS('caseload data'!Q:Q,'caseload data'!$D:$D,"SPO",'caseload data'!$C:$C,'custody caseload'!$B$85,'caseload data'!$B:$B,"custody")</f>
        <v>0</v>
      </c>
      <c r="P90" s="94">
        <f>SUMIFS('caseload data'!R:R,'caseload data'!$D:$D,"SPO",'caseload data'!$C:$C,'custody caseload'!$B$85,'caseload data'!$B:$B,"custody")</f>
        <v>0</v>
      </c>
      <c r="Q90" s="94">
        <f>SUMIFS('caseload data'!S:S,'caseload data'!$D:$D,"SPO",'caseload data'!$C:$C,'custody caseload'!$B$85,'caseload data'!$B:$B,"custody")</f>
        <v>0</v>
      </c>
      <c r="R90" s="94">
        <f>SUMIFS('caseload data'!T:T,'caseload data'!$D:$D,"SPO",'caseload data'!$C:$C,'custody caseload'!$B$85,'caseload data'!$B:$B,"custody")</f>
        <v>0</v>
      </c>
      <c r="T90" s="98" t="s">
        <v>1009</v>
      </c>
      <c r="U90" s="94">
        <f>SUMIFS('caseload data'!E:E,'caseload data'!$D:$D,"SPO",'caseload data'!$C:$C,'custody caseload'!$T$85,'caseload data'!$B:$B,"custody")</f>
        <v>0</v>
      </c>
      <c r="V90" s="94">
        <f>SUMIFS('caseload data'!F:F,'caseload data'!$D:$D,"SPO",'caseload data'!$C:$C,'custody caseload'!$T$85,'caseload data'!$B:$B,"custody")</f>
        <v>0</v>
      </c>
      <c r="W90" s="94">
        <f>SUMIFS('caseload data'!G:G,'caseload data'!$D:$D,"SPO",'caseload data'!$C:$C,'custody caseload'!$T$85,'caseload data'!$B:$B,"custody")</f>
        <v>0</v>
      </c>
      <c r="X90" s="94">
        <f>SUMIFS('caseload data'!H:H,'caseload data'!$D:$D,"SPO",'caseload data'!$C:$C,'custody caseload'!$T$85,'caseload data'!$B:$B,"custody")</f>
        <v>0</v>
      </c>
      <c r="Y90" s="94">
        <f>SUMIFS('caseload data'!I:I,'caseload data'!$D:$D,"SPO",'caseload data'!$C:$C,'custody caseload'!$T$85,'caseload data'!$B:$B,"custody")</f>
        <v>0</v>
      </c>
      <c r="Z90" s="94">
        <f>SUMIFS('caseload data'!J:J,'caseload data'!$D:$D,"SPO",'caseload data'!$C:$C,'custody caseload'!$T$85,'caseload data'!$B:$B,"custody")</f>
        <v>0</v>
      </c>
      <c r="AA90" s="94">
        <f>SUMIFS('caseload data'!K:K,'caseload data'!$D:$D,"SPO",'caseload data'!$C:$C,'custody caseload'!$T$85,'caseload data'!$B:$B,"custody")</f>
        <v>0</v>
      </c>
      <c r="AB90" s="94">
        <f>SUMIFS('caseload data'!L:L,'caseload data'!$D:$D,"SPO",'caseload data'!$C:$C,'custody caseload'!$T$85,'caseload data'!$B:$B,"custody")</f>
        <v>0</v>
      </c>
      <c r="AC90" s="94">
        <f>SUMIFS('caseload data'!M:M,'caseload data'!$D:$D,"SPO",'caseload data'!$C:$C,'custody caseload'!$T$85,'caseload data'!$B:$B,"custody")</f>
        <v>0</v>
      </c>
      <c r="AD90" s="94">
        <f>SUMIFS('caseload data'!N:N,'caseload data'!$D:$D,"SPO",'caseload data'!$C:$C,'custody caseload'!$T$85,'caseload data'!$B:$B,"custody")</f>
        <v>0</v>
      </c>
      <c r="AE90" s="94">
        <f>SUMIFS('caseload data'!O:O,'caseload data'!$D:$D,"SPO",'caseload data'!$C:$C,'custody caseload'!$T$85,'caseload data'!$B:$B,"custody")</f>
        <v>0</v>
      </c>
      <c r="AF90" s="94">
        <f>SUMIFS('caseload data'!P:P,'caseload data'!$D:$D,"SPO",'caseload data'!$C:$C,'custody caseload'!$T$85,'caseload data'!$B:$B,"custody")</f>
        <v>0</v>
      </c>
      <c r="AG90" s="94">
        <f>SUMIFS('caseload data'!Q:Q,'caseload data'!$D:$D,"SPO",'caseload data'!$C:$C,'custody caseload'!$T$85,'caseload data'!$B:$B,"custody")</f>
        <v>0</v>
      </c>
      <c r="AH90" s="94">
        <f>SUMIFS('caseload data'!R:R,'caseload data'!$D:$D,"SPO",'caseload data'!$C:$C,'custody caseload'!$T$85,'caseload data'!$B:$B,"custody")</f>
        <v>0</v>
      </c>
      <c r="AI90" s="94">
        <f>SUMIFS('caseload data'!S:S,'caseload data'!$D:$D,"SPO",'caseload data'!$C:$C,'custody caseload'!$T$85,'caseload data'!$B:$B,"custody")</f>
        <v>0</v>
      </c>
      <c r="AJ90" s="94">
        <f>SUMIFS('caseload data'!T:T,'caseload data'!$D:$D,"SPO",'caseload data'!$C:$C,'custody caseload'!$T$85,'caseload data'!$B:$B,"custody")</f>
        <v>0</v>
      </c>
    </row>
    <row r="92" spans="2:36" ht="21" customHeight="1" x14ac:dyDescent="0.15">
      <c r="B92" s="142">
        <f>HLOOKUP($B$5,Region_Table,26,0)</f>
        <v>0</v>
      </c>
      <c r="C92" s="523" t="s">
        <v>1131</v>
      </c>
      <c r="D92" s="524"/>
      <c r="E92" s="524"/>
      <c r="F92" s="524"/>
      <c r="G92" s="524"/>
      <c r="H92" s="524"/>
      <c r="I92" s="524"/>
      <c r="J92" s="524"/>
      <c r="K92" s="524"/>
      <c r="L92" s="524"/>
      <c r="M92" s="533"/>
      <c r="N92" s="533"/>
      <c r="O92" s="534"/>
      <c r="P92" s="510">
        <f>SUMIFS('caseload data'!V:V,'caseload data'!B:B,"custody",'caseload data'!$C:$C,'custody caseload'!B92)</f>
        <v>0</v>
      </c>
      <c r="Q92" s="527"/>
      <c r="R92" s="528"/>
      <c r="T92" s="142">
        <f>HLOOKUP($B$5,Region_Table,27,0)</f>
        <v>0</v>
      </c>
      <c r="U92" s="523" t="s">
        <v>1131</v>
      </c>
      <c r="V92" s="524"/>
      <c r="W92" s="524"/>
      <c r="X92" s="524"/>
      <c r="Y92" s="524"/>
      <c r="Z92" s="524"/>
      <c r="AA92" s="524"/>
      <c r="AB92" s="524"/>
      <c r="AC92" s="524"/>
      <c r="AD92" s="524"/>
      <c r="AE92" s="533"/>
      <c r="AF92" s="533"/>
      <c r="AG92" s="534"/>
      <c r="AH92" s="510">
        <f>SUMIFS('caseload data'!V:V,'caseload data'!B:B,"custody",'caseload data'!$C:$C,'custody caseload'!T92)</f>
        <v>0</v>
      </c>
      <c r="AI92" s="527"/>
      <c r="AJ92" s="528"/>
    </row>
    <row r="93" spans="2:36" x14ac:dyDescent="0.15">
      <c r="B93" s="95" t="s">
        <v>1006</v>
      </c>
      <c r="C93" s="38" t="s">
        <v>869</v>
      </c>
      <c r="D93" s="38" t="s">
        <v>870</v>
      </c>
      <c r="E93" s="38" t="s">
        <v>871</v>
      </c>
      <c r="F93" s="38" t="s">
        <v>872</v>
      </c>
      <c r="G93" s="38" t="s">
        <v>873</v>
      </c>
      <c r="H93" s="38" t="s">
        <v>874</v>
      </c>
      <c r="I93" s="38" t="s">
        <v>875</v>
      </c>
      <c r="J93" s="38" t="s">
        <v>876</v>
      </c>
      <c r="K93" s="38" t="s">
        <v>877</v>
      </c>
      <c r="L93" s="38" t="s">
        <v>878</v>
      </c>
      <c r="M93" s="38" t="s">
        <v>879</v>
      </c>
      <c r="N93" s="38" t="s">
        <v>880</v>
      </c>
      <c r="O93" s="38" t="s">
        <v>881</v>
      </c>
      <c r="P93" s="38" t="s">
        <v>882</v>
      </c>
      <c r="Q93" s="38" t="s">
        <v>883</v>
      </c>
      <c r="R93" s="38" t="s">
        <v>884</v>
      </c>
      <c r="T93" s="95" t="s">
        <v>1006</v>
      </c>
      <c r="U93" s="38" t="s">
        <v>869</v>
      </c>
      <c r="V93" s="38" t="s">
        <v>870</v>
      </c>
      <c r="W93" s="38" t="s">
        <v>871</v>
      </c>
      <c r="X93" s="38" t="s">
        <v>872</v>
      </c>
      <c r="Y93" s="38" t="s">
        <v>873</v>
      </c>
      <c r="Z93" s="38" t="s">
        <v>874</v>
      </c>
      <c r="AA93" s="38" t="s">
        <v>875</v>
      </c>
      <c r="AB93" s="38" t="s">
        <v>876</v>
      </c>
      <c r="AC93" s="38" t="s">
        <v>877</v>
      </c>
      <c r="AD93" s="38" t="s">
        <v>878</v>
      </c>
      <c r="AE93" s="38" t="s">
        <v>879</v>
      </c>
      <c r="AF93" s="38" t="s">
        <v>880</v>
      </c>
      <c r="AG93" s="38" t="s">
        <v>881</v>
      </c>
      <c r="AH93" s="38" t="s">
        <v>882</v>
      </c>
      <c r="AI93" s="38" t="s">
        <v>883</v>
      </c>
      <c r="AJ93" s="38" t="s">
        <v>884</v>
      </c>
    </row>
    <row r="94" spans="2:36" x14ac:dyDescent="0.15">
      <c r="B94" s="96" t="s">
        <v>1002</v>
      </c>
      <c r="C94" s="94">
        <f>SUMIFS('caseload data'!E:E,'caseload data'!$D:$D,"PO",'caseload data'!$C:$C,'custody caseload'!$B$92,'caseload data'!$B:$B,"custody")</f>
        <v>0</v>
      </c>
      <c r="D94" s="94">
        <f>SUMIFS('caseload data'!F:F,'caseload data'!$D:$D,"PO",'caseload data'!$C:$C,'custody caseload'!$B$92,'caseload data'!$B:$B,"custody")</f>
        <v>0</v>
      </c>
      <c r="E94" s="94">
        <f>SUMIFS('caseload data'!G:G,'caseload data'!$D:$D,"PO",'caseload data'!$C:$C,'custody caseload'!$B$92,'caseload data'!$B:$B,"custody")</f>
        <v>0</v>
      </c>
      <c r="F94" s="94">
        <f>SUMIFS('caseload data'!H:H,'caseload data'!$D:$D,"PO",'caseload data'!$C:$C,'custody caseload'!$B$92,'caseload data'!$B:$B,"custody")</f>
        <v>0</v>
      </c>
      <c r="G94" s="94">
        <f>SUMIFS('caseload data'!I:I,'caseload data'!$D:$D,"PO",'caseload data'!$C:$C,'custody caseload'!$B$92,'caseload data'!$B:$B,"custody")</f>
        <v>0</v>
      </c>
      <c r="H94" s="94">
        <f>SUMIFS('caseload data'!J:J,'caseload data'!$D:$D,"PO",'caseload data'!$C:$C,'custody caseload'!$B$92,'caseload data'!$B:$B,"custody")</f>
        <v>0</v>
      </c>
      <c r="I94" s="94">
        <f>SUMIFS('caseload data'!K:K,'caseload data'!$D:$D,"PO",'caseload data'!$C:$C,'custody caseload'!$B$92,'caseload data'!$B:$B,"custody")</f>
        <v>0</v>
      </c>
      <c r="J94" s="94">
        <f>SUMIFS('caseload data'!L:L,'caseload data'!$D:$D,"PO",'caseload data'!$C:$C,'custody caseload'!$B$92,'caseload data'!$B:$B,"custody")</f>
        <v>0</v>
      </c>
      <c r="K94" s="94">
        <f>SUMIFS('caseload data'!M:M,'caseload data'!$D:$D,"PO",'caseload data'!$C:$C,'custody caseload'!$B$92,'caseload data'!$B:$B,"custody")</f>
        <v>0</v>
      </c>
      <c r="L94" s="94">
        <f>SUMIFS('caseload data'!N:N,'caseload data'!$D:$D,"PO",'caseload data'!$C:$C,'custody caseload'!$B$92,'caseload data'!$B:$B,"custody")</f>
        <v>0</v>
      </c>
      <c r="M94" s="94">
        <f>SUMIFS('caseload data'!O:O,'caseload data'!$D:$D,"PO",'caseload data'!$C:$C,'custody caseload'!$B$92,'caseload data'!$B:$B,"custody")</f>
        <v>0</v>
      </c>
      <c r="N94" s="94">
        <f>SUMIFS('caseload data'!P:P,'caseload data'!$D:$D,"PO",'caseload data'!$C:$C,'custody caseload'!$B$92,'caseload data'!$B:$B,"custody")</f>
        <v>0</v>
      </c>
      <c r="O94" s="94">
        <f>SUMIFS('caseload data'!Q:Q,'caseload data'!$D:$D,"PO",'caseload data'!$C:$C,'custody caseload'!$B$92,'caseload data'!$B:$B,"custody")</f>
        <v>0</v>
      </c>
      <c r="P94" s="94">
        <f>SUMIFS('caseload data'!R:R,'caseload data'!$D:$D,"PO",'caseload data'!$C:$C,'custody caseload'!$B$92,'caseload data'!$B:$B,"custody")</f>
        <v>0</v>
      </c>
      <c r="Q94" s="94">
        <f>SUMIFS('caseload data'!S:S,'caseload data'!$D:$D,"PO",'caseload data'!$C:$C,'custody caseload'!$B$92,'caseload data'!$B:$B,"custody")</f>
        <v>0</v>
      </c>
      <c r="R94" s="94">
        <f>SUMIFS('caseload data'!T:T,'caseload data'!$D:$D,"PO",'caseload data'!$C:$C,'custody caseload'!$B$92,'caseload data'!$B:$B,"custody")</f>
        <v>0</v>
      </c>
      <c r="T94" s="96" t="s">
        <v>1002</v>
      </c>
      <c r="U94" s="94">
        <f>SUMIFS('caseload data'!E:E,'caseload data'!$D:$D,"PO",'caseload data'!$C:$C,'custody caseload'!$T$92,'caseload data'!$B:$B,"custody")</f>
        <v>0</v>
      </c>
      <c r="V94" s="94">
        <f>SUMIFS('caseload data'!F:F,'caseload data'!$D:$D,"PO",'caseload data'!$C:$C,'custody caseload'!$T$92,'caseload data'!$B:$B,"custody")</f>
        <v>0</v>
      </c>
      <c r="W94" s="94">
        <f>SUMIFS('caseload data'!G:G,'caseload data'!$D:$D,"PO",'caseload data'!$C:$C,'custody caseload'!$T$92,'caseload data'!$B:$B,"custody")</f>
        <v>0</v>
      </c>
      <c r="X94" s="94">
        <f>SUMIFS('caseload data'!H:H,'caseload data'!$D:$D,"PO",'caseload data'!$C:$C,'custody caseload'!$T$92,'caseload data'!$B:$B,"custody")</f>
        <v>0</v>
      </c>
      <c r="Y94" s="94">
        <f>SUMIFS('caseload data'!I:I,'caseload data'!$D:$D,"PO",'caseload data'!$C:$C,'custody caseload'!$T$92,'caseload data'!$B:$B,"custody")</f>
        <v>0</v>
      </c>
      <c r="Z94" s="94">
        <f>SUMIFS('caseload data'!J:J,'caseload data'!$D:$D,"PO",'caseload data'!$C:$C,'custody caseload'!$T$92,'caseload data'!$B:$B,"custody")</f>
        <v>0</v>
      </c>
      <c r="AA94" s="94">
        <f>SUMIFS('caseload data'!K:K,'caseload data'!$D:$D,"PO",'caseload data'!$C:$C,'custody caseload'!$T$92,'caseload data'!$B:$B,"custody")</f>
        <v>0</v>
      </c>
      <c r="AB94" s="94">
        <f>SUMIFS('caseload data'!L:L,'caseload data'!$D:$D,"PO",'caseload data'!$C:$C,'custody caseload'!$T$92,'caseload data'!$B:$B,"custody")</f>
        <v>0</v>
      </c>
      <c r="AC94" s="94">
        <f>SUMIFS('caseload data'!M:M,'caseload data'!$D:$D,"PO",'caseload data'!$C:$C,'custody caseload'!$T$92,'caseload data'!$B:$B,"custody")</f>
        <v>0</v>
      </c>
      <c r="AD94" s="94">
        <f>SUMIFS('caseload data'!N:N,'caseload data'!$D:$D,"PO",'caseload data'!$C:$C,'custody caseload'!$T$92,'caseload data'!$B:$B,"custody")</f>
        <v>0</v>
      </c>
      <c r="AE94" s="94">
        <f>SUMIFS('caseload data'!O:O,'caseload data'!$D:$D,"PO",'caseload data'!$C:$C,'custody caseload'!$T$92,'caseload data'!$B:$B,"custody")</f>
        <v>0</v>
      </c>
      <c r="AF94" s="94">
        <f>SUMIFS('caseload data'!P:P,'caseload data'!$D:$D,"PO",'caseload data'!$C:$C,'custody caseload'!$T$92,'caseload data'!$B:$B,"custody")</f>
        <v>0</v>
      </c>
      <c r="AG94" s="94">
        <f>SUMIFS('caseload data'!Q:Q,'caseload data'!$D:$D,"PO",'caseload data'!$C:$C,'custody caseload'!$T$92,'caseload data'!$B:$B,"custody")</f>
        <v>0</v>
      </c>
      <c r="AH94" s="94">
        <f>SUMIFS('caseload data'!R:R,'caseload data'!$D:$D,"PO",'caseload data'!$C:$C,'custody caseload'!$T$92,'caseload data'!$B:$B,"custody")</f>
        <v>0</v>
      </c>
      <c r="AI94" s="94">
        <f>SUMIFS('caseload data'!S:S,'caseload data'!$D:$D,"PO",'caseload data'!$C:$C,'custody caseload'!$T$92,'caseload data'!$B:$B,"custody")</f>
        <v>0</v>
      </c>
      <c r="AJ94" s="94">
        <f>SUMIFS('caseload data'!T:T,'caseload data'!$D:$D,"PO",'caseload data'!$C:$C,'custody caseload'!$T$92,'caseload data'!$B:$B,"custody")</f>
        <v>0</v>
      </c>
    </row>
    <row r="95" spans="2:36" ht="15" x14ac:dyDescent="0.2">
      <c r="B95" s="97" t="s">
        <v>1007</v>
      </c>
      <c r="C95" s="145">
        <f>SUMIFS('caseload data'!E:E,'caseload data'!$D:$D,"PSO",'caseload data'!$C:$C,'custody caseload'!$B$92,'caseload data'!$B:$B,"custody")</f>
        <v>0</v>
      </c>
      <c r="D95" s="145">
        <f>SUMIFS('caseload data'!F:F,'caseload data'!$D:$D,"PSO",'caseload data'!$C:$C,'custody caseload'!$B$92,'caseload data'!$B:$B,"custody")</f>
        <v>0</v>
      </c>
      <c r="E95" s="145">
        <f>SUMIFS('caseload data'!G:G,'caseload data'!$D:$D,"PSO",'caseload data'!$C:$C,'custody caseload'!$B$92,'caseload data'!$B:$B,"custody")</f>
        <v>0</v>
      </c>
      <c r="F95" s="145">
        <f>SUMIFS('caseload data'!H:H,'caseload data'!$D:$D,"PSO",'caseload data'!$C:$C,'custody caseload'!$B$92,'caseload data'!$B:$B,"custody")</f>
        <v>0</v>
      </c>
      <c r="G95" s="145">
        <f>SUMIFS('caseload data'!I:I,'caseload data'!$D:$D,"PSO",'caseload data'!$C:$C,'custody caseload'!$B$92,'caseload data'!$B:$B,"custody")</f>
        <v>0</v>
      </c>
      <c r="H95" s="145">
        <f>SUMIFS('caseload data'!J:J,'caseload data'!$D:$D,"PSO",'caseload data'!$C:$C,'custody caseload'!$B$92,'caseload data'!$B:$B,"custody")</f>
        <v>0</v>
      </c>
      <c r="I95" s="145">
        <f>SUMIFS('caseload data'!K:K,'caseload data'!$D:$D,"PSO",'caseload data'!$C:$C,'custody caseload'!$B$92,'caseload data'!$B:$B,"custody")</f>
        <v>0</v>
      </c>
      <c r="J95" s="145">
        <f>SUMIFS('caseload data'!L:L,'caseload data'!$D:$D,"PSO",'caseload data'!$C:$C,'custody caseload'!$B$92,'caseload data'!$B:$B,"custody")</f>
        <v>0</v>
      </c>
      <c r="K95" s="94">
        <f>SUMIFS('caseload data'!M:M,'caseload data'!$D:$D,"PSO",'caseload data'!$C:$C,'custody caseload'!$B$92,'caseload data'!$B:$B,"custody")</f>
        <v>0</v>
      </c>
      <c r="L95" s="94">
        <f>SUMIFS('caseload data'!N:N,'caseload data'!$D:$D,"PSO",'caseload data'!$C:$C,'custody caseload'!$B$92,'caseload data'!$B:$B,"custody")</f>
        <v>0</v>
      </c>
      <c r="M95" s="94">
        <f>SUMIFS('caseload data'!O:O,'caseload data'!$D:$D,"PSO",'caseload data'!$C:$C,'custody caseload'!$B$92,'caseload data'!$B:$B,"custody")</f>
        <v>0</v>
      </c>
      <c r="N95" s="94">
        <f>SUMIFS('caseload data'!P:P,'caseload data'!$D:$D,"PSO",'caseload data'!$C:$C,'custody caseload'!$B$92,'caseload data'!$B:$B,"custody")</f>
        <v>0</v>
      </c>
      <c r="O95" s="94">
        <f>SUMIFS('caseload data'!Q:Q,'caseload data'!$D:$D,"PSO",'caseload data'!$C:$C,'custody caseload'!$B$92,'caseload data'!$B:$B,"custody")</f>
        <v>0</v>
      </c>
      <c r="P95" s="94">
        <f>SUMIFS('caseload data'!R:R,'caseload data'!$D:$D,"PSO",'caseload data'!$C:$C,'custody caseload'!$B$92,'caseload data'!$B:$B,"custody")</f>
        <v>0</v>
      </c>
      <c r="Q95" s="94">
        <f>SUMIFS('caseload data'!S:S,'caseload data'!$D:$D,"PSO",'caseload data'!$C:$C,'custody caseload'!$B$92,'caseload data'!$B:$B,"custody")</f>
        <v>0</v>
      </c>
      <c r="R95" s="94">
        <f>SUMIFS('caseload data'!T:T,'caseload data'!$D:$D,"PSO",'caseload data'!$C:$C,'custody caseload'!$B$92,'caseload data'!$B:$B,"custody")</f>
        <v>0</v>
      </c>
      <c r="T95" s="97" t="s">
        <v>1007</v>
      </c>
      <c r="U95" s="145">
        <f>SUMIFS('caseload data'!E:E,'caseload data'!$D:$D,"PSO",'caseload data'!$C:$C,'custody caseload'!$T$92,'caseload data'!$B:$B,"custody")</f>
        <v>0</v>
      </c>
      <c r="V95" s="145">
        <f>SUMIFS('caseload data'!F:F,'caseload data'!$D:$D,"PSO",'caseload data'!$C:$C,'custody caseload'!$T$92,'caseload data'!$B:$B,"custody")</f>
        <v>0</v>
      </c>
      <c r="W95" s="145">
        <f>SUMIFS('caseload data'!G:G,'caseload data'!$D:$D,"PSO",'caseload data'!$C:$C,'custody caseload'!$T$92,'caseload data'!$B:$B,"custody")</f>
        <v>0</v>
      </c>
      <c r="X95" s="145">
        <f>SUMIFS('caseload data'!H:H,'caseload data'!$D:$D,"PSO",'caseload data'!$C:$C,'custody caseload'!$T$92,'caseload data'!$B:$B,"custody")</f>
        <v>0</v>
      </c>
      <c r="Y95" s="145">
        <f>SUMIFS('caseload data'!I:I,'caseload data'!$D:$D,"PSO",'caseload data'!$C:$C,'custody caseload'!$T$92,'caseload data'!$B:$B,"custody")</f>
        <v>0</v>
      </c>
      <c r="Z95" s="145">
        <f>SUMIFS('caseload data'!J:J,'caseload data'!$D:$D,"PSO",'caseload data'!$C:$C,'custody caseload'!$T$92,'caseload data'!$B:$B,"custody")</f>
        <v>0</v>
      </c>
      <c r="AA95" s="145">
        <f>SUMIFS('caseload data'!K:K,'caseload data'!$D:$D,"PSO",'caseload data'!$C:$C,'custody caseload'!$T$92,'caseload data'!$B:$B,"custody")</f>
        <v>0</v>
      </c>
      <c r="AB95" s="145">
        <f>SUMIFS('caseload data'!L:L,'caseload data'!$D:$D,"PSO",'caseload data'!$C:$C,'custody caseload'!$T$92,'caseload data'!$B:$B,"custody")</f>
        <v>0</v>
      </c>
      <c r="AC95" s="94">
        <f>SUMIFS('caseload data'!M:M,'caseload data'!$D:$D,"PSO",'caseload data'!$C:$C,'custody caseload'!$T$92,'caseload data'!$B:$B,"custody")</f>
        <v>0</v>
      </c>
      <c r="AD95" s="94">
        <f>SUMIFS('caseload data'!N:N,'caseload data'!$D:$D,"PSO",'caseload data'!$C:$C,'custody caseload'!$T$92,'caseload data'!$B:$B,"custody")</f>
        <v>0</v>
      </c>
      <c r="AE95" s="94">
        <f>SUMIFS('caseload data'!O:O,'caseload data'!$D:$D,"PSO",'caseload data'!$C:$C,'custody caseload'!$T$92,'caseload data'!$B:$B,"custody")</f>
        <v>0</v>
      </c>
      <c r="AF95" s="94">
        <f>SUMIFS('caseload data'!P:P,'caseload data'!$D:$D,"PSO",'caseload data'!$C:$C,'custody caseload'!$T$92,'caseload data'!$B:$B,"custody")</f>
        <v>0</v>
      </c>
      <c r="AG95" s="94">
        <f>SUMIFS('caseload data'!Q:Q,'caseload data'!$D:$D,"PSO",'caseload data'!$C:$C,'custody caseload'!$T$92,'caseload data'!$B:$B,"custody")</f>
        <v>0</v>
      </c>
      <c r="AH95" s="94">
        <f>SUMIFS('caseload data'!R:R,'caseload data'!$D:$D,"PSO",'caseload data'!$C:$C,'custody caseload'!$T$92,'caseload data'!$B:$B,"custody")</f>
        <v>0</v>
      </c>
      <c r="AI95" s="94">
        <f>SUMIFS('caseload data'!S:S,'caseload data'!$D:$D,"PSO",'caseload data'!$C:$C,'custody caseload'!$T$92,'caseload data'!$B:$B,"custody")</f>
        <v>0</v>
      </c>
      <c r="AJ95" s="94">
        <f>SUMIFS('caseload data'!T:T,'caseload data'!$D:$D,"PSO",'caseload data'!$C:$C,'custody caseload'!$T$92,'caseload data'!$B:$B,"custody")</f>
        <v>0</v>
      </c>
    </row>
    <row r="96" spans="2:36" ht="15" x14ac:dyDescent="0.2">
      <c r="B96" s="97" t="s">
        <v>1008</v>
      </c>
      <c r="C96" s="145">
        <f>SUMIFS('caseload data'!E:E,'caseload data'!$D:$D,"TPO",'caseload data'!$C:$C,'custody caseload'!$B$92,'caseload data'!$B:$B,"custody")</f>
        <v>0</v>
      </c>
      <c r="D96" s="145">
        <f>SUMIFS('caseload data'!F:F,'caseload data'!$D:$D,"TPO",'caseload data'!$C:$C,'custody caseload'!$B$92,'caseload data'!$B:$B,"custody")</f>
        <v>0</v>
      </c>
      <c r="E96" s="145">
        <f>SUMIFS('caseload data'!G:G,'caseload data'!$D:$D,"TPO",'caseload data'!$C:$C,'custody caseload'!$B$92,'caseload data'!$B:$B,"custody")</f>
        <v>0</v>
      </c>
      <c r="F96" s="145">
        <f>SUMIFS('caseload data'!H:H,'caseload data'!$D:$D,"TPO",'caseload data'!$C:$C,'custody caseload'!$B$92,'caseload data'!$B:$B,"custody")</f>
        <v>0</v>
      </c>
      <c r="G96" s="145">
        <f>SUMIFS('caseload data'!I:I,'caseload data'!$D:$D,"TPO",'caseload data'!$C:$C,'custody caseload'!$B$92,'caseload data'!$B:$B,"custody")</f>
        <v>0</v>
      </c>
      <c r="H96" s="145">
        <f>SUMIFS('caseload data'!J:J,'caseload data'!$D:$D,"TPO",'caseload data'!$C:$C,'custody caseload'!$B$92,'caseload data'!$B:$B,"custody")</f>
        <v>0</v>
      </c>
      <c r="I96" s="145">
        <f>SUMIFS('caseload data'!K:K,'caseload data'!$D:$D,"TPO",'caseload data'!$C:$C,'custody caseload'!$B$92,'caseload data'!$B:$B,"custody")</f>
        <v>0</v>
      </c>
      <c r="J96" s="145">
        <f>SUMIFS('caseload data'!L:L,'caseload data'!$D:$D,"TPO",'caseload data'!$C:$C,'custody caseload'!$B$92,'caseload data'!$B:$B,"custody")</f>
        <v>0</v>
      </c>
      <c r="K96" s="94">
        <f>SUMIFS('caseload data'!M:M,'caseload data'!$D:$D,"TPO",'caseload data'!$C:$C,'custody caseload'!$B$92,'caseload data'!$B:$B,"custody")</f>
        <v>0</v>
      </c>
      <c r="L96" s="94">
        <f>SUMIFS('caseload data'!N:N,'caseload data'!$D:$D,"TPO",'caseload data'!$C:$C,'custody caseload'!$B$92,'caseload data'!$B:$B,"custody")</f>
        <v>0</v>
      </c>
      <c r="M96" s="94">
        <f>SUMIFS('caseload data'!O:O,'caseload data'!$D:$D,"TPO",'caseload data'!$C:$C,'custody caseload'!$B$92,'caseload data'!$B:$B,"custody")</f>
        <v>0</v>
      </c>
      <c r="N96" s="94">
        <f>SUMIFS('caseload data'!P:P,'caseload data'!$D:$D,"TPO",'caseload data'!$C:$C,'custody caseload'!$B$92,'caseload data'!$B:$B,"custody")</f>
        <v>0</v>
      </c>
      <c r="O96" s="94">
        <f>SUMIFS('caseload data'!Q:Q,'caseload data'!$D:$D,"TPO",'caseload data'!$C:$C,'custody caseload'!$B$92,'caseload data'!$B:$B,"custody")</f>
        <v>0</v>
      </c>
      <c r="P96" s="94">
        <f>SUMIFS('caseload data'!R:R,'caseload data'!$D:$D,"TPO",'caseload data'!$C:$C,'custody caseload'!$B$92,'caseload data'!$B:$B,"custody")</f>
        <v>0</v>
      </c>
      <c r="Q96" s="94">
        <f>SUMIFS('caseload data'!S:S,'caseload data'!$D:$D,"TPO",'caseload data'!$C:$C,'custody caseload'!$B$92,'caseload data'!$B:$B,"custody")</f>
        <v>0</v>
      </c>
      <c r="R96" s="94">
        <f>SUMIFS('caseload data'!T:T,'caseload data'!$D:$D,"TPO",'caseload data'!$C:$C,'custody caseload'!$B$92,'caseload data'!$B:$B,"custody")</f>
        <v>0</v>
      </c>
      <c r="T96" s="97" t="s">
        <v>1008</v>
      </c>
      <c r="U96" s="145">
        <f>SUMIFS('caseload data'!E:E,'caseload data'!$D:$D,"TPO",'caseload data'!$C:$C,'custody caseload'!$T$92,'caseload data'!$B:$B,"custody")</f>
        <v>0</v>
      </c>
      <c r="V96" s="145">
        <f>SUMIFS('caseload data'!F:F,'caseload data'!$D:$D,"TPO",'caseload data'!$C:$C,'custody caseload'!$T$92,'caseload data'!$B:$B,"custody")</f>
        <v>0</v>
      </c>
      <c r="W96" s="145">
        <f>SUMIFS('caseload data'!G:G,'caseload data'!$D:$D,"TPO",'caseload data'!$C:$C,'custody caseload'!$T$92,'caseload data'!$B:$B,"custody")</f>
        <v>0</v>
      </c>
      <c r="X96" s="145">
        <f>SUMIFS('caseload data'!H:H,'caseload data'!$D:$D,"TPO",'caseload data'!$C:$C,'custody caseload'!$T$92,'caseload data'!$B:$B,"custody")</f>
        <v>0</v>
      </c>
      <c r="Y96" s="145">
        <f>SUMIFS('caseload data'!I:I,'caseload data'!$D:$D,"TPO",'caseload data'!$C:$C,'custody caseload'!$T$92,'caseload data'!$B:$B,"custody")</f>
        <v>0</v>
      </c>
      <c r="Z96" s="145">
        <f>SUMIFS('caseload data'!J:J,'caseload data'!$D:$D,"TPO",'caseload data'!$C:$C,'custody caseload'!$T$92,'caseload data'!$B:$B,"custody")</f>
        <v>0</v>
      </c>
      <c r="AA96" s="145">
        <f>SUMIFS('caseload data'!K:K,'caseload data'!$D:$D,"TPO",'caseload data'!$C:$C,'custody caseload'!$T$92,'caseload data'!$B:$B,"custody")</f>
        <v>0</v>
      </c>
      <c r="AB96" s="145">
        <f>SUMIFS('caseload data'!L:L,'caseload data'!$D:$D,"TPO",'caseload data'!$C:$C,'custody caseload'!$T$92,'caseload data'!$B:$B,"custody")</f>
        <v>0</v>
      </c>
      <c r="AC96" s="94">
        <f>SUMIFS('caseload data'!M:M,'caseload data'!$D:$D,"TPO",'caseload data'!$C:$C,'custody caseload'!$T$92,'caseload data'!$B:$B,"custody")</f>
        <v>0</v>
      </c>
      <c r="AD96" s="94">
        <f>SUMIFS('caseload data'!N:N,'caseload data'!$D:$D,"TPO",'caseload data'!$C:$C,'custody caseload'!$T$92,'caseload data'!$B:$B,"custody")</f>
        <v>0</v>
      </c>
      <c r="AE96" s="94">
        <f>SUMIFS('caseload data'!O:O,'caseload data'!$D:$D,"TPO",'caseload data'!$C:$C,'custody caseload'!$T$92,'caseload data'!$B:$B,"custody")</f>
        <v>0</v>
      </c>
      <c r="AF96" s="94">
        <f>SUMIFS('caseload data'!P:P,'caseload data'!$D:$D,"TPO",'caseload data'!$C:$C,'custody caseload'!$T$92,'caseload data'!$B:$B,"custody")</f>
        <v>0</v>
      </c>
      <c r="AG96" s="94">
        <f>SUMIFS('caseload data'!Q:Q,'caseload data'!$D:$D,"TPO",'caseload data'!$C:$C,'custody caseload'!$T$92,'caseload data'!$B:$B,"custody")</f>
        <v>0</v>
      </c>
      <c r="AH96" s="94">
        <f>SUMIFS('caseload data'!R:R,'caseload data'!$D:$D,"TPO",'caseload data'!$C:$C,'custody caseload'!$T$92,'caseload data'!$B:$B,"custody")</f>
        <v>0</v>
      </c>
      <c r="AI96" s="94">
        <f>SUMIFS('caseload data'!S:S,'caseload data'!$D:$D,"TPO",'caseload data'!$C:$C,'custody caseload'!$T$92,'caseload data'!$B:$B,"custody")</f>
        <v>0</v>
      </c>
      <c r="AJ96" s="94">
        <f>SUMIFS('caseload data'!T:T,'caseload data'!$D:$D,"TPO",'caseload data'!$C:$C,'custody caseload'!$T$92,'caseload data'!$B:$B,"custody")</f>
        <v>0</v>
      </c>
    </row>
    <row r="97" spans="2:36" x14ac:dyDescent="0.15">
      <c r="B97" s="98" t="s">
        <v>1009</v>
      </c>
      <c r="C97" s="94">
        <f>SUMIFS('caseload data'!E:E,'caseload data'!$D:$D,"SPO",'caseload data'!$C:$C,'custody caseload'!$B$92,'caseload data'!$B:$B,"custody")</f>
        <v>0</v>
      </c>
      <c r="D97" s="94">
        <f>SUMIFS('caseload data'!F:F,'caseload data'!$D:$D,"SPO",'caseload data'!$C:$C,'custody caseload'!$B$92,'caseload data'!$B:$B,"custody")</f>
        <v>0</v>
      </c>
      <c r="E97" s="94">
        <f>SUMIFS('caseload data'!G:G,'caseload data'!$D:$D,"SPO",'caseload data'!$C:$C,'custody caseload'!$B$92,'caseload data'!$B:$B,"custody")</f>
        <v>0</v>
      </c>
      <c r="F97" s="94">
        <f>SUMIFS('caseload data'!H:H,'caseload data'!$D:$D,"SPO",'caseload data'!$C:$C,'custody caseload'!$B$92,'caseload data'!$B:$B,"custody")</f>
        <v>0</v>
      </c>
      <c r="G97" s="94">
        <f>SUMIFS('caseload data'!I:I,'caseload data'!$D:$D,"SPO",'caseload data'!$C:$C,'custody caseload'!$B$92,'caseload data'!$B:$B,"custody")</f>
        <v>0</v>
      </c>
      <c r="H97" s="94">
        <f>SUMIFS('caseload data'!J:J,'caseload data'!$D:$D,"SPO",'caseload data'!$C:$C,'custody caseload'!$B$92,'caseload data'!$B:$B,"custody")</f>
        <v>0</v>
      </c>
      <c r="I97" s="94">
        <f>SUMIFS('caseload data'!K:K,'caseload data'!$D:$D,"SPO",'caseload data'!$C:$C,'custody caseload'!$B$92,'caseload data'!$B:$B,"custody")</f>
        <v>0</v>
      </c>
      <c r="J97" s="94">
        <f>SUMIFS('caseload data'!L:L,'caseload data'!$D:$D,"SPO",'caseload data'!$C:$C,'custody caseload'!$B$92,'caseload data'!$B:$B,"custody")</f>
        <v>0</v>
      </c>
      <c r="K97" s="94">
        <f>SUMIFS('caseload data'!M:M,'caseload data'!$D:$D,"SPO",'caseload data'!$C:$C,'custody caseload'!$B$92,'caseload data'!$B:$B,"custody")</f>
        <v>0</v>
      </c>
      <c r="L97" s="94">
        <f>SUMIFS('caseload data'!N:N,'caseload data'!$D:$D,"SPO",'caseload data'!$C:$C,'custody caseload'!$B$92,'caseload data'!$B:$B,"custody")</f>
        <v>0</v>
      </c>
      <c r="M97" s="94">
        <f>SUMIFS('caseload data'!O:O,'caseload data'!$D:$D,"SPO",'caseload data'!$C:$C,'custody caseload'!$B$92,'caseload data'!$B:$B,"custody")</f>
        <v>0</v>
      </c>
      <c r="N97" s="94">
        <f>SUMIFS('caseload data'!P:P,'caseload data'!$D:$D,"SPO",'caseload data'!$C:$C,'custody caseload'!$B$92,'caseload data'!$B:$B,"custody")</f>
        <v>0</v>
      </c>
      <c r="O97" s="94">
        <f>SUMIFS('caseload data'!Q:Q,'caseload data'!$D:$D,"SPO",'caseload data'!$C:$C,'custody caseload'!$B$92,'caseload data'!$B:$B,"custody")</f>
        <v>0</v>
      </c>
      <c r="P97" s="94">
        <f>SUMIFS('caseload data'!R:R,'caseload data'!$D:$D,"SPO",'caseload data'!$C:$C,'custody caseload'!$B$92,'caseload data'!$B:$B,"custody")</f>
        <v>0</v>
      </c>
      <c r="Q97" s="94">
        <f>SUMIFS('caseload data'!S:S,'caseload data'!$D:$D,"SPO",'caseload data'!$C:$C,'custody caseload'!$B$92,'caseload data'!$B:$B,"custody")</f>
        <v>0</v>
      </c>
      <c r="R97" s="94">
        <f>SUMIFS('caseload data'!T:T,'caseload data'!$D:$D,"SPO",'caseload data'!$C:$C,'custody caseload'!$B$92,'caseload data'!$B:$B,"custody")</f>
        <v>0</v>
      </c>
      <c r="T97" s="98" t="s">
        <v>1009</v>
      </c>
      <c r="U97" s="94">
        <f>SUMIFS('caseload data'!E:E,'caseload data'!$D:$D,"SPO",'caseload data'!$C:$C,'custody caseload'!$T$92,'caseload data'!$B:$B,"custody")</f>
        <v>0</v>
      </c>
      <c r="V97" s="94">
        <f>SUMIFS('caseload data'!F:F,'caseload data'!$D:$D,"SPO",'caseload data'!$C:$C,'custody caseload'!$T$92,'caseload data'!$B:$B,"custody")</f>
        <v>0</v>
      </c>
      <c r="W97" s="94">
        <f>SUMIFS('caseload data'!G:G,'caseload data'!$D:$D,"SPO",'caseload data'!$C:$C,'custody caseload'!$T$92,'caseload data'!$B:$B,"custody")</f>
        <v>0</v>
      </c>
      <c r="X97" s="94">
        <f>SUMIFS('caseload data'!H:H,'caseload data'!$D:$D,"SPO",'caseload data'!$C:$C,'custody caseload'!$T$92,'caseload data'!$B:$B,"custody")</f>
        <v>0</v>
      </c>
      <c r="Y97" s="94">
        <f>SUMIFS('caseload data'!I:I,'caseload data'!$D:$D,"SPO",'caseload data'!$C:$C,'custody caseload'!$T$92,'caseload data'!$B:$B,"custody")</f>
        <v>0</v>
      </c>
      <c r="Z97" s="94">
        <f>SUMIFS('caseload data'!J:J,'caseload data'!$D:$D,"SPO",'caseload data'!$C:$C,'custody caseload'!$T$92,'caseload data'!$B:$B,"custody")</f>
        <v>0</v>
      </c>
      <c r="AA97" s="94">
        <f>SUMIFS('caseload data'!K:K,'caseload data'!$D:$D,"SPO",'caseload data'!$C:$C,'custody caseload'!$T$92,'caseload data'!$B:$B,"custody")</f>
        <v>0</v>
      </c>
      <c r="AB97" s="94">
        <f>SUMIFS('caseload data'!L:L,'caseload data'!$D:$D,"SPO",'caseload data'!$C:$C,'custody caseload'!$T$92,'caseload data'!$B:$B,"custody")</f>
        <v>0</v>
      </c>
      <c r="AC97" s="94">
        <f>SUMIFS('caseload data'!M:M,'caseload data'!$D:$D,"SPO",'caseload data'!$C:$C,'custody caseload'!$T$92,'caseload data'!$B:$B,"custody")</f>
        <v>0</v>
      </c>
      <c r="AD97" s="94">
        <f>SUMIFS('caseload data'!N:N,'caseload data'!$D:$D,"SPO",'caseload data'!$C:$C,'custody caseload'!$T$92,'caseload data'!$B:$B,"custody")</f>
        <v>0</v>
      </c>
      <c r="AE97" s="94">
        <f>SUMIFS('caseload data'!O:O,'caseload data'!$D:$D,"SPO",'caseload data'!$C:$C,'custody caseload'!$T$92,'caseload data'!$B:$B,"custody")</f>
        <v>0</v>
      </c>
      <c r="AF97" s="94">
        <f>SUMIFS('caseload data'!P:P,'caseload data'!$D:$D,"SPO",'caseload data'!$C:$C,'custody caseload'!$T$92,'caseload data'!$B:$B,"custody")</f>
        <v>0</v>
      </c>
      <c r="AG97" s="94">
        <f>SUMIFS('caseload data'!Q:Q,'caseload data'!$D:$D,"SPO",'caseload data'!$C:$C,'custody caseload'!$T$92,'caseload data'!$B:$B,"custody")</f>
        <v>0</v>
      </c>
      <c r="AH97" s="94">
        <f>SUMIFS('caseload data'!R:R,'caseload data'!$D:$D,"SPO",'caseload data'!$C:$C,'custody caseload'!$T$92,'caseload data'!$B:$B,"custody")</f>
        <v>0</v>
      </c>
      <c r="AI97" s="94">
        <f>SUMIFS('caseload data'!S:S,'caseload data'!$D:$D,"SPO",'caseload data'!$C:$C,'custody caseload'!$T$92,'caseload data'!$B:$B,"custody")</f>
        <v>0</v>
      </c>
      <c r="AJ97" s="94">
        <f>SUMIFS('caseload data'!T:T,'caseload data'!$D:$D,"SPO",'caseload data'!$C:$C,'custody caseload'!$T$92,'caseload data'!$B:$B,"custody")</f>
        <v>0</v>
      </c>
    </row>
    <row r="99" spans="2:36" ht="21.75" customHeight="1" x14ac:dyDescent="0.15">
      <c r="B99" s="142">
        <f>HLOOKUP($B$5,Region_Table,28,0)</f>
        <v>0</v>
      </c>
      <c r="C99" s="523" t="s">
        <v>1131</v>
      </c>
      <c r="D99" s="524"/>
      <c r="E99" s="524"/>
      <c r="F99" s="524"/>
      <c r="G99" s="524"/>
      <c r="H99" s="524"/>
      <c r="I99" s="524"/>
      <c r="J99" s="524"/>
      <c r="K99" s="524"/>
      <c r="L99" s="524"/>
      <c r="M99" s="533"/>
      <c r="N99" s="533"/>
      <c r="O99" s="534"/>
      <c r="P99" s="510">
        <f>SUMIFS('caseload data'!V:V,'caseload data'!B:B,"custody",'caseload data'!$C:$C,'custody caseload'!B99)</f>
        <v>0</v>
      </c>
      <c r="Q99" s="527"/>
      <c r="R99" s="528"/>
      <c r="T99" s="142">
        <f>HLOOKUP($B$5,Region_Table,29,0)</f>
        <v>0</v>
      </c>
      <c r="U99" s="523" t="s">
        <v>1131</v>
      </c>
      <c r="V99" s="524"/>
      <c r="W99" s="524"/>
      <c r="X99" s="524"/>
      <c r="Y99" s="524"/>
      <c r="Z99" s="524"/>
      <c r="AA99" s="524"/>
      <c r="AB99" s="524"/>
      <c r="AC99" s="524"/>
      <c r="AD99" s="524"/>
      <c r="AE99" s="533"/>
      <c r="AF99" s="533"/>
      <c r="AG99" s="534"/>
      <c r="AH99" s="510">
        <f>SUMIFS('caseload data'!V:V,'caseload data'!B:B,"custody",'caseload data'!$C:$C,'custody caseload'!T99)</f>
        <v>0</v>
      </c>
      <c r="AI99" s="527"/>
      <c r="AJ99" s="528"/>
    </row>
    <row r="100" spans="2:36" x14ac:dyDescent="0.15">
      <c r="B100" s="95" t="s">
        <v>1006</v>
      </c>
      <c r="C100" s="38" t="s">
        <v>869</v>
      </c>
      <c r="D100" s="38" t="s">
        <v>870</v>
      </c>
      <c r="E100" s="38" t="s">
        <v>871</v>
      </c>
      <c r="F100" s="38" t="s">
        <v>872</v>
      </c>
      <c r="G100" s="38" t="s">
        <v>873</v>
      </c>
      <c r="H100" s="38" t="s">
        <v>874</v>
      </c>
      <c r="I100" s="38" t="s">
        <v>875</v>
      </c>
      <c r="J100" s="38" t="s">
        <v>876</v>
      </c>
      <c r="K100" s="38" t="s">
        <v>877</v>
      </c>
      <c r="L100" s="38" t="s">
        <v>878</v>
      </c>
      <c r="M100" s="38" t="s">
        <v>879</v>
      </c>
      <c r="N100" s="38" t="s">
        <v>880</v>
      </c>
      <c r="O100" s="38" t="s">
        <v>881</v>
      </c>
      <c r="P100" s="38" t="s">
        <v>882</v>
      </c>
      <c r="Q100" s="38" t="s">
        <v>883</v>
      </c>
      <c r="R100" s="38" t="s">
        <v>884</v>
      </c>
      <c r="T100" s="95" t="s">
        <v>1006</v>
      </c>
      <c r="U100" s="38" t="s">
        <v>869</v>
      </c>
      <c r="V100" s="38" t="s">
        <v>870</v>
      </c>
      <c r="W100" s="38" t="s">
        <v>871</v>
      </c>
      <c r="X100" s="38" t="s">
        <v>872</v>
      </c>
      <c r="Y100" s="38" t="s">
        <v>873</v>
      </c>
      <c r="Z100" s="38" t="s">
        <v>874</v>
      </c>
      <c r="AA100" s="38" t="s">
        <v>875</v>
      </c>
      <c r="AB100" s="38" t="s">
        <v>876</v>
      </c>
      <c r="AC100" s="38" t="s">
        <v>877</v>
      </c>
      <c r="AD100" s="38" t="s">
        <v>878</v>
      </c>
      <c r="AE100" s="38" t="s">
        <v>879</v>
      </c>
      <c r="AF100" s="38" t="s">
        <v>880</v>
      </c>
      <c r="AG100" s="38" t="s">
        <v>881</v>
      </c>
      <c r="AH100" s="38" t="s">
        <v>882</v>
      </c>
      <c r="AI100" s="38" t="s">
        <v>883</v>
      </c>
      <c r="AJ100" s="38" t="s">
        <v>884</v>
      </c>
    </row>
    <row r="101" spans="2:36" x14ac:dyDescent="0.15">
      <c r="B101" s="96" t="s">
        <v>1002</v>
      </c>
      <c r="C101" s="94">
        <f>SUMIFS('caseload data'!E:E,'caseload data'!$D:$D,"PO",'caseload data'!$C:$C,'custody caseload'!$B$99,'caseload data'!$B:$B,"custody")</f>
        <v>0</v>
      </c>
      <c r="D101" s="94">
        <f>SUMIFS('caseload data'!F:F,'caseload data'!$D:$D,"PO",'caseload data'!$C:$C,'custody caseload'!$B$99,'caseload data'!$B:$B,"custody")</f>
        <v>0</v>
      </c>
      <c r="E101" s="94">
        <f>SUMIFS('caseload data'!G:G,'caseload data'!$D:$D,"PO",'caseload data'!$C:$C,'custody caseload'!$B$99,'caseload data'!$B:$B,"custody")</f>
        <v>0</v>
      </c>
      <c r="F101" s="94">
        <f>SUMIFS('caseload data'!H:H,'caseload data'!$D:$D,"PO",'caseload data'!$C:$C,'custody caseload'!$B$99,'caseload data'!$B:$B,"custody")</f>
        <v>0</v>
      </c>
      <c r="G101" s="94">
        <f>SUMIFS('caseload data'!I:I,'caseload data'!$D:$D,"PO",'caseload data'!$C:$C,'custody caseload'!$B$99,'caseload data'!$B:$B,"custody")</f>
        <v>0</v>
      </c>
      <c r="H101" s="94">
        <f>SUMIFS('caseload data'!J:J,'caseload data'!$D:$D,"PO",'caseload data'!$C:$C,'custody caseload'!$B$99,'caseload data'!$B:$B,"custody")</f>
        <v>0</v>
      </c>
      <c r="I101" s="94">
        <f>SUMIFS('caseload data'!K:K,'caseload data'!$D:$D,"PO",'caseload data'!$C:$C,'custody caseload'!$B$99,'caseload data'!$B:$B,"custody")</f>
        <v>0</v>
      </c>
      <c r="J101" s="94">
        <f>SUMIFS('caseload data'!L:L,'caseload data'!$D:$D,"PO",'caseload data'!$C:$C,'custody caseload'!$B$99,'caseload data'!$B:$B,"custody")</f>
        <v>0</v>
      </c>
      <c r="K101" s="94">
        <f>SUMIFS('caseload data'!M:M,'caseload data'!$D:$D,"PO",'caseload data'!$C:$C,'custody caseload'!$B$99,'caseload data'!$B:$B,"custody")</f>
        <v>0</v>
      </c>
      <c r="L101" s="94">
        <f>SUMIFS('caseload data'!N:N,'caseload data'!$D:$D,"PO",'caseload data'!$C:$C,'custody caseload'!$B$99,'caseload data'!$B:$B,"custody")</f>
        <v>0</v>
      </c>
      <c r="M101" s="94">
        <f>SUMIFS('caseload data'!O:O,'caseload data'!$D:$D,"PO",'caseload data'!$C:$C,'custody caseload'!$B$99,'caseload data'!$B:$B,"custody")</f>
        <v>0</v>
      </c>
      <c r="N101" s="94">
        <f>SUMIFS('caseload data'!P:P,'caseload data'!$D:$D,"PO",'caseload data'!$C:$C,'custody caseload'!$B$99,'caseload data'!$B:$B,"custody")</f>
        <v>0</v>
      </c>
      <c r="O101" s="94">
        <f>SUMIFS('caseload data'!Q:Q,'caseload data'!$D:$D,"PO",'caseload data'!$C:$C,'custody caseload'!$B$99,'caseload data'!$B:$B,"custody")</f>
        <v>0</v>
      </c>
      <c r="P101" s="94">
        <f>SUMIFS('caseload data'!R:R,'caseload data'!$D:$D,"PO",'caseload data'!$C:$C,'custody caseload'!$B$99,'caseload data'!$B:$B,"custody")</f>
        <v>0</v>
      </c>
      <c r="Q101" s="94">
        <f>SUMIFS('caseload data'!S:S,'caseload data'!$D:$D,"PO",'caseload data'!$C:$C,'custody caseload'!$B$99,'caseload data'!$B:$B,"custody")</f>
        <v>0</v>
      </c>
      <c r="R101" s="94">
        <f>SUMIFS('caseload data'!T:T,'caseload data'!$D:$D,"PO",'caseload data'!$C:$C,'custody caseload'!$B$99,'caseload data'!$B:$B,"custody")</f>
        <v>0</v>
      </c>
      <c r="T101" s="96" t="s">
        <v>1002</v>
      </c>
      <c r="U101" s="94">
        <f>SUMIFS('caseload data'!E:E,'caseload data'!$D:$D,"PO",'caseload data'!$C:$C,'custody caseload'!$T$99,'caseload data'!$B:$B,"custody")</f>
        <v>0</v>
      </c>
      <c r="V101" s="94">
        <f>SUMIFS('caseload data'!F:F,'caseload data'!$D:$D,"PO",'caseload data'!$C:$C,'custody caseload'!$T$99,'caseload data'!$B:$B,"custody")</f>
        <v>0</v>
      </c>
      <c r="W101" s="94">
        <f>SUMIFS('caseload data'!G:G,'caseload data'!$D:$D,"PO",'caseload data'!$C:$C,'custody caseload'!$T$99,'caseload data'!$B:$B,"custody")</f>
        <v>0</v>
      </c>
      <c r="X101" s="94">
        <f>SUMIFS('caseload data'!H:H,'caseload data'!$D:$D,"PO",'caseload data'!$C:$C,'custody caseload'!$T$99,'caseload data'!$B:$B,"custody")</f>
        <v>0</v>
      </c>
      <c r="Y101" s="94">
        <f>SUMIFS('caseload data'!I:I,'caseload data'!$D:$D,"PO",'caseload data'!$C:$C,'custody caseload'!$T$99,'caseload data'!$B:$B,"custody")</f>
        <v>0</v>
      </c>
      <c r="Z101" s="94">
        <f>SUMIFS('caseload data'!J:J,'caseload data'!$D:$D,"PO",'caseload data'!$C:$C,'custody caseload'!$T$99,'caseload data'!$B:$B,"custody")</f>
        <v>0</v>
      </c>
      <c r="AA101" s="94">
        <f>SUMIFS('caseload data'!K:K,'caseload data'!$D:$D,"PO",'caseload data'!$C:$C,'custody caseload'!$T$99,'caseload data'!$B:$B,"custody")</f>
        <v>0</v>
      </c>
      <c r="AB101" s="94">
        <f>SUMIFS('caseload data'!L:L,'caseload data'!$D:$D,"PO",'caseload data'!$C:$C,'custody caseload'!$T$99,'caseload data'!$B:$B,"custody")</f>
        <v>0</v>
      </c>
      <c r="AC101" s="94">
        <f>SUMIFS('caseload data'!M:M,'caseload data'!$D:$D,"PO",'caseload data'!$C:$C,'custody caseload'!$T$99,'caseload data'!$B:$B,"custody")</f>
        <v>0</v>
      </c>
      <c r="AD101" s="94">
        <f>SUMIFS('caseload data'!N:N,'caseload data'!$D:$D,"PO",'caseload data'!$C:$C,'custody caseload'!$T$99,'caseload data'!$B:$B,"custody")</f>
        <v>0</v>
      </c>
      <c r="AE101" s="94">
        <f>SUMIFS('caseload data'!O:O,'caseload data'!$D:$D,"PO",'caseload data'!$C:$C,'custody caseload'!$T$99,'caseload data'!$B:$B,"custody")</f>
        <v>0</v>
      </c>
      <c r="AF101" s="94">
        <f>SUMIFS('caseload data'!P:P,'caseload data'!$D:$D,"PO",'caseload data'!$C:$C,'custody caseload'!$T$99,'caseload data'!$B:$B,"custody")</f>
        <v>0</v>
      </c>
      <c r="AG101" s="94">
        <f>SUMIFS('caseload data'!Q:Q,'caseload data'!$D:$D,"PO",'caseload data'!$C:$C,'custody caseload'!$T$99,'caseload data'!$B:$B,"custody")</f>
        <v>0</v>
      </c>
      <c r="AH101" s="94">
        <f>SUMIFS('caseload data'!R:R,'caseload data'!$D:$D,"PO",'caseload data'!$C:$C,'custody caseload'!$T$99,'caseload data'!$B:$B,"custody")</f>
        <v>0</v>
      </c>
      <c r="AI101" s="94">
        <f>SUMIFS('caseload data'!S:S,'caseload data'!$D:$D,"PO",'caseload data'!$C:$C,'custody caseload'!$T$99,'caseload data'!$B:$B,"custody")</f>
        <v>0</v>
      </c>
      <c r="AJ101" s="94">
        <f>SUMIFS('caseload data'!T:T,'caseload data'!$D:$D,"PO",'caseload data'!$C:$C,'custody caseload'!$T$99,'caseload data'!$B:$B,"custody")</f>
        <v>0</v>
      </c>
    </row>
    <row r="102" spans="2:36" ht="15" x14ac:dyDescent="0.2">
      <c r="B102" s="97" t="s">
        <v>1007</v>
      </c>
      <c r="C102" s="145">
        <f>SUMIFS('caseload data'!E:E,'caseload data'!$D:$D,"PSO",'caseload data'!$C:$C,'custody caseload'!$B$99,'caseload data'!$B:$B,"custody")</f>
        <v>0</v>
      </c>
      <c r="D102" s="145">
        <f>SUMIFS('caseload data'!F:F,'caseload data'!$D:$D,"PSO",'caseload data'!$C:$C,'custody caseload'!$B$99,'caseload data'!$B:$B,"custody")</f>
        <v>0</v>
      </c>
      <c r="E102" s="145">
        <f>SUMIFS('caseload data'!G:G,'caseload data'!$D:$D,"PSO",'caseload data'!$C:$C,'custody caseload'!$B$99,'caseload data'!$B:$B,"custody")</f>
        <v>0</v>
      </c>
      <c r="F102" s="145">
        <f>SUMIFS('caseload data'!H:H,'caseload data'!$D:$D,"PSO",'caseload data'!$C:$C,'custody caseload'!$B$99,'caseload data'!$B:$B,"custody")</f>
        <v>0</v>
      </c>
      <c r="G102" s="145">
        <f>SUMIFS('caseload data'!I:I,'caseload data'!$D:$D,"PSO",'caseload data'!$C:$C,'custody caseload'!$B$99,'caseload data'!$B:$B,"custody")</f>
        <v>0</v>
      </c>
      <c r="H102" s="145">
        <f>SUMIFS('caseload data'!J:J,'caseload data'!$D:$D,"PSO",'caseload data'!$C:$C,'custody caseload'!$B$99,'caseload data'!$B:$B,"custody")</f>
        <v>0</v>
      </c>
      <c r="I102" s="145">
        <f>SUMIFS('caseload data'!K:K,'caseload data'!$D:$D,"PSO",'caseload data'!$C:$C,'custody caseload'!$B$99,'caseload data'!$B:$B,"custody")</f>
        <v>0</v>
      </c>
      <c r="J102" s="145">
        <f>SUMIFS('caseload data'!L:L,'caseload data'!$D:$D,"PSO",'caseload data'!$C:$C,'custody caseload'!$B$99,'caseload data'!$B:$B,"custody")</f>
        <v>0</v>
      </c>
      <c r="K102" s="94">
        <f>SUMIFS('caseload data'!M:M,'caseload data'!$D:$D,"PSO",'caseload data'!$C:$C,'custody caseload'!$B$99,'caseload data'!$B:$B,"custody")</f>
        <v>0</v>
      </c>
      <c r="L102" s="94">
        <f>SUMIFS('caseload data'!N:N,'caseload data'!$D:$D,"PSO",'caseload data'!$C:$C,'custody caseload'!$B$99,'caseload data'!$B:$B,"custody")</f>
        <v>0</v>
      </c>
      <c r="M102" s="94">
        <f>SUMIFS('caseload data'!O:O,'caseload data'!$D:$D,"PSO",'caseload data'!$C:$C,'custody caseload'!$B$99,'caseload data'!$B:$B,"custody")</f>
        <v>0</v>
      </c>
      <c r="N102" s="94">
        <f>SUMIFS('caseload data'!P:P,'caseload data'!$D:$D,"PSO",'caseload data'!$C:$C,'custody caseload'!$B$99,'caseload data'!$B:$B,"custody")</f>
        <v>0</v>
      </c>
      <c r="O102" s="94">
        <f>SUMIFS('caseload data'!Q:Q,'caseload data'!$D:$D,"PSO",'caseload data'!$C:$C,'custody caseload'!$B$99,'caseload data'!$B:$B,"custody")</f>
        <v>0</v>
      </c>
      <c r="P102" s="94">
        <f>SUMIFS('caseload data'!R:R,'caseload data'!$D:$D,"PSO",'caseload data'!$C:$C,'custody caseload'!$B$99,'caseload data'!$B:$B,"custody")</f>
        <v>0</v>
      </c>
      <c r="Q102" s="94">
        <f>SUMIFS('caseload data'!S:S,'caseload data'!$D:$D,"PSO",'caseload data'!$C:$C,'custody caseload'!$B$99,'caseload data'!$B:$B,"custody")</f>
        <v>0</v>
      </c>
      <c r="R102" s="94">
        <f>SUMIFS('caseload data'!T:T,'caseload data'!$D:$D,"PSO",'caseload data'!$C:$C,'custody caseload'!$B$99,'caseload data'!$B:$B,"custody")</f>
        <v>0</v>
      </c>
      <c r="T102" s="97" t="s">
        <v>1007</v>
      </c>
      <c r="U102" s="145">
        <f>SUMIFS('caseload data'!E:E,'caseload data'!$D:$D,"PSO",'caseload data'!$C:$C,'custody caseload'!$T$99,'caseload data'!$B:$B,"custody")</f>
        <v>0</v>
      </c>
      <c r="V102" s="145">
        <f>SUMIFS('caseload data'!F:F,'caseload data'!$D:$D,"PSO",'caseload data'!$C:$C,'custody caseload'!$T$99,'caseload data'!$B:$B,"custody")</f>
        <v>0</v>
      </c>
      <c r="W102" s="145">
        <f>SUMIFS('caseload data'!G:G,'caseload data'!$D:$D,"PSO",'caseload data'!$C:$C,'custody caseload'!$T$99,'caseload data'!$B:$B,"custody")</f>
        <v>0</v>
      </c>
      <c r="X102" s="145">
        <f>SUMIFS('caseload data'!H:H,'caseload data'!$D:$D,"PSO",'caseload data'!$C:$C,'custody caseload'!$T$99,'caseload data'!$B:$B,"custody")</f>
        <v>0</v>
      </c>
      <c r="Y102" s="145">
        <f>SUMIFS('caseload data'!I:I,'caseload data'!$D:$D,"PSO",'caseload data'!$C:$C,'custody caseload'!$T$99,'caseload data'!$B:$B,"custody")</f>
        <v>0</v>
      </c>
      <c r="Z102" s="145">
        <f>SUMIFS('caseload data'!J:J,'caseload data'!$D:$D,"PSO",'caseload data'!$C:$C,'custody caseload'!$T$99,'caseload data'!$B:$B,"custody")</f>
        <v>0</v>
      </c>
      <c r="AA102" s="145">
        <f>SUMIFS('caseload data'!K:K,'caseload data'!$D:$D,"PSO",'caseload data'!$C:$C,'custody caseload'!$T$99,'caseload data'!$B:$B,"custody")</f>
        <v>0</v>
      </c>
      <c r="AB102" s="145">
        <f>SUMIFS('caseload data'!L:L,'caseload data'!$D:$D,"PSO",'caseload data'!$C:$C,'custody caseload'!$T$99,'caseload data'!$B:$B,"custody")</f>
        <v>0</v>
      </c>
      <c r="AC102" s="94">
        <f>SUMIFS('caseload data'!M:M,'caseload data'!$D:$D,"PSO",'caseload data'!$C:$C,'custody caseload'!$T$99,'caseload data'!$B:$B,"custody")</f>
        <v>0</v>
      </c>
      <c r="AD102" s="94">
        <f>SUMIFS('caseload data'!N:N,'caseload data'!$D:$D,"PSO",'caseload data'!$C:$C,'custody caseload'!$T$99,'caseload data'!$B:$B,"custody")</f>
        <v>0</v>
      </c>
      <c r="AE102" s="94">
        <f>SUMIFS('caseload data'!O:O,'caseload data'!$D:$D,"PSO",'caseload data'!$C:$C,'custody caseload'!$T$99,'caseload data'!$B:$B,"custody")</f>
        <v>0</v>
      </c>
      <c r="AF102" s="94">
        <f>SUMIFS('caseload data'!P:P,'caseload data'!$D:$D,"PSO",'caseload data'!$C:$C,'custody caseload'!$T$99,'caseload data'!$B:$B,"custody")</f>
        <v>0</v>
      </c>
      <c r="AG102" s="94">
        <f>SUMIFS('caseload data'!Q:Q,'caseload data'!$D:$D,"PSO",'caseload data'!$C:$C,'custody caseload'!$T$99,'caseload data'!$B:$B,"custody")</f>
        <v>0</v>
      </c>
      <c r="AH102" s="94">
        <f>SUMIFS('caseload data'!R:R,'caseload data'!$D:$D,"PSO",'caseload data'!$C:$C,'custody caseload'!$T$99,'caseload data'!$B:$B,"custody")</f>
        <v>0</v>
      </c>
      <c r="AI102" s="94">
        <f>SUMIFS('caseload data'!S:S,'caseload data'!$D:$D,"PSO",'caseload data'!$C:$C,'custody caseload'!$T$99,'caseload data'!$B:$B,"custody")</f>
        <v>0</v>
      </c>
      <c r="AJ102" s="94">
        <f>SUMIFS('caseload data'!T:T,'caseload data'!$D:$D,"PSO",'caseload data'!$C:$C,'custody caseload'!$T$99,'caseload data'!$B:$B,"custody")</f>
        <v>0</v>
      </c>
    </row>
    <row r="103" spans="2:36" ht="15" x14ac:dyDescent="0.2">
      <c r="B103" s="97" t="s">
        <v>1008</v>
      </c>
      <c r="C103" s="145">
        <f>SUMIFS('caseload data'!E:E,'caseload data'!$D:$D,"TPO",'caseload data'!$C:$C,'custody caseload'!$B$99,'caseload data'!$B:$B,"custody")</f>
        <v>0</v>
      </c>
      <c r="D103" s="145">
        <f>SUMIFS('caseload data'!F:F,'caseload data'!$D:$D,"TPO",'caseload data'!$C:$C,'custody caseload'!$B$99,'caseload data'!$B:$B,"custody")</f>
        <v>0</v>
      </c>
      <c r="E103" s="145">
        <f>SUMIFS('caseload data'!G:G,'caseload data'!$D:$D,"TPO",'caseload data'!$C:$C,'custody caseload'!$B$99,'caseload data'!$B:$B,"custody")</f>
        <v>0</v>
      </c>
      <c r="F103" s="145">
        <f>SUMIFS('caseload data'!H:H,'caseload data'!$D:$D,"TPO",'caseload data'!$C:$C,'custody caseload'!$B$99,'caseload data'!$B:$B,"custody")</f>
        <v>0</v>
      </c>
      <c r="G103" s="145">
        <f>SUMIFS('caseload data'!I:I,'caseload data'!$D:$D,"TPO",'caseload data'!$C:$C,'custody caseload'!$B$99,'caseload data'!$B:$B,"custody")</f>
        <v>0</v>
      </c>
      <c r="H103" s="145">
        <f>SUMIFS('caseload data'!J:J,'caseload data'!$D:$D,"TPO",'caseload data'!$C:$C,'custody caseload'!$B$99,'caseload data'!$B:$B,"custody")</f>
        <v>0</v>
      </c>
      <c r="I103" s="145">
        <f>SUMIFS('caseload data'!K:K,'caseload data'!$D:$D,"TPO",'caseload data'!$C:$C,'custody caseload'!$B$99,'caseload data'!$B:$B,"custody")</f>
        <v>0</v>
      </c>
      <c r="J103" s="145">
        <f>SUMIFS('caseload data'!L:L,'caseload data'!$D:$D,"TPO",'caseload data'!$C:$C,'custody caseload'!$B$99,'caseload data'!$B:$B,"custody")</f>
        <v>0</v>
      </c>
      <c r="K103" s="94">
        <f>SUMIFS('caseload data'!M:M,'caseload data'!$D:$D,"TPO",'caseload data'!$C:$C,'custody caseload'!$B$99,'caseload data'!$B:$B,"custody")</f>
        <v>0</v>
      </c>
      <c r="L103" s="94">
        <f>SUMIFS('caseload data'!N:N,'caseload data'!$D:$D,"TPO",'caseload data'!$C:$C,'custody caseload'!$B$99,'caseload data'!$B:$B,"custody")</f>
        <v>0</v>
      </c>
      <c r="M103" s="94">
        <f>SUMIFS('caseload data'!O:O,'caseload data'!$D:$D,"TPO",'caseload data'!$C:$C,'custody caseload'!$B$99,'caseload data'!$B:$B,"custody")</f>
        <v>0</v>
      </c>
      <c r="N103" s="94">
        <f>SUMIFS('caseload data'!P:P,'caseload data'!$D:$D,"TPO",'caseload data'!$C:$C,'custody caseload'!$B$99,'caseload data'!$B:$B,"custody")</f>
        <v>0</v>
      </c>
      <c r="O103" s="94">
        <f>SUMIFS('caseload data'!Q:Q,'caseload data'!$D:$D,"TPO",'caseload data'!$C:$C,'custody caseload'!$B$99,'caseload data'!$B:$B,"custody")</f>
        <v>0</v>
      </c>
      <c r="P103" s="94">
        <f>SUMIFS('caseload data'!R:R,'caseload data'!$D:$D,"TPO",'caseload data'!$C:$C,'custody caseload'!$B$99,'caseload data'!$B:$B,"custody")</f>
        <v>0</v>
      </c>
      <c r="Q103" s="94">
        <f>SUMIFS('caseload data'!S:S,'caseload data'!$D:$D,"TPO",'caseload data'!$C:$C,'custody caseload'!$B$99,'caseload data'!$B:$B,"custody")</f>
        <v>0</v>
      </c>
      <c r="R103" s="94">
        <f>SUMIFS('caseload data'!T:T,'caseload data'!$D:$D,"TPO",'caseload data'!$C:$C,'custody caseload'!$B$99,'caseload data'!$B:$B,"custody")</f>
        <v>0</v>
      </c>
      <c r="T103" s="97" t="s">
        <v>1008</v>
      </c>
      <c r="U103" s="145">
        <f>SUMIFS('caseload data'!E:E,'caseload data'!$D:$D,"TPO",'caseload data'!$C:$C,'custody caseload'!$T$99,'caseload data'!$B:$B,"custody")</f>
        <v>0</v>
      </c>
      <c r="V103" s="145">
        <f>SUMIFS('caseload data'!F:F,'caseload data'!$D:$D,"TPO",'caseload data'!$C:$C,'custody caseload'!$T$99,'caseload data'!$B:$B,"custody")</f>
        <v>0</v>
      </c>
      <c r="W103" s="145">
        <f>SUMIFS('caseload data'!G:G,'caseload data'!$D:$D,"TPO",'caseload data'!$C:$C,'custody caseload'!$T$99,'caseload data'!$B:$B,"custody")</f>
        <v>0</v>
      </c>
      <c r="X103" s="145">
        <f>SUMIFS('caseload data'!H:H,'caseload data'!$D:$D,"TPO",'caseload data'!$C:$C,'custody caseload'!$T$99,'caseload data'!$B:$B,"custody")</f>
        <v>0</v>
      </c>
      <c r="Y103" s="145">
        <f>SUMIFS('caseload data'!I:I,'caseload data'!$D:$D,"TPO",'caseload data'!$C:$C,'custody caseload'!$T$99,'caseload data'!$B:$B,"custody")</f>
        <v>0</v>
      </c>
      <c r="Z103" s="145">
        <f>SUMIFS('caseload data'!J:J,'caseload data'!$D:$D,"TPO",'caseload data'!$C:$C,'custody caseload'!$T$99,'caseload data'!$B:$B,"custody")</f>
        <v>0</v>
      </c>
      <c r="AA103" s="145">
        <f>SUMIFS('caseload data'!K:K,'caseload data'!$D:$D,"TPO",'caseload data'!$C:$C,'custody caseload'!$T$99,'caseload data'!$B:$B,"custody")</f>
        <v>0</v>
      </c>
      <c r="AB103" s="145">
        <f>SUMIFS('caseload data'!L:L,'caseload data'!$D:$D,"TPO",'caseload data'!$C:$C,'custody caseload'!$T$99,'caseload data'!$B:$B,"custody")</f>
        <v>0</v>
      </c>
      <c r="AC103" s="94">
        <f>SUMIFS('caseload data'!M:M,'caseload data'!$D:$D,"TPO",'caseload data'!$C:$C,'custody caseload'!$T$99,'caseload data'!$B:$B,"custody")</f>
        <v>0</v>
      </c>
      <c r="AD103" s="94">
        <f>SUMIFS('caseload data'!N:N,'caseload data'!$D:$D,"TPO",'caseload data'!$C:$C,'custody caseload'!$T$99,'caseload data'!$B:$B,"custody")</f>
        <v>0</v>
      </c>
      <c r="AE103" s="94">
        <f>SUMIFS('caseload data'!O:O,'caseload data'!$D:$D,"TPO",'caseload data'!$C:$C,'custody caseload'!$T$99,'caseload data'!$B:$B,"custody")</f>
        <v>0</v>
      </c>
      <c r="AF103" s="94">
        <f>SUMIFS('caseload data'!P:P,'caseload data'!$D:$D,"TPO",'caseload data'!$C:$C,'custody caseload'!$T$99,'caseload data'!$B:$B,"custody")</f>
        <v>0</v>
      </c>
      <c r="AG103" s="94">
        <f>SUMIFS('caseload data'!Q:Q,'caseload data'!$D:$D,"TPO",'caseload data'!$C:$C,'custody caseload'!$T$99,'caseload data'!$B:$B,"custody")</f>
        <v>0</v>
      </c>
      <c r="AH103" s="94">
        <f>SUMIFS('caseload data'!R:R,'caseload data'!$D:$D,"TPO",'caseload data'!$C:$C,'custody caseload'!$T$99,'caseload data'!$B:$B,"custody")</f>
        <v>0</v>
      </c>
      <c r="AI103" s="94">
        <f>SUMIFS('caseload data'!S:S,'caseload data'!$D:$D,"TPO",'caseload data'!$C:$C,'custody caseload'!$T$99,'caseload data'!$B:$B,"custody")</f>
        <v>0</v>
      </c>
      <c r="AJ103" s="94">
        <f>SUMIFS('caseload data'!T:T,'caseload data'!$D:$D,"TPO",'caseload data'!$C:$C,'custody caseload'!$T$99,'caseload data'!$B:$B,"custody")</f>
        <v>0</v>
      </c>
    </row>
    <row r="104" spans="2:36" x14ac:dyDescent="0.15">
      <c r="B104" s="98" t="s">
        <v>1009</v>
      </c>
      <c r="C104" s="94">
        <f>SUMIFS('caseload data'!E:E,'caseload data'!$D:$D,"SPO",'caseload data'!$C:$C,'custody caseload'!$B$99,'caseload data'!$B:$B,"custody")</f>
        <v>0</v>
      </c>
      <c r="D104" s="94">
        <f>SUMIFS('caseload data'!F:F,'caseload data'!$D:$D,"SPO",'caseload data'!$C:$C,'custody caseload'!$B$99,'caseload data'!$B:$B,"custody")</f>
        <v>0</v>
      </c>
      <c r="E104" s="94">
        <f>SUMIFS('caseload data'!G:G,'caseload data'!$D:$D,"SPO",'caseload data'!$C:$C,'custody caseload'!$B$99,'caseload data'!$B:$B,"custody")</f>
        <v>0</v>
      </c>
      <c r="F104" s="94">
        <f>SUMIFS('caseload data'!H:H,'caseload data'!$D:$D,"SPO",'caseload data'!$C:$C,'custody caseload'!$B$99,'caseload data'!$B:$B,"custody")</f>
        <v>0</v>
      </c>
      <c r="G104" s="94">
        <f>SUMIFS('caseload data'!I:I,'caseload data'!$D:$D,"SPO",'caseload data'!$C:$C,'custody caseload'!$B$99,'caseload data'!$B:$B,"custody")</f>
        <v>0</v>
      </c>
      <c r="H104" s="94">
        <f>SUMIFS('caseload data'!J:J,'caseload data'!$D:$D,"SPO",'caseload data'!$C:$C,'custody caseload'!$B$99,'caseload data'!$B:$B,"custody")</f>
        <v>0</v>
      </c>
      <c r="I104" s="94">
        <f>SUMIFS('caseload data'!K:K,'caseload data'!$D:$D,"SPO",'caseload data'!$C:$C,'custody caseload'!$B$99,'caseload data'!$B:$B,"custody")</f>
        <v>0</v>
      </c>
      <c r="J104" s="94">
        <f>SUMIFS('caseload data'!L:L,'caseload data'!$D:$D,"SPO",'caseload data'!$C:$C,'custody caseload'!$B$99,'caseload data'!$B:$B,"custody")</f>
        <v>0</v>
      </c>
      <c r="K104" s="94">
        <f>SUMIFS('caseload data'!M:M,'caseload data'!$D:$D,"SPO",'caseload data'!$C:$C,'custody caseload'!$B$99,'caseload data'!$B:$B,"custody")</f>
        <v>0</v>
      </c>
      <c r="L104" s="94">
        <f>SUMIFS('caseload data'!N:N,'caseload data'!$D:$D,"SPO",'caseload data'!$C:$C,'custody caseload'!$B$99,'caseload data'!$B:$B,"custody")</f>
        <v>0</v>
      </c>
      <c r="M104" s="94">
        <f>SUMIFS('caseload data'!O:O,'caseload data'!$D:$D,"SPO",'caseload data'!$C:$C,'custody caseload'!$B$99,'caseload data'!$B:$B,"custody")</f>
        <v>0</v>
      </c>
      <c r="N104" s="94">
        <f>SUMIFS('caseload data'!P:P,'caseload data'!$D:$D,"SPO",'caseload data'!$C:$C,'custody caseload'!$B$99,'caseload data'!$B:$B,"custody")</f>
        <v>0</v>
      </c>
      <c r="O104" s="94">
        <f>SUMIFS('caseload data'!Q:Q,'caseload data'!$D:$D,"SPO",'caseload data'!$C:$C,'custody caseload'!$B$99,'caseload data'!$B:$B,"custody")</f>
        <v>0</v>
      </c>
      <c r="P104" s="94">
        <f>SUMIFS('caseload data'!R:R,'caseload data'!$D:$D,"SPO",'caseload data'!$C:$C,'custody caseload'!$B$99,'caseload data'!$B:$B,"custody")</f>
        <v>0</v>
      </c>
      <c r="Q104" s="94">
        <f>SUMIFS('caseload data'!S:S,'caseload data'!$D:$D,"SPO",'caseload data'!$C:$C,'custody caseload'!$B$99,'caseload data'!$B:$B,"custody")</f>
        <v>0</v>
      </c>
      <c r="R104" s="94">
        <f>SUMIFS('caseload data'!T:T,'caseload data'!$D:$D,"SPO",'caseload data'!$C:$C,'custody caseload'!$B$99,'caseload data'!$B:$B,"custody")</f>
        <v>0</v>
      </c>
      <c r="T104" s="98" t="s">
        <v>1009</v>
      </c>
      <c r="U104" s="94">
        <f>SUMIFS('caseload data'!E:E,'caseload data'!$D:$D,"SPO",'caseload data'!$C:$C,'custody caseload'!$T$99,'caseload data'!$B:$B,"custody")</f>
        <v>0</v>
      </c>
      <c r="V104" s="94">
        <f>SUMIFS('caseload data'!F:F,'caseload data'!$D:$D,"SPO",'caseload data'!$C:$C,'custody caseload'!$T$99,'caseload data'!$B:$B,"custody")</f>
        <v>0</v>
      </c>
      <c r="W104" s="94">
        <f>SUMIFS('caseload data'!G:G,'caseload data'!$D:$D,"SPO",'caseload data'!$C:$C,'custody caseload'!$T$99,'caseload data'!$B:$B,"custody")</f>
        <v>0</v>
      </c>
      <c r="X104" s="94">
        <f>SUMIFS('caseload data'!H:H,'caseload data'!$D:$D,"SPO",'caseload data'!$C:$C,'custody caseload'!$T$99,'caseload data'!$B:$B,"custody")</f>
        <v>0</v>
      </c>
      <c r="Y104" s="94">
        <f>SUMIFS('caseload data'!I:I,'caseload data'!$D:$D,"SPO",'caseload data'!$C:$C,'custody caseload'!$T$99,'caseload data'!$B:$B,"custody")</f>
        <v>0</v>
      </c>
      <c r="Z104" s="94">
        <f>SUMIFS('caseload data'!J:J,'caseload data'!$D:$D,"SPO",'caseload data'!$C:$C,'custody caseload'!$T$99,'caseload data'!$B:$B,"custody")</f>
        <v>0</v>
      </c>
      <c r="AA104" s="94">
        <f>SUMIFS('caseload data'!K:K,'caseload data'!$D:$D,"SPO",'caseload data'!$C:$C,'custody caseload'!$T$99,'caseload data'!$B:$B,"custody")</f>
        <v>0</v>
      </c>
      <c r="AB104" s="94">
        <f>SUMIFS('caseload data'!L:L,'caseload data'!$D:$D,"SPO",'caseload data'!$C:$C,'custody caseload'!$T$99,'caseload data'!$B:$B,"custody")</f>
        <v>0</v>
      </c>
      <c r="AC104" s="94">
        <f>SUMIFS('caseload data'!M:M,'caseload data'!$D:$D,"SPO",'caseload data'!$C:$C,'custody caseload'!$T$99,'caseload data'!$B:$B,"custody")</f>
        <v>0</v>
      </c>
      <c r="AD104" s="94">
        <f>SUMIFS('caseload data'!N:N,'caseload data'!$D:$D,"SPO",'caseload data'!$C:$C,'custody caseload'!$T$99,'caseload data'!$B:$B,"custody")</f>
        <v>0</v>
      </c>
      <c r="AE104" s="94">
        <f>SUMIFS('caseload data'!O:O,'caseload data'!$D:$D,"SPO",'caseload data'!$C:$C,'custody caseload'!$T$99,'caseload data'!$B:$B,"custody")</f>
        <v>0</v>
      </c>
      <c r="AF104" s="94">
        <f>SUMIFS('caseload data'!P:P,'caseload data'!$D:$D,"SPO",'caseload data'!$C:$C,'custody caseload'!$T$99,'caseload data'!$B:$B,"custody")</f>
        <v>0</v>
      </c>
      <c r="AG104" s="94">
        <f>SUMIFS('caseload data'!Q:Q,'caseload data'!$D:$D,"SPO",'caseload data'!$C:$C,'custody caseload'!$T$99,'caseload data'!$B:$B,"custody")</f>
        <v>0</v>
      </c>
      <c r="AH104" s="94">
        <f>SUMIFS('caseload data'!R:R,'caseload data'!$D:$D,"SPO",'caseload data'!$C:$C,'custody caseload'!$T$99,'caseload data'!$B:$B,"custody")</f>
        <v>0</v>
      </c>
      <c r="AI104" s="94">
        <f>SUMIFS('caseload data'!S:S,'caseload data'!$D:$D,"SPO",'caseload data'!$C:$C,'custody caseload'!$T$99,'caseload data'!$B:$B,"custody")</f>
        <v>0</v>
      </c>
      <c r="AJ104" s="94">
        <f>SUMIFS('caseload data'!T:T,'caseload data'!$D:$D,"SPO",'caseload data'!$C:$C,'custody caseload'!$T$99,'caseload data'!$B:$B,"custody")</f>
        <v>0</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71:O71"/>
    <mergeCell ref="P71:R71"/>
    <mergeCell ref="C64:O64"/>
    <mergeCell ref="P64:R64"/>
    <mergeCell ref="U64:AG64"/>
    <mergeCell ref="AH64:AJ64"/>
    <mergeCell ref="C57:O57"/>
    <mergeCell ref="P57:R57"/>
    <mergeCell ref="U57:AG57"/>
    <mergeCell ref="AH57:AJ57"/>
    <mergeCell ref="C43:O43"/>
    <mergeCell ref="P43:R43"/>
    <mergeCell ref="U43:AG43"/>
    <mergeCell ref="AH43:AJ43"/>
    <mergeCell ref="C50:O50"/>
    <mergeCell ref="P50:R50"/>
    <mergeCell ref="U50:AG50"/>
    <mergeCell ref="AH50:AJ50"/>
    <mergeCell ref="C29:O29"/>
    <mergeCell ref="P29:R29"/>
    <mergeCell ref="U29:AG29"/>
    <mergeCell ref="AH29:AJ29"/>
    <mergeCell ref="C36:O36"/>
    <mergeCell ref="P36:R36"/>
    <mergeCell ref="U36:AG36"/>
    <mergeCell ref="AH36:AJ36"/>
    <mergeCell ref="C15:O15"/>
    <mergeCell ref="P15:R15"/>
    <mergeCell ref="U15:AG15"/>
    <mergeCell ref="AH15:AJ15"/>
    <mergeCell ref="C22:O22"/>
    <mergeCell ref="P22:R22"/>
    <mergeCell ref="U22:AG22"/>
    <mergeCell ref="AH22:AJ22"/>
    <mergeCell ref="C8:O8"/>
    <mergeCell ref="P8:R8"/>
    <mergeCell ref="U8:AG8"/>
    <mergeCell ref="AH8:AJ8"/>
    <mergeCell ref="A1:AJ1"/>
    <mergeCell ref="B2:AJ2"/>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activeCell="C10" sqref="C10"/>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531" t="s">
        <v>1133</v>
      </c>
      <c r="B1" s="531"/>
      <c r="C1" s="531"/>
      <c r="D1" s="531"/>
      <c r="E1" s="531"/>
      <c r="F1" s="531"/>
      <c r="G1" s="531"/>
      <c r="H1" s="531"/>
      <c r="I1" s="531"/>
      <c r="J1" s="531"/>
      <c r="K1" s="531"/>
      <c r="L1" s="531"/>
      <c r="M1" s="531"/>
      <c r="N1" s="531"/>
      <c r="O1" s="531"/>
      <c r="P1" s="531"/>
      <c r="Q1" s="531"/>
      <c r="R1" s="531"/>
      <c r="S1" s="531"/>
      <c r="T1" s="531"/>
      <c r="U1" s="531"/>
      <c r="V1" s="531"/>
      <c r="W1" s="531"/>
      <c r="X1" s="531"/>
      <c r="Y1" s="531"/>
      <c r="Z1" s="531"/>
      <c r="AA1" s="531"/>
      <c r="AB1" s="531"/>
      <c r="AC1" s="531"/>
      <c r="AD1" s="531"/>
      <c r="AE1" s="531"/>
      <c r="AF1" s="531"/>
      <c r="AG1" s="531"/>
      <c r="AH1" s="531"/>
      <c r="AI1" s="531"/>
      <c r="AJ1" s="531"/>
      <c r="AK1" s="261"/>
      <c r="AL1" s="261"/>
      <c r="AM1" s="261"/>
      <c r="AN1" s="261"/>
      <c r="AO1" s="261"/>
      <c r="AP1" s="261"/>
      <c r="AQ1" s="261"/>
      <c r="AR1" s="261"/>
      <c r="AS1" s="261"/>
      <c r="AT1" s="261"/>
      <c r="AU1" s="261"/>
      <c r="AV1" s="261"/>
      <c r="AW1" s="261"/>
    </row>
    <row r="2" spans="1:49" ht="59.25" customHeight="1" x14ac:dyDescent="0.15">
      <c r="A2" s="424"/>
      <c r="B2" s="424"/>
      <c r="C2" s="424"/>
      <c r="D2" s="424"/>
      <c r="E2" s="424"/>
      <c r="F2" s="424"/>
      <c r="G2" s="424"/>
      <c r="H2" s="424"/>
      <c r="I2" s="424"/>
      <c r="J2" s="424"/>
      <c r="K2" s="424"/>
      <c r="L2" s="424"/>
      <c r="M2" s="424"/>
      <c r="N2" s="424"/>
      <c r="O2" s="424"/>
      <c r="P2" s="424"/>
      <c r="Q2" s="424"/>
      <c r="R2" s="424"/>
      <c r="S2" s="424"/>
      <c r="T2" s="424"/>
      <c r="U2" s="424"/>
      <c r="V2" s="424"/>
      <c r="W2" s="424"/>
      <c r="X2" s="424"/>
      <c r="Y2" s="424"/>
      <c r="Z2" s="424"/>
      <c r="AA2" s="424"/>
      <c r="AB2" s="424"/>
      <c r="AC2" s="424"/>
      <c r="AD2" s="424"/>
      <c r="AE2" s="424"/>
      <c r="AF2" s="424"/>
      <c r="AG2" s="424"/>
      <c r="AH2" s="424"/>
      <c r="AI2" s="424"/>
      <c r="AJ2" s="424"/>
      <c r="AK2" s="263"/>
      <c r="AL2" s="263"/>
      <c r="AM2" s="263"/>
      <c r="AN2" s="263"/>
      <c r="AO2" s="263"/>
      <c r="AP2" s="263"/>
      <c r="AQ2" s="263"/>
      <c r="AR2" s="263"/>
      <c r="AS2" s="263"/>
      <c r="AT2" s="263"/>
      <c r="AU2" s="263"/>
      <c r="AV2" s="263"/>
    </row>
    <row r="3" spans="1:49"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row>
    <row r="4" spans="1:49" ht="30" x14ac:dyDescent="0.15">
      <c r="B4" s="36" t="s">
        <v>940</v>
      </c>
    </row>
    <row r="5" spans="1:49" ht="23.25" customHeight="1" x14ac:dyDescent="0.15">
      <c r="B5" s="242" t="s">
        <v>17</v>
      </c>
      <c r="P5" s="40"/>
    </row>
    <row r="6" spans="1:49" x14ac:dyDescent="0.15">
      <c r="B6" s="46"/>
    </row>
    <row r="8" spans="1:49" ht="28.5" customHeight="1" x14ac:dyDescent="0.15">
      <c r="B8" s="289" t="str">
        <f>HLOOKUP($B$5,Region_Table,2,0)</f>
        <v>All East Midlands Region</v>
      </c>
      <c r="C8" s="515" t="s">
        <v>1131</v>
      </c>
      <c r="D8" s="516"/>
      <c r="E8" s="516"/>
      <c r="F8" s="516"/>
      <c r="G8" s="516"/>
      <c r="H8" s="516"/>
      <c r="I8" s="516"/>
      <c r="J8" s="516"/>
      <c r="K8" s="516"/>
      <c r="L8" s="516"/>
      <c r="M8" s="535"/>
      <c r="N8" s="535"/>
      <c r="O8" s="536"/>
      <c r="P8" s="510">
        <f>SUMIF('caseload data'!C:C,'custody %'!B8,'caseload data'!V:V)</f>
        <v>0</v>
      </c>
      <c r="Q8" s="527"/>
      <c r="R8" s="528"/>
      <c r="S8" s="64"/>
      <c r="T8" s="289" t="str">
        <f>HLOOKUP($B$5,Region_Table,3,0)</f>
        <v>Derby City - N53</v>
      </c>
      <c r="U8" s="515" t="s">
        <v>1131</v>
      </c>
      <c r="V8" s="516"/>
      <c r="W8" s="516"/>
      <c r="X8" s="516"/>
      <c r="Y8" s="516"/>
      <c r="Z8" s="516"/>
      <c r="AA8" s="516"/>
      <c r="AB8" s="516"/>
      <c r="AC8" s="535"/>
      <c r="AD8" s="535"/>
      <c r="AE8" s="536"/>
      <c r="AF8" s="510">
        <f>SUMIF('caseload data'!C:C,'custody %'!T8,'caseload data'!V:V)</f>
        <v>0</v>
      </c>
      <c r="AG8" s="527"/>
      <c r="AH8" s="528"/>
    </row>
    <row r="9" spans="1:49" x14ac:dyDescent="0.15">
      <c r="B9" s="95" t="s">
        <v>1005</v>
      </c>
      <c r="C9" s="38" t="s">
        <v>869</v>
      </c>
      <c r="D9" s="38" t="s">
        <v>870</v>
      </c>
      <c r="E9" s="38" t="s">
        <v>871</v>
      </c>
      <c r="F9" s="38" t="s">
        <v>872</v>
      </c>
      <c r="G9" s="38" t="s">
        <v>873</v>
      </c>
      <c r="H9" s="38" t="s">
        <v>874</v>
      </c>
      <c r="I9" s="38" t="s">
        <v>875</v>
      </c>
      <c r="J9" s="38" t="s">
        <v>876</v>
      </c>
      <c r="K9" s="38" t="s">
        <v>877</v>
      </c>
      <c r="L9" s="38" t="s">
        <v>878</v>
      </c>
      <c r="M9" s="38" t="s">
        <v>879</v>
      </c>
      <c r="N9" s="38" t="s">
        <v>880</v>
      </c>
      <c r="O9" s="38" t="s">
        <v>881</v>
      </c>
      <c r="P9" s="38" t="s">
        <v>882</v>
      </c>
      <c r="Q9" s="38" t="s">
        <v>883</v>
      </c>
      <c r="R9" s="38" t="s">
        <v>884</v>
      </c>
      <c r="S9" s="64"/>
      <c r="T9" s="95" t="s">
        <v>1005</v>
      </c>
      <c r="U9" s="38" t="s">
        <v>869</v>
      </c>
      <c r="V9" s="38" t="s">
        <v>870</v>
      </c>
      <c r="W9" s="38" t="s">
        <v>871</v>
      </c>
      <c r="X9" s="38" t="s">
        <v>872</v>
      </c>
      <c r="Y9" s="38" t="s">
        <v>873</v>
      </c>
      <c r="Z9" s="38" t="s">
        <v>874</v>
      </c>
      <c r="AA9" s="38" t="s">
        <v>875</v>
      </c>
      <c r="AB9" s="38" t="s">
        <v>876</v>
      </c>
      <c r="AC9" s="38" t="s">
        <v>877</v>
      </c>
      <c r="AD9" s="38" t="s">
        <v>878</v>
      </c>
      <c r="AE9" s="38" t="s">
        <v>879</v>
      </c>
      <c r="AF9" s="38" t="s">
        <v>880</v>
      </c>
      <c r="AG9" s="38" t="s">
        <v>881</v>
      </c>
      <c r="AH9" s="38" t="s">
        <v>882</v>
      </c>
      <c r="AI9" s="38" t="s">
        <v>883</v>
      </c>
      <c r="AJ9" s="38" t="s">
        <v>884</v>
      </c>
    </row>
    <row r="10" spans="1:49" x14ac:dyDescent="0.15">
      <c r="B10" s="96" t="s">
        <v>1002</v>
      </c>
      <c r="C10" s="167" t="str">
        <f>IFERROR(SUMIFS('caseload data'!E:E,'caseload data'!$C:$C,'custody %'!$B$8,'caseload data'!$D:$D,"PO",'caseload data'!$B:$B,"custody")/SUMIFS('caseload data'!E:E,'caseload data'!$B:$B,"custody",'caseload data'!$C:$C,'custody %'!$B$8),"")</f>
        <v/>
      </c>
      <c r="D10" s="167" t="str">
        <f>IFERROR(SUMIFS('caseload data'!F:F,'caseload data'!$C:$C,'custody %'!$B$8,'caseload data'!$D:$D,"PO",'caseload data'!$B:$B,"custody")/SUMIFS('caseload data'!F:F,'caseload data'!$B:$B,"custody",'caseload data'!$C:$C,'custody %'!$B$8),"")</f>
        <v/>
      </c>
      <c r="E10" s="167" t="str">
        <f>IFERROR(SUMIFS('caseload data'!G:G,'caseload data'!$C:$C,'custody %'!$B$8,'caseload data'!$D:$D,"PO",'caseload data'!$B:$B,"custody")/SUMIFS('caseload data'!G:G,'caseload data'!$B:$B,"custody",'caseload data'!$C:$C,'custody %'!$B$8),"")</f>
        <v/>
      </c>
      <c r="F10" s="167" t="str">
        <f>IFERROR(SUMIFS('caseload data'!H:H,'caseload data'!$C:$C,'custody %'!$B$8,'caseload data'!$D:$D,"PO",'caseload data'!$B:$B,"custody")/SUMIFS('caseload data'!H:H,'caseload data'!$B:$B,"custody",'caseload data'!$C:$C,'custody %'!$B$8),"")</f>
        <v/>
      </c>
      <c r="G10" s="167" t="str">
        <f>IFERROR(SUMIFS('caseload data'!I:I,'caseload data'!$C:$C,'custody %'!$B$8,'caseload data'!$D:$D,"PO",'caseload data'!$B:$B,"custody")/SUMIFS('caseload data'!I:I,'caseload data'!$B:$B,"custody",'caseload data'!$C:$C,'custody %'!$B$8),"")</f>
        <v/>
      </c>
      <c r="H10" s="167" t="str">
        <f>IFERROR(SUMIFS('caseload data'!J:J,'caseload data'!$C:$C,'custody %'!$B$8,'caseload data'!$D:$D,"PO",'caseload data'!$B:$B,"custody")/SUMIFS('caseload data'!J:J,'caseload data'!$B:$B,"custody",'caseload data'!$C:$C,'custody %'!$B$8),"")</f>
        <v/>
      </c>
      <c r="I10" s="167" t="str">
        <f>IFERROR(SUMIFS('caseload data'!K:K,'caseload data'!$C:$C,'custody %'!$B$8,'caseload data'!$D:$D,"PO",'caseload data'!$B:$B,"custody")/SUMIFS('caseload data'!K:K,'caseload data'!$B:$B,"custody",'caseload data'!$C:$C,'custody %'!$B$8),"")</f>
        <v/>
      </c>
      <c r="J10" s="167" t="str">
        <f>IFERROR(SUMIFS('caseload data'!L:L,'caseload data'!$C:$C,'custody %'!$B$8,'caseload data'!$D:$D,"PO",'caseload data'!$B:$B,"custody")/SUMIFS('caseload data'!L:L,'caseload data'!$B:$B,"custody",'caseload data'!$C:$C,'custody %'!$B$8),"")</f>
        <v/>
      </c>
      <c r="K10" s="167" t="str">
        <f>IFERROR(SUMIFS('caseload data'!M:M,'caseload data'!$C:$C,'custody %'!$B$8,'caseload data'!$D:$D,"PO",'caseload data'!$B:$B,"custody")/SUMIFS('caseload data'!M:M,'caseload data'!$B:$B,"custody",'caseload data'!$C:$C,'custody %'!$B$8),"")</f>
        <v/>
      </c>
      <c r="L10" s="167" t="str">
        <f>IFERROR(SUMIFS('caseload data'!N:N,'caseload data'!$C:$C,'custody %'!$B$8,'caseload data'!$D:$D,"PO",'caseload data'!$B:$B,"custody")/SUMIFS('caseload data'!N:N,'caseload data'!$B:$B,"custody",'caseload data'!$C:$C,'custody %'!$B$8),"")</f>
        <v/>
      </c>
      <c r="M10" s="167" t="str">
        <f>IFERROR(SUMIFS('caseload data'!O:O,'caseload data'!$C:$C,'custody %'!$B$8,'caseload data'!$D:$D,"PO",'caseload data'!$B:$B,"custody")/SUMIFS('caseload data'!O:O,'caseload data'!$B:$B,"custody",'caseload data'!$C:$C,'custody %'!$B$8),"")</f>
        <v/>
      </c>
      <c r="N10" s="167" t="str">
        <f>IFERROR(SUMIFS('caseload data'!P:P,'caseload data'!$C:$C,'custody %'!$B$8,'caseload data'!$D:$D,"PO",'caseload data'!$B:$B,"custody")/SUMIFS('caseload data'!P:P,'caseload data'!$B:$B,"custody",'caseload data'!$C:$C,'custody %'!$B$8),"")</f>
        <v/>
      </c>
      <c r="O10" s="167" t="str">
        <f>IFERROR(SUMIFS('caseload data'!Q:Q,'caseload data'!$C:$C,'custody %'!$B$8,'caseload data'!$D:$D,"PO",'caseload data'!$B:$B,"custody")/SUMIFS('caseload data'!Q:Q,'caseload data'!$B:$B,"custody",'caseload data'!$C:$C,'custody %'!$B$8),"")</f>
        <v/>
      </c>
      <c r="P10" s="167" t="str">
        <f>IFERROR(SUMIFS('caseload data'!R:R,'caseload data'!$C:$C,'custody %'!$B$8,'caseload data'!$D:$D,"PO",'caseload data'!$B:$B,"custody")/SUMIFS('caseload data'!R:R,'caseload data'!$B:$B,"custody",'caseload data'!$C:$C,'custody %'!$B$8),"")</f>
        <v/>
      </c>
      <c r="Q10" s="167" t="str">
        <f>IFERROR(SUMIFS('caseload data'!S:S,'caseload data'!$C:$C,'custody %'!$B$8,'caseload data'!$D:$D,"PO",'caseload data'!$B:$B,"custody")/SUMIFS('caseload data'!S:S,'caseload data'!$B:$B,"custody",'caseload data'!$C:$C,'custody %'!$B$8),"")</f>
        <v/>
      </c>
      <c r="R10" s="167" t="str">
        <f>IFERROR(SUMIFS('caseload data'!T:T,'caseload data'!$C:$C,'custody %'!$B$8,'caseload data'!$D:$D,"PO",'caseload data'!$B:$B,"custody")/SUMIFS('caseload data'!T:T,'caseload data'!$B:$B,"custody",'caseload data'!$C:$C,'custody %'!$B$8),"")</f>
        <v/>
      </c>
      <c r="S10" s="64"/>
      <c r="T10" s="96" t="s">
        <v>1002</v>
      </c>
      <c r="U10" s="167" t="str">
        <f>IFERROR(SUMIFS('caseload data'!E:E,'caseload data'!$C:$C,'custody %'!$T$8,'caseload data'!$D:$D,"PO",'caseload data'!$B:$B,"custody")/SUMIFS('caseload data'!E:E,'caseload data'!$B:$B,"custody",'caseload data'!$C:$C,'custody %'!$T$8),"")</f>
        <v/>
      </c>
      <c r="V10" s="167" t="str">
        <f>IFERROR(SUMIFS('caseload data'!F:F,'caseload data'!$C:$C,'custody %'!$T$8,'caseload data'!$D:$D,"PO",'caseload data'!$B:$B,"custody")/SUMIFS('caseload data'!F:F,'caseload data'!$B:$B,"custody",'caseload data'!$C:$C,'custody %'!$T$8),"")</f>
        <v/>
      </c>
      <c r="W10" s="167" t="str">
        <f>IFERROR(SUMIFS('caseload data'!G:G,'caseload data'!$C:$C,'custody %'!$T$8,'caseload data'!$D:$D,"PO",'caseload data'!$B:$B,"custody")/SUMIFS('caseload data'!G:G,'caseload data'!$B:$B,"custody",'caseload data'!$C:$C,'custody %'!$T$8),"")</f>
        <v/>
      </c>
      <c r="X10" s="167" t="str">
        <f>IFERROR(SUMIFS('caseload data'!H:H,'caseload data'!$C:$C,'custody %'!$T$8,'caseload data'!$D:$D,"PO",'caseload data'!$B:$B,"custody")/SUMIFS('caseload data'!H:H,'caseload data'!$B:$B,"custody",'caseload data'!$C:$C,'custody %'!$T$8),"")</f>
        <v/>
      </c>
      <c r="Y10" s="167" t="str">
        <f>IFERROR(SUMIFS('caseload data'!I:I,'caseload data'!$C:$C,'custody %'!$T$8,'caseload data'!$D:$D,"PO",'caseload data'!$B:$B,"custody")/SUMIFS('caseload data'!I:I,'caseload data'!$B:$B,"custody",'caseload data'!$C:$C,'custody %'!$T$8),"")</f>
        <v/>
      </c>
      <c r="Z10" s="167" t="str">
        <f>IFERROR(SUMIFS('caseload data'!J:J,'caseload data'!$C:$C,'custody %'!$T$8,'caseload data'!$D:$D,"PO",'caseload data'!$B:$B,"custody")/SUMIFS('caseload data'!J:J,'caseload data'!$B:$B,"custody",'caseload data'!$C:$C,'custody %'!$T$8),"")</f>
        <v/>
      </c>
      <c r="AA10" s="167" t="str">
        <f>IFERROR(SUMIFS('caseload data'!K:K,'caseload data'!$C:$C,'custody %'!$T$8,'caseload data'!$D:$D,"PO",'caseload data'!$B:$B,"custody")/SUMIFS('caseload data'!K:K,'caseload data'!$B:$B,"custody",'caseload data'!$C:$C,'custody %'!$T$8),"")</f>
        <v/>
      </c>
      <c r="AB10" s="167" t="str">
        <f>IFERROR(SUMIFS('caseload data'!L:L,'caseload data'!$C:$C,'custody %'!$T$8,'caseload data'!$D:$D,"PO",'caseload data'!$B:$B,"custody")/SUMIFS('caseload data'!L:L,'caseload data'!$B:$B,"custody",'caseload data'!$C:$C,'custody %'!$T$8),"")</f>
        <v/>
      </c>
      <c r="AC10" s="167" t="str">
        <f>IFERROR(SUMIFS('caseload data'!M:M,'caseload data'!$C:$C,'custody %'!$T$8,'caseload data'!$D:$D,"PO",'caseload data'!$B:$B,"custody")/SUMIFS('caseload data'!M:M,'caseload data'!$B:$B,"custody",'caseload data'!$C:$C,'custody %'!$T$8),"")</f>
        <v/>
      </c>
      <c r="AD10" s="167" t="str">
        <f>IFERROR(SUMIFS('caseload data'!N:N,'caseload data'!$C:$C,'custody %'!$T$8,'caseload data'!$D:$D,"PO",'caseload data'!$B:$B,"custody")/SUMIFS('caseload data'!N:N,'caseload data'!$B:$B,"custody",'caseload data'!$C:$C,'custody %'!$T$8),"")</f>
        <v/>
      </c>
      <c r="AE10" s="167" t="str">
        <f>IFERROR(SUMIFS('caseload data'!O:O,'caseload data'!$C:$C,'custody %'!$T$8,'caseload data'!$D:$D,"PO",'caseload data'!$B:$B,"custody")/SUMIFS('caseload data'!O:O,'caseload data'!$B:$B,"custody",'caseload data'!$C:$C,'custody %'!$T$8),"")</f>
        <v/>
      </c>
      <c r="AF10" s="167" t="str">
        <f>IFERROR(SUMIFS('caseload data'!P:P,'caseload data'!$C:$C,'custody %'!$T$8,'caseload data'!$D:$D,"PO",'caseload data'!$B:$B,"custody")/SUMIFS('caseload data'!P:P,'caseload data'!$B:$B,"custody",'caseload data'!$C:$C,'custody %'!$T$8),"")</f>
        <v/>
      </c>
      <c r="AG10" s="167" t="str">
        <f>IFERROR(SUMIFS('caseload data'!Q:Q,'caseload data'!$C:$C,'custody %'!$T$8,'caseload data'!$D:$D,"PO",'caseload data'!$B:$B,"custody")/SUMIFS('caseload data'!Q:Q,'caseload data'!$B:$B,"custody",'caseload data'!$C:$C,'custody %'!$T$8),"")</f>
        <v/>
      </c>
      <c r="AH10" s="167" t="str">
        <f>IFERROR(SUMIFS('caseload data'!R:R,'caseload data'!$C:$C,'custody %'!$T$8,'caseload data'!$D:$D,"PO",'caseload data'!$B:$B,"custody")/SUMIFS('caseload data'!R:R,'caseload data'!$B:$B,"custody",'caseload data'!$C:$C,'custody %'!$T$8),"")</f>
        <v/>
      </c>
      <c r="AI10" s="167"/>
      <c r="AJ10" s="167"/>
    </row>
    <row r="11" spans="1:49" x14ac:dyDescent="0.15">
      <c r="B11" s="97" t="s">
        <v>1007</v>
      </c>
      <c r="C11" s="167" t="str">
        <f>IFERROR(SUMIFS('caseload data'!E:E,'caseload data'!$C:$C,'custody %'!$B$8,'caseload data'!$D:$D,"PSO",'caseload data'!$B:$B,"custody")/SUMIFS('caseload data'!E:E,'caseload data'!$B:$B,"custody",'caseload data'!$C:$C,'custody %'!$B$8),"")</f>
        <v/>
      </c>
      <c r="D11" s="167" t="str">
        <f>IFERROR(SUMIFS('caseload data'!F:F,'caseload data'!$C:$C,'custody %'!$B$8,'caseload data'!$D:$D,"PSO",'caseload data'!$B:$B,"custody")/SUMIFS('caseload data'!F:F,'caseload data'!$B:$B,"custody",'caseload data'!$C:$C,'custody %'!$B$8),"")</f>
        <v/>
      </c>
      <c r="E11" s="167" t="str">
        <f>IFERROR(SUMIFS('caseload data'!G:G,'caseload data'!$C:$C,'custody %'!$B$8,'caseload data'!$D:$D,"PSO",'caseload data'!$B:$B,"custody")/SUMIFS('caseload data'!G:G,'caseload data'!$B:$B,"custody",'caseload data'!$C:$C,'custody %'!$B$8),"")</f>
        <v/>
      </c>
      <c r="F11" s="167" t="str">
        <f>IFERROR(SUMIFS('caseload data'!H:H,'caseload data'!$C:$C,'custody %'!$B$8,'caseload data'!$D:$D,"PSO",'caseload data'!$B:$B,"custody")/SUMIFS('caseload data'!H:H,'caseload data'!$B:$B,"custody",'caseload data'!$C:$C,'custody %'!$B$8),"")</f>
        <v/>
      </c>
      <c r="G11" s="167" t="str">
        <f>IFERROR(SUMIFS('caseload data'!I:I,'caseload data'!$C:$C,'custody %'!$B$8,'caseload data'!$D:$D,"PSO",'caseload data'!$B:$B,"custody")/SUMIFS('caseload data'!I:I,'caseload data'!$B:$B,"custody",'caseload data'!$C:$C,'custody %'!$B$8),"")</f>
        <v/>
      </c>
      <c r="H11" s="167" t="str">
        <f>IFERROR(SUMIFS('caseload data'!J:J,'caseload data'!$C:$C,'custody %'!$B$8,'caseload data'!$D:$D,"PSO",'caseload data'!$B:$B,"custody")/SUMIFS('caseload data'!J:J,'caseload data'!$B:$B,"custody",'caseload data'!$C:$C,'custody %'!$B$8),"")</f>
        <v/>
      </c>
      <c r="I11" s="167" t="str">
        <f>IFERROR(SUMIFS('caseload data'!K:K,'caseload data'!$C:$C,'custody %'!$B$8,'caseload data'!$D:$D,"PSO",'caseload data'!$B:$B,"custody")/SUMIFS('caseload data'!K:K,'caseload data'!$B:$B,"custody",'caseload data'!$C:$C,'custody %'!$B$8),"")</f>
        <v/>
      </c>
      <c r="J11" s="167" t="str">
        <f>IFERROR(SUMIFS('caseload data'!L:L,'caseload data'!$C:$C,'custody %'!$B$8,'caseload data'!$D:$D,"PSO",'caseload data'!$B:$B,"custody")/SUMIFS('caseload data'!L:L,'caseload data'!$B:$B,"custody",'caseload data'!$C:$C,'custody %'!$B$8),"")</f>
        <v/>
      </c>
      <c r="K11" s="167" t="str">
        <f>IFERROR(SUMIFS('caseload data'!M:M,'caseload data'!$C:$C,'custody %'!$B$8,'caseload data'!$D:$D,"PSO",'caseload data'!$B:$B,"custody")/SUMIFS('caseload data'!M:M,'caseload data'!$B:$B,"custody",'caseload data'!$C:$C,'custody %'!$B$8),"")</f>
        <v/>
      </c>
      <c r="L11" s="167" t="str">
        <f>IFERROR(SUMIFS('caseload data'!N:N,'caseload data'!$C:$C,'custody %'!$B$8,'caseload data'!$D:$D,"PSO",'caseload data'!$B:$B,"custody")/SUMIFS('caseload data'!N:N,'caseload data'!$B:$B,"custody",'caseload data'!$C:$C,'custody %'!$B$8),"")</f>
        <v/>
      </c>
      <c r="M11" s="167" t="str">
        <f>IFERROR(SUMIFS('caseload data'!O:O,'caseload data'!$C:$C,'custody %'!$B$8,'caseload data'!$D:$D,"PSO",'caseload data'!$B:$B,"custody")/SUMIFS('caseload data'!O:O,'caseload data'!$B:$B,"custody",'caseload data'!$C:$C,'custody %'!$B$8),"")</f>
        <v/>
      </c>
      <c r="N11" s="167" t="str">
        <f>IFERROR(SUMIFS('caseload data'!P:P,'caseload data'!$C:$C,'custody %'!$B$8,'caseload data'!$D:$D,"PSO",'caseload data'!$B:$B,"custody")/SUMIFS('caseload data'!P:P,'caseload data'!$B:$B,"custody",'caseload data'!$C:$C,'custody %'!$B$8),"")</f>
        <v/>
      </c>
      <c r="O11" s="167" t="str">
        <f>IFERROR(SUMIFS('caseload data'!Q:Q,'caseload data'!$C:$C,'custody %'!$B$8,'caseload data'!$D:$D,"PSO",'caseload data'!$B:$B,"custody")/SUMIFS('caseload data'!Q:Q,'caseload data'!$B:$B,"custody",'caseload data'!$C:$C,'custody %'!$B$8),"")</f>
        <v/>
      </c>
      <c r="P11" s="167" t="str">
        <f>IFERROR(SUMIFS('caseload data'!R:R,'caseload data'!$C:$C,'custody %'!$B$8,'caseload data'!$D:$D,"PSO",'caseload data'!$B:$B,"custody")/SUMIFS('caseload data'!R:R,'caseload data'!$B:$B,"custody",'caseload data'!$C:$C,'custody %'!$B$8),"")</f>
        <v/>
      </c>
      <c r="Q11" s="167" t="str">
        <f>IFERROR(SUMIFS('caseload data'!S:S,'caseload data'!$C:$C,'custody %'!$B$8,'caseload data'!$D:$D,"PSO",'caseload data'!$B:$B,"custody")/SUMIFS('caseload data'!S:S,'caseload data'!$B:$B,"custody",'caseload data'!$C:$C,'custody %'!$B$8),"")</f>
        <v/>
      </c>
      <c r="R11" s="167" t="str">
        <f>IFERROR(SUMIFS('caseload data'!T:T,'caseload data'!$C:$C,'custody %'!$B$8,'caseload data'!$D:$D,"PSO",'caseload data'!$B:$B,"custody")/SUMIFS('caseload data'!T:T,'caseload data'!$B:$B,"custody",'caseload data'!$C:$C,'custody %'!$B$8),"")</f>
        <v/>
      </c>
      <c r="S11" s="64"/>
      <c r="T11" s="97" t="s">
        <v>1007</v>
      </c>
      <c r="U11" s="167" t="str">
        <f>IFERROR(SUMIFS('caseload data'!E:E,'caseload data'!$C:$C,'custody %'!$T$8,'caseload data'!$D:$D,"PSO",'caseload data'!$B:$B,"custody")/SUMIFS('caseload data'!E:E,'caseload data'!$B:$B,"custody",'caseload data'!$C:$C,'custody %'!$T$8),"")</f>
        <v/>
      </c>
      <c r="V11" s="167" t="str">
        <f>IFERROR(SUMIFS('caseload data'!F:F,'caseload data'!$C:$C,'custody %'!$T$8,'caseload data'!$D:$D,"PSO",'caseload data'!$B:$B,"custody")/SUMIFS('caseload data'!F:F,'caseload data'!$B:$B,"custody",'caseload data'!$C:$C,'custody %'!$T$8),"")</f>
        <v/>
      </c>
      <c r="W11" s="167" t="str">
        <f>IFERROR(SUMIFS('caseload data'!G:G,'caseload data'!$C:$C,'custody %'!$T$8,'caseload data'!$D:$D,"PSO",'caseload data'!$B:$B,"custody")/SUMIFS('caseload data'!G:G,'caseload data'!$B:$B,"custody",'caseload data'!$C:$C,'custody %'!$T$8),"")</f>
        <v/>
      </c>
      <c r="X11" s="167" t="str">
        <f>IFERROR(SUMIFS('caseload data'!H:H,'caseload data'!$C:$C,'custody %'!$T$8,'caseload data'!$D:$D,"PSO",'caseload data'!$B:$B,"custody")/SUMIFS('caseload data'!H:H,'caseload data'!$B:$B,"custody",'caseload data'!$C:$C,'custody %'!$T$8),"")</f>
        <v/>
      </c>
      <c r="Y11" s="167" t="str">
        <f>IFERROR(SUMIFS('caseload data'!I:I,'caseload data'!$C:$C,'custody %'!$T$8,'caseload data'!$D:$D,"PSO",'caseload data'!$B:$B,"custody")/SUMIFS('caseload data'!I:I,'caseload data'!$B:$B,"custody",'caseload data'!$C:$C,'custody %'!$T$8),"")</f>
        <v/>
      </c>
      <c r="Z11" s="167" t="str">
        <f>IFERROR(SUMIFS('caseload data'!J:J,'caseload data'!$C:$C,'custody %'!$T$8,'caseload data'!$D:$D,"PSO",'caseload data'!$B:$B,"custody")/SUMIFS('caseload data'!J:J,'caseload data'!$B:$B,"custody",'caseload data'!$C:$C,'custody %'!$T$8),"")</f>
        <v/>
      </c>
      <c r="AA11" s="167" t="str">
        <f>IFERROR(SUMIFS('caseload data'!K:K,'caseload data'!$C:$C,'custody %'!$T$8,'caseload data'!$D:$D,"PSO",'caseload data'!$B:$B,"custody")/SUMIFS('caseload data'!K:K,'caseload data'!$B:$B,"custody",'caseload data'!$C:$C,'custody %'!$T$8),"")</f>
        <v/>
      </c>
      <c r="AB11" s="167" t="str">
        <f>IFERROR(SUMIFS('caseload data'!L:L,'caseload data'!$C:$C,'custody %'!$T$8,'caseload data'!$D:$D,"PSO",'caseload data'!$B:$B,"custody")/SUMIFS('caseload data'!L:L,'caseload data'!$B:$B,"custody",'caseload data'!$C:$C,'custody %'!$T$8),"")</f>
        <v/>
      </c>
      <c r="AC11" s="167" t="str">
        <f>IFERROR(SUMIFS('caseload data'!M:M,'caseload data'!$C:$C,'custody %'!$T$8,'caseload data'!$D:$D,"PSO",'caseload data'!$B:$B,"custody")/SUMIFS('caseload data'!M:M,'caseload data'!$B:$B,"custody",'caseload data'!$C:$C,'custody %'!$T$8),"")</f>
        <v/>
      </c>
      <c r="AD11" s="167" t="str">
        <f>IFERROR(SUMIFS('caseload data'!N:N,'caseload data'!$C:$C,'custody %'!$T$8,'caseload data'!$D:$D,"PSO",'caseload data'!$B:$B,"custody")/SUMIFS('caseload data'!N:N,'caseload data'!$B:$B,"custody",'caseload data'!$C:$C,'custody %'!$T$8),"")</f>
        <v/>
      </c>
      <c r="AE11" s="167" t="str">
        <f>IFERROR(SUMIFS('caseload data'!O:O,'caseload data'!$C:$C,'custody %'!$T$8,'caseload data'!$D:$D,"PSO",'caseload data'!$B:$B,"custody")/SUMIFS('caseload data'!O:O,'caseload data'!$B:$B,"custody",'caseload data'!$C:$C,'custody %'!$T$8),"")</f>
        <v/>
      </c>
      <c r="AF11" s="167" t="str">
        <f>IFERROR(SUMIFS('caseload data'!P:P,'caseload data'!$C:$C,'custody %'!$T$8,'caseload data'!$D:$D,"PSO",'caseload data'!$B:$B,"custody")/SUMIFS('caseload data'!P:P,'caseload data'!$B:$B,"custody",'caseload data'!$C:$C,'custody %'!$T$8),"")</f>
        <v/>
      </c>
      <c r="AG11" s="167" t="str">
        <f>IFERROR(SUMIFS('caseload data'!Q:Q,'caseload data'!$C:$C,'custody %'!$T$8,'caseload data'!$D:$D,"PSO",'caseload data'!$B:$B,"custody")/SUMIFS('caseload data'!Q:Q,'caseload data'!$B:$B,"custody",'caseload data'!$C:$C,'custody %'!$T$8),"")</f>
        <v/>
      </c>
      <c r="AH11" s="167" t="str">
        <f>IFERROR(SUMIFS('caseload data'!R:R,'caseload data'!$C:$C,'custody %'!$T$8,'caseload data'!$D:$D,"PSO",'caseload data'!$B:$B,"custody")/SUMIFS('caseload data'!R:R,'caseload data'!$B:$B,"custody",'caseload data'!$C:$C,'custody %'!$T$8),"")</f>
        <v/>
      </c>
      <c r="AI11" s="167"/>
      <c r="AJ11" s="167"/>
    </row>
    <row r="12" spans="1:49" x14ac:dyDescent="0.15">
      <c r="B12" s="97" t="s">
        <v>1008</v>
      </c>
      <c r="C12" s="167" t="str">
        <f>IFERROR(SUMIFS('caseload data'!E:E,'caseload data'!$C:$C,'custody %'!$B$8,'caseload data'!$D:$D,"TPO",'caseload data'!$B:$B,"custody")/SUMIFS('caseload data'!E:E,'caseload data'!$B:$B,"custody",'caseload data'!$C:$C,'custody %'!$B$8),"")</f>
        <v/>
      </c>
      <c r="D12" s="167" t="str">
        <f>IFERROR(SUMIFS('caseload data'!F:F,'caseload data'!$C:$C,'custody %'!$B$8,'caseload data'!$D:$D,"TPO",'caseload data'!$B:$B,"custody")/SUMIFS('caseload data'!F:F,'caseload data'!$B:$B,"custody",'caseload data'!$C:$C,'custody %'!$B$8),"")</f>
        <v/>
      </c>
      <c r="E12" s="167" t="str">
        <f>IFERROR(SUMIFS('caseload data'!G:G,'caseload data'!$C:$C,'custody %'!$B$8,'caseload data'!$D:$D,"TPO",'caseload data'!$B:$B,"custody")/SUMIFS('caseload data'!G:G,'caseload data'!$B:$B,"custody",'caseload data'!$C:$C,'custody %'!$B$8),"")</f>
        <v/>
      </c>
      <c r="F12" s="167" t="str">
        <f>IFERROR(SUMIFS('caseload data'!H:H,'caseload data'!$C:$C,'custody %'!$B$8,'caseload data'!$D:$D,"TPO",'caseload data'!$B:$B,"custody")/SUMIFS('caseload data'!H:H,'caseload data'!$B:$B,"custody",'caseload data'!$C:$C,'custody %'!$B$8),"")</f>
        <v/>
      </c>
      <c r="G12" s="167" t="str">
        <f>IFERROR(SUMIFS('caseload data'!I:I,'caseload data'!$C:$C,'custody %'!$B$8,'caseload data'!$D:$D,"TPO",'caseload data'!$B:$B,"custody")/SUMIFS('caseload data'!I:I,'caseload data'!$B:$B,"custody",'caseload data'!$C:$C,'custody %'!$B$8),"")</f>
        <v/>
      </c>
      <c r="H12" s="167" t="str">
        <f>IFERROR(SUMIFS('caseload data'!J:J,'caseload data'!$C:$C,'custody %'!$B$8,'caseload data'!$D:$D,"TPO",'caseload data'!$B:$B,"custody")/SUMIFS('caseload data'!J:J,'caseload data'!$B:$B,"custody",'caseload data'!$C:$C,'custody %'!$B$8),"")</f>
        <v/>
      </c>
      <c r="I12" s="167" t="str">
        <f>IFERROR(SUMIFS('caseload data'!K:K,'caseload data'!$C:$C,'custody %'!$B$8,'caseload data'!$D:$D,"TPO",'caseload data'!$B:$B,"custody")/SUMIFS('caseload data'!K:K,'caseload data'!$B:$B,"custody",'caseload data'!$C:$C,'custody %'!$B$8),"")</f>
        <v/>
      </c>
      <c r="J12" s="167" t="str">
        <f>IFERROR(SUMIFS('caseload data'!L:L,'caseload data'!$C:$C,'custody %'!$B$8,'caseload data'!$D:$D,"TPO",'caseload data'!$B:$B,"custody")/SUMIFS('caseload data'!L:L,'caseload data'!$B:$B,"custody",'caseload data'!$C:$C,'custody %'!$B$8),"")</f>
        <v/>
      </c>
      <c r="K12" s="167" t="str">
        <f>IFERROR(SUMIFS('caseload data'!M:M,'caseload data'!$C:$C,'custody %'!$B$8,'caseload data'!$D:$D,"TPO",'caseload data'!$B:$B,"custody")/SUMIFS('caseload data'!M:M,'caseload data'!$B:$B,"custody",'caseload data'!$C:$C,'custody %'!$B$8),"")</f>
        <v/>
      </c>
      <c r="L12" s="167" t="str">
        <f>IFERROR(SUMIFS('caseload data'!N:N,'caseload data'!$C:$C,'custody %'!$B$8,'caseload data'!$D:$D,"TPO",'caseload data'!$B:$B,"custody")/SUMIFS('caseload data'!N:N,'caseload data'!$B:$B,"custody",'caseload data'!$C:$C,'custody %'!$B$8),"")</f>
        <v/>
      </c>
      <c r="M12" s="167" t="str">
        <f>IFERROR(SUMIFS('caseload data'!O:O,'caseload data'!$C:$C,'custody %'!$B$8,'caseload data'!$D:$D,"TPO",'caseload data'!$B:$B,"custody")/SUMIFS('caseload data'!O:O,'caseload data'!$B:$B,"custody",'caseload data'!$C:$C,'custody %'!$B$8),"")</f>
        <v/>
      </c>
      <c r="N12" s="167" t="str">
        <f>IFERROR(SUMIFS('caseload data'!P:P,'caseload data'!$C:$C,'custody %'!$B$8,'caseload data'!$D:$D,"TPO",'caseload data'!$B:$B,"custody")/SUMIFS('caseload data'!P:P,'caseload data'!$B:$B,"custody",'caseload data'!$C:$C,'custody %'!$B$8),"")</f>
        <v/>
      </c>
      <c r="O12" s="167" t="str">
        <f>IFERROR(SUMIFS('caseload data'!Q:Q,'caseload data'!$C:$C,'custody %'!$B$8,'caseload data'!$D:$D,"TPO",'caseload data'!$B:$B,"custody")/SUMIFS('caseload data'!Q:Q,'caseload data'!$B:$B,"custody",'caseload data'!$C:$C,'custody %'!$B$8),"")</f>
        <v/>
      </c>
      <c r="P12" s="167" t="str">
        <f>IFERROR(SUMIFS('caseload data'!R:R,'caseload data'!$C:$C,'custody %'!$B$8,'caseload data'!$D:$D,"TPO",'caseload data'!$B:$B,"custody")/SUMIFS('caseload data'!R:R,'caseload data'!$B:$B,"custody",'caseload data'!$C:$C,'custody %'!$B$8),"")</f>
        <v/>
      </c>
      <c r="Q12" s="167" t="str">
        <f>IFERROR(SUMIFS('caseload data'!S:S,'caseload data'!$C:$C,'custody %'!$B$8,'caseload data'!$D:$D,"TPO",'caseload data'!$B:$B,"custody")/SUMIFS('caseload data'!S:S,'caseload data'!$B:$B,"custody",'caseload data'!$C:$C,'custody %'!$B$8),"")</f>
        <v/>
      </c>
      <c r="R12" s="167" t="str">
        <f>IFERROR(SUMIFS('caseload data'!T:T,'caseload data'!$C:$C,'custody %'!$B$8,'caseload data'!$D:$D,"TPO",'caseload data'!$B:$B,"custody")/SUMIFS('caseload data'!T:T,'caseload data'!$B:$B,"custody",'caseload data'!$C:$C,'custody %'!$B$8),"")</f>
        <v/>
      </c>
      <c r="S12" s="64"/>
      <c r="T12" s="97" t="s">
        <v>1008</v>
      </c>
      <c r="U12" s="167" t="str">
        <f>IFERROR(SUMIFS('caseload data'!E:E,'caseload data'!$C:$C,'custody %'!$T$8,'caseload data'!$D:$D,"TPO",'caseload data'!$B:$B,"custody")/SUMIFS('caseload data'!E:E,'caseload data'!$B:$B,"custody",'caseload data'!$C:$C,'custody %'!$T$8),"")</f>
        <v/>
      </c>
      <c r="V12" s="167" t="str">
        <f>IFERROR(SUMIFS('caseload data'!F:F,'caseload data'!$C:$C,'custody %'!$T$8,'caseload data'!$D:$D,"TPO",'caseload data'!$B:$B,"custody")/SUMIFS('caseload data'!F:F,'caseload data'!$B:$B,"custody",'caseload data'!$C:$C,'custody %'!$T$8),"")</f>
        <v/>
      </c>
      <c r="W12" s="167" t="str">
        <f>IFERROR(SUMIFS('caseload data'!G:G,'caseload data'!$C:$C,'custody %'!$T$8,'caseload data'!$D:$D,"TPO",'caseload data'!$B:$B,"custody")/SUMIFS('caseload data'!G:G,'caseload data'!$B:$B,"custody",'caseload data'!$C:$C,'custody %'!$T$8),"")</f>
        <v/>
      </c>
      <c r="X12" s="167" t="str">
        <f>IFERROR(SUMIFS('caseload data'!H:H,'caseload data'!$C:$C,'custody %'!$T$8,'caseload data'!$D:$D,"TPO",'caseload data'!$B:$B,"custody")/SUMIFS('caseload data'!H:H,'caseload data'!$B:$B,"custody",'caseload data'!$C:$C,'custody %'!$T$8),"")</f>
        <v/>
      </c>
      <c r="Y12" s="167" t="str">
        <f>IFERROR(SUMIFS('caseload data'!I:I,'caseload data'!$C:$C,'custody %'!$T$8,'caseload data'!$D:$D,"TPO",'caseload data'!$B:$B,"custody")/SUMIFS('caseload data'!I:I,'caseload data'!$B:$B,"custody",'caseload data'!$C:$C,'custody %'!$T$8),"")</f>
        <v/>
      </c>
      <c r="Z12" s="167" t="str">
        <f>IFERROR(SUMIFS('caseload data'!J:J,'caseload data'!$C:$C,'custody %'!$T$8,'caseload data'!$D:$D,"TPO",'caseload data'!$B:$B,"custody")/SUMIFS('caseload data'!J:J,'caseload data'!$B:$B,"custody",'caseload data'!$C:$C,'custody %'!$T$8),"")</f>
        <v/>
      </c>
      <c r="AA12" s="167" t="str">
        <f>IFERROR(SUMIFS('caseload data'!K:K,'caseload data'!$C:$C,'custody %'!$T$8,'caseload data'!$D:$D,"TPO",'caseload data'!$B:$B,"custody")/SUMIFS('caseload data'!K:K,'caseload data'!$B:$B,"custody",'caseload data'!$C:$C,'custody %'!$T$8),"")</f>
        <v/>
      </c>
      <c r="AB12" s="167" t="str">
        <f>IFERROR(SUMIFS('caseload data'!L:L,'caseload data'!$C:$C,'custody %'!$T$8,'caseload data'!$D:$D,"TPO",'caseload data'!$B:$B,"custody")/SUMIFS('caseload data'!L:L,'caseload data'!$B:$B,"custody",'caseload data'!$C:$C,'custody %'!$T$8),"")</f>
        <v/>
      </c>
      <c r="AC12" s="167" t="str">
        <f>IFERROR(SUMIFS('caseload data'!M:M,'caseload data'!$C:$C,'custody %'!$T$8,'caseload data'!$D:$D,"TPO",'caseload data'!$B:$B,"custody")/SUMIFS('caseload data'!M:M,'caseload data'!$B:$B,"custody",'caseload data'!$C:$C,'custody %'!$T$8),"")</f>
        <v/>
      </c>
      <c r="AD12" s="167" t="str">
        <f>IFERROR(SUMIFS('caseload data'!N:N,'caseload data'!$C:$C,'custody %'!$T$8,'caseload data'!$D:$D,"TPO",'caseload data'!$B:$B,"custody")/SUMIFS('caseload data'!N:N,'caseload data'!$B:$B,"custody",'caseload data'!$C:$C,'custody %'!$T$8),"")</f>
        <v/>
      </c>
      <c r="AE12" s="167" t="str">
        <f>IFERROR(SUMIFS('caseload data'!O:O,'caseload data'!$C:$C,'custody %'!$T$8,'caseload data'!$D:$D,"TPO",'caseload data'!$B:$B,"custody")/SUMIFS('caseload data'!O:O,'caseload data'!$B:$B,"custody",'caseload data'!$C:$C,'custody %'!$T$8),"")</f>
        <v/>
      </c>
      <c r="AF12" s="167" t="str">
        <f>IFERROR(SUMIFS('caseload data'!P:P,'caseload data'!$C:$C,'custody %'!$T$8,'caseload data'!$D:$D,"TPO",'caseload data'!$B:$B,"custody")/SUMIFS('caseload data'!P:P,'caseload data'!$B:$B,"custody",'caseload data'!$C:$C,'custody %'!$T$8),"")</f>
        <v/>
      </c>
      <c r="AG12" s="167" t="str">
        <f>IFERROR(SUMIFS('caseload data'!Q:Q,'caseload data'!$C:$C,'custody %'!$T$8,'caseload data'!$D:$D,"TPO",'caseload data'!$B:$B,"custody")/SUMIFS('caseload data'!Q:Q,'caseload data'!$B:$B,"custody",'caseload data'!$C:$C,'custody %'!$T$8),"")</f>
        <v/>
      </c>
      <c r="AH12" s="167" t="str">
        <f>IFERROR(SUMIFS('caseload data'!R:R,'caseload data'!$C:$C,'custody %'!$T$8,'caseload data'!$D:$D,"TPO",'caseload data'!$B:$B,"custody")/SUMIFS('caseload data'!R:R,'caseload data'!$B:$B,"custody",'caseload data'!$C:$C,'custody %'!$T$8),"")</f>
        <v/>
      </c>
      <c r="AI12" s="167"/>
      <c r="AJ12" s="167"/>
    </row>
    <row r="13" spans="1:49" x14ac:dyDescent="0.15">
      <c r="B13" s="98" t="s">
        <v>1009</v>
      </c>
      <c r="C13" s="167" t="str">
        <f>IFERROR(SUMIFS('caseload data'!E:E,'caseload data'!$C:$C,'custody %'!$B$8,'caseload data'!$D:$D,"SPO",'caseload data'!$B:$B,"custody")/SUMIFS('caseload data'!E:E,'caseload data'!$B:$B,"custody",'caseload data'!$C:$C,'custody %'!$B$8),"")</f>
        <v/>
      </c>
      <c r="D13" s="167" t="str">
        <f>IFERROR(SUMIFS('caseload data'!F:F,'caseload data'!$C:$C,'custody %'!$B$8,'caseload data'!$D:$D,"SPO",'caseload data'!$B:$B,"custody")/SUMIFS('caseload data'!F:F,'caseload data'!$B:$B,"custody",'caseload data'!$C:$C,'custody %'!$B$8),"")</f>
        <v/>
      </c>
      <c r="E13" s="167" t="str">
        <f>IFERROR(SUMIFS('caseload data'!G:G,'caseload data'!$C:$C,'custody %'!$B$8,'caseload data'!$D:$D,"SPO",'caseload data'!$B:$B,"custody")/SUMIFS('caseload data'!G:G,'caseload data'!$B:$B,"custody",'caseload data'!$C:$C,'custody %'!$B$8),"")</f>
        <v/>
      </c>
      <c r="F13" s="167" t="str">
        <f>IFERROR(SUMIFS('caseload data'!H:H,'caseload data'!$C:$C,'custody %'!$B$8,'caseload data'!$D:$D,"SPO",'caseload data'!$B:$B,"custody")/SUMIFS('caseload data'!H:H,'caseload data'!$B:$B,"custody",'caseload data'!$C:$C,'custody %'!$B$8),"")</f>
        <v/>
      </c>
      <c r="G13" s="167" t="str">
        <f>IFERROR(SUMIFS('caseload data'!I:I,'caseload data'!$C:$C,'custody %'!$B$8,'caseload data'!$D:$D,"SPO",'caseload data'!$B:$B,"custody")/SUMIFS('caseload data'!I:I,'caseload data'!$B:$B,"custody",'caseload data'!$C:$C,'custody %'!$B$8),"")</f>
        <v/>
      </c>
      <c r="H13" s="167" t="str">
        <f>IFERROR(SUMIFS('caseload data'!J:J,'caseload data'!$C:$C,'custody %'!$B$8,'caseload data'!$D:$D,"SPO",'caseload data'!$B:$B,"custody")/SUMIFS('caseload data'!J:J,'caseload data'!$B:$B,"custody",'caseload data'!$C:$C,'custody %'!$B$8),"")</f>
        <v/>
      </c>
      <c r="I13" s="167" t="str">
        <f>IFERROR(SUMIFS('caseload data'!K:K,'caseload data'!$C:$C,'custody %'!$B$8,'caseload data'!$D:$D,"SPO",'caseload data'!$B:$B,"custody")/SUMIFS('caseload data'!K:K,'caseload data'!$B:$B,"custody",'caseload data'!$C:$C,'custody %'!$B$8),"")</f>
        <v/>
      </c>
      <c r="J13" s="167" t="str">
        <f>IFERROR(SUMIFS('caseload data'!L:L,'caseload data'!$C:$C,'custody %'!$B$8,'caseload data'!$D:$D,"SPO",'caseload data'!$B:$B,"custody")/SUMIFS('caseload data'!L:L,'caseload data'!$B:$B,"custody",'caseload data'!$C:$C,'custody %'!$B$8),"")</f>
        <v/>
      </c>
      <c r="K13" s="167" t="str">
        <f>IFERROR(SUMIFS('caseload data'!M:M,'caseload data'!$C:$C,'custody %'!$B$8,'caseload data'!$D:$D,"SPO",'caseload data'!$B:$B,"custody")/SUMIFS('caseload data'!M:M,'caseload data'!$B:$B,"custody",'caseload data'!$C:$C,'custody %'!$B$8),"")</f>
        <v/>
      </c>
      <c r="L13" s="167" t="str">
        <f>IFERROR(SUMIFS('caseload data'!N:N,'caseload data'!$C:$C,'custody %'!$B$8,'caseload data'!$D:$D,"SPO",'caseload data'!$B:$B,"custody")/SUMIFS('caseload data'!N:N,'caseload data'!$B:$B,"custody",'caseload data'!$C:$C,'custody %'!$B$8),"")</f>
        <v/>
      </c>
      <c r="M13" s="167" t="str">
        <f>IFERROR(SUMIFS('caseload data'!O:O,'caseload data'!$C:$C,'custody %'!$B$8,'caseload data'!$D:$D,"SPO",'caseload data'!$B:$B,"custody")/SUMIFS('caseload data'!O:O,'caseload data'!$B:$B,"custody",'caseload data'!$C:$C,'custody %'!$B$8),"")</f>
        <v/>
      </c>
      <c r="N13" s="167" t="str">
        <f>IFERROR(SUMIFS('caseload data'!P:P,'caseload data'!$C:$C,'custody %'!$B$8,'caseload data'!$D:$D,"SPO",'caseload data'!$B:$B,"custody")/SUMIFS('caseload data'!P:P,'caseload data'!$B:$B,"custody",'caseload data'!$C:$C,'custody %'!$B$8),"")</f>
        <v/>
      </c>
      <c r="O13" s="167" t="str">
        <f>IFERROR(SUMIFS('caseload data'!Q:Q,'caseload data'!$C:$C,'custody %'!$B$8,'caseload data'!$D:$D,"SPO",'caseload data'!$B:$B,"custody")/SUMIFS('caseload data'!Q:Q,'caseload data'!$B:$B,"custody",'caseload data'!$C:$C,'custody %'!$B$8),"")</f>
        <v/>
      </c>
      <c r="P13" s="167" t="str">
        <f>IFERROR(SUMIFS('caseload data'!R:R,'caseload data'!$C:$C,'custody %'!$B$8,'caseload data'!$D:$D,"SPO",'caseload data'!$B:$B,"custody")/SUMIFS('caseload data'!R:R,'caseload data'!$B:$B,"custody",'caseload data'!$C:$C,'custody %'!$B$8),"")</f>
        <v/>
      </c>
      <c r="Q13" s="167" t="str">
        <f>IFERROR(SUMIFS('caseload data'!S:S,'caseload data'!$C:$C,'custody %'!$B$8,'caseload data'!$D:$D,"SPO",'caseload data'!$B:$B,"custody")/SUMIFS('caseload data'!S:S,'caseload data'!$B:$B,"custody",'caseload data'!$C:$C,'custody %'!$B$8),"")</f>
        <v/>
      </c>
      <c r="R13" s="167" t="str">
        <f>IFERROR(SUMIFS('caseload data'!T:T,'caseload data'!$C:$C,'custody %'!$B$8,'caseload data'!$D:$D,"SPO",'caseload data'!$B:$B,"custody")/SUMIFS('caseload data'!T:T,'caseload data'!$B:$B,"custody",'caseload data'!$C:$C,'custody %'!$B$8),"")</f>
        <v/>
      </c>
      <c r="S13" s="64"/>
      <c r="T13" s="98" t="s">
        <v>1009</v>
      </c>
      <c r="U13" s="167" t="str">
        <f>IFERROR(SUMIFS('caseload data'!E:E,'caseload data'!$C:$C,'custody %'!$T$8,'caseload data'!$D:$D,"SPO",'caseload data'!$B:$B,"custody")/SUMIFS('caseload data'!E:E,'caseload data'!$B:$B,"custody",'caseload data'!$C:$C,'custody %'!$T$8),"")</f>
        <v/>
      </c>
      <c r="V13" s="167" t="str">
        <f>IFERROR(SUMIFS('caseload data'!F:F,'caseload data'!$C:$C,'custody %'!$T$8,'caseload data'!$D:$D,"SPO",'caseload data'!$B:$B,"custody")/SUMIFS('caseload data'!F:F,'caseload data'!$B:$B,"custody",'caseload data'!$C:$C,'custody %'!$T$8),"")</f>
        <v/>
      </c>
      <c r="W13" s="167" t="str">
        <f>IFERROR(SUMIFS('caseload data'!G:G,'caseload data'!$C:$C,'custody %'!$T$8,'caseload data'!$D:$D,"SPO",'caseload data'!$B:$B,"custody")/SUMIFS('caseload data'!G:G,'caseload data'!$B:$B,"custody",'caseload data'!$C:$C,'custody %'!$T$8),"")</f>
        <v/>
      </c>
      <c r="X13" s="167" t="str">
        <f>IFERROR(SUMIFS('caseload data'!H:H,'caseload data'!$C:$C,'custody %'!$T$8,'caseload data'!$D:$D,"SPO",'caseload data'!$B:$B,"custody")/SUMIFS('caseload data'!H:H,'caseload data'!$B:$B,"custody",'caseload data'!$C:$C,'custody %'!$T$8),"")</f>
        <v/>
      </c>
      <c r="Y13" s="167" t="str">
        <f>IFERROR(SUMIFS('caseload data'!I:I,'caseload data'!$C:$C,'custody %'!$T$8,'caseload data'!$D:$D,"SPO",'caseload data'!$B:$B,"custody")/SUMIFS('caseload data'!I:I,'caseload data'!$B:$B,"custody",'caseload data'!$C:$C,'custody %'!$T$8),"")</f>
        <v/>
      </c>
      <c r="Z13" s="167" t="str">
        <f>IFERROR(SUMIFS('caseload data'!J:J,'caseload data'!$C:$C,'custody %'!$T$8,'caseload data'!$D:$D,"SPO",'caseload data'!$B:$B,"custody")/SUMIFS('caseload data'!J:J,'caseload data'!$B:$B,"custody",'caseload data'!$C:$C,'custody %'!$T$8),"")</f>
        <v/>
      </c>
      <c r="AA13" s="167" t="str">
        <f>IFERROR(SUMIFS('caseload data'!K:K,'caseload data'!$C:$C,'custody %'!$T$8,'caseload data'!$D:$D,"SPO",'caseload data'!$B:$B,"custody")/SUMIFS('caseload data'!K:K,'caseload data'!$B:$B,"custody",'caseload data'!$C:$C,'custody %'!$T$8),"")</f>
        <v/>
      </c>
      <c r="AB13" s="167" t="str">
        <f>IFERROR(SUMIFS('caseload data'!L:L,'caseload data'!$C:$C,'custody %'!$T$8,'caseload data'!$D:$D,"SPO",'caseload data'!$B:$B,"custody")/SUMIFS('caseload data'!L:L,'caseload data'!$B:$B,"custody",'caseload data'!$C:$C,'custody %'!$T$8),"")</f>
        <v/>
      </c>
      <c r="AC13" s="167" t="str">
        <f>IFERROR(SUMIFS('caseload data'!M:M,'caseload data'!$C:$C,'custody %'!$T$8,'caseload data'!$D:$D,"SPO",'caseload data'!$B:$B,"custody")/SUMIFS('caseload data'!M:M,'caseload data'!$B:$B,"custody",'caseload data'!$C:$C,'custody %'!$T$8),"")</f>
        <v/>
      </c>
      <c r="AD13" s="167" t="str">
        <f>IFERROR(SUMIFS('caseload data'!N:N,'caseload data'!$C:$C,'custody %'!$T$8,'caseload data'!$D:$D,"SPO",'caseload data'!$B:$B,"custody")/SUMIFS('caseload data'!N:N,'caseload data'!$B:$B,"custody",'caseload data'!$C:$C,'custody %'!$T$8),"")</f>
        <v/>
      </c>
      <c r="AE13" s="167" t="str">
        <f>IFERROR(SUMIFS('caseload data'!O:O,'caseload data'!$C:$C,'custody %'!$T$8,'caseload data'!$D:$D,"SPO",'caseload data'!$B:$B,"custody")/SUMIFS('caseload data'!O:O,'caseload data'!$B:$B,"custody",'caseload data'!$C:$C,'custody %'!$T$8),"")</f>
        <v/>
      </c>
      <c r="AF13" s="167" t="str">
        <f>IFERROR(SUMIFS('caseload data'!P:P,'caseload data'!$C:$C,'custody %'!$T$8,'caseload data'!$D:$D,"SPO",'caseload data'!$B:$B,"custody")/SUMIFS('caseload data'!P:P,'caseload data'!$B:$B,"custody",'caseload data'!$C:$C,'custody %'!$T$8),"")</f>
        <v/>
      </c>
      <c r="AG13" s="167" t="str">
        <f>IFERROR(SUMIFS('caseload data'!Q:Q,'caseload data'!$C:$C,'custody %'!$T$8,'caseload data'!$D:$D,"SPO",'caseload data'!$B:$B,"custody")/SUMIFS('caseload data'!Q:Q,'caseload data'!$B:$B,"custody",'caseload data'!$C:$C,'custody %'!$T$8),"")</f>
        <v/>
      </c>
      <c r="AH13" s="167" t="str">
        <f>IFERROR(SUMIFS('caseload data'!R:R,'caseload data'!$C:$C,'custody %'!$T$8,'caseload data'!$D:$D,"SPO",'caseload data'!$B:$B,"custody")/SUMIFS('caseload data'!R:R,'caseload data'!$B:$B,"custody",'caseload data'!$C:$C,'custody %'!$T$8),"")</f>
        <v/>
      </c>
      <c r="AI13" s="167"/>
      <c r="AJ13" s="167"/>
    </row>
    <row r="14" spans="1:49"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row>
    <row r="15" spans="1:49" ht="30" customHeight="1" x14ac:dyDescent="0.15">
      <c r="B15" s="289" t="str">
        <f>HLOOKUP($B$5,Region_Table,4,0)</f>
        <v>Derbyshire - N53</v>
      </c>
      <c r="C15" s="515" t="s">
        <v>1131</v>
      </c>
      <c r="D15" s="516"/>
      <c r="E15" s="516"/>
      <c r="F15" s="516"/>
      <c r="G15" s="516"/>
      <c r="H15" s="516"/>
      <c r="I15" s="516"/>
      <c r="J15" s="516"/>
      <c r="K15" s="516"/>
      <c r="L15" s="516"/>
      <c r="M15" s="535"/>
      <c r="N15" s="535"/>
      <c r="O15" s="536"/>
      <c r="P15" s="510">
        <f>SUMIF('caseload data'!$C:$C,'custody %'!B15,'caseload data'!V:V)</f>
        <v>0</v>
      </c>
      <c r="Q15" s="527"/>
      <c r="R15" s="528"/>
      <c r="S15" s="64"/>
      <c r="T15" s="289" t="str">
        <f>HLOOKUP($B$5,Region_Table,5,0)</f>
        <v>Leicester, Leicestershire and Rutland</v>
      </c>
      <c r="U15" s="515" t="s">
        <v>1131</v>
      </c>
      <c r="V15" s="516"/>
      <c r="W15" s="516"/>
      <c r="X15" s="516"/>
      <c r="Y15" s="516"/>
      <c r="Z15" s="516"/>
      <c r="AA15" s="516"/>
      <c r="AB15" s="516"/>
      <c r="AC15" s="535"/>
      <c r="AD15" s="535"/>
      <c r="AE15" s="536"/>
      <c r="AF15" s="510">
        <f>SUMIF('caseload data'!$C:$C,'custody %'!T15,'caseload data'!V:V)</f>
        <v>0</v>
      </c>
      <c r="AG15" s="527"/>
      <c r="AH15" s="528"/>
    </row>
    <row r="16" spans="1:49" x14ac:dyDescent="0.15">
      <c r="B16" s="95" t="s">
        <v>1005</v>
      </c>
      <c r="C16" s="38" t="s">
        <v>869</v>
      </c>
      <c r="D16" s="38" t="s">
        <v>870</v>
      </c>
      <c r="E16" s="38" t="s">
        <v>871</v>
      </c>
      <c r="F16" s="38" t="s">
        <v>872</v>
      </c>
      <c r="G16" s="38" t="s">
        <v>873</v>
      </c>
      <c r="H16" s="38" t="s">
        <v>874</v>
      </c>
      <c r="I16" s="38" t="s">
        <v>875</v>
      </c>
      <c r="J16" s="38" t="s">
        <v>876</v>
      </c>
      <c r="K16" s="38" t="s">
        <v>877</v>
      </c>
      <c r="L16" s="38" t="s">
        <v>878</v>
      </c>
      <c r="M16" s="38" t="s">
        <v>879</v>
      </c>
      <c r="N16" s="38" t="s">
        <v>880</v>
      </c>
      <c r="O16" s="38" t="s">
        <v>881</v>
      </c>
      <c r="P16" s="38" t="s">
        <v>882</v>
      </c>
      <c r="Q16" s="38" t="s">
        <v>883</v>
      </c>
      <c r="R16" s="38" t="s">
        <v>884</v>
      </c>
      <c r="S16" s="64"/>
      <c r="T16" s="95" t="s">
        <v>1005</v>
      </c>
      <c r="U16" s="38" t="s">
        <v>869</v>
      </c>
      <c r="V16" s="38" t="s">
        <v>870</v>
      </c>
      <c r="W16" s="38" t="s">
        <v>871</v>
      </c>
      <c r="X16" s="38" t="s">
        <v>872</v>
      </c>
      <c r="Y16" s="38" t="s">
        <v>873</v>
      </c>
      <c r="Z16" s="38" t="s">
        <v>874</v>
      </c>
      <c r="AA16" s="38" t="s">
        <v>875</v>
      </c>
      <c r="AB16" s="38" t="s">
        <v>876</v>
      </c>
      <c r="AC16" s="38" t="s">
        <v>877</v>
      </c>
      <c r="AD16" s="38" t="s">
        <v>878</v>
      </c>
      <c r="AE16" s="38" t="s">
        <v>879</v>
      </c>
      <c r="AF16" s="38" t="s">
        <v>880</v>
      </c>
      <c r="AG16" s="38" t="s">
        <v>881</v>
      </c>
      <c r="AH16" s="38" t="s">
        <v>882</v>
      </c>
      <c r="AI16" s="38" t="s">
        <v>883</v>
      </c>
      <c r="AJ16" s="38" t="s">
        <v>884</v>
      </c>
    </row>
    <row r="17" spans="2:36" x14ac:dyDescent="0.15">
      <c r="B17" s="96" t="s">
        <v>1002</v>
      </c>
      <c r="C17" s="167" t="str">
        <f>IFERROR(SUMIFS('caseload data'!E:E,'caseload data'!$C:$C,'custody %'!$B$15,'caseload data'!$D:$D,"PO",'caseload data'!$B:$B,"custody")/SUMIFS('caseload data'!E:E,'caseload data'!$B:$B,"custody",'caseload data'!$C:$C,'custody %'!$B$15),"")</f>
        <v/>
      </c>
      <c r="D17" s="167" t="str">
        <f>IFERROR(SUMIFS('caseload data'!F:F,'caseload data'!$C:$C,'custody %'!$B$15,'caseload data'!$D:$D,"PO",'caseload data'!$B:$B,"custody")/SUMIFS('caseload data'!F:F,'caseload data'!$B:$B,"custody",'caseload data'!$C:$C,'custody %'!$B$15),"")</f>
        <v/>
      </c>
      <c r="E17" s="167" t="str">
        <f>IFERROR(SUMIFS('caseload data'!G:G,'caseload data'!$C:$C,'custody %'!$B$15,'caseload data'!$D:$D,"PO",'caseload data'!$B:$B,"custody")/SUMIFS('caseload data'!G:G,'caseload data'!$B:$B,"custody",'caseload data'!$C:$C,'custody %'!$B$15),"")</f>
        <v/>
      </c>
      <c r="F17" s="167" t="str">
        <f>IFERROR(SUMIFS('caseload data'!H:H,'caseload data'!$C:$C,'custody %'!$B$15,'caseload data'!$D:$D,"PO",'caseload data'!$B:$B,"custody")/SUMIFS('caseload data'!H:H,'caseload data'!$B:$B,"custody",'caseload data'!$C:$C,'custody %'!$B$15),"")</f>
        <v/>
      </c>
      <c r="G17" s="167" t="str">
        <f>IFERROR(SUMIFS('caseload data'!I:I,'caseload data'!$C:$C,'custody %'!$B$15,'caseload data'!$D:$D,"PO",'caseload data'!$B:$B,"custody")/SUMIFS('caseload data'!I:I,'caseload data'!$B:$B,"custody",'caseload data'!$C:$C,'custody %'!$B$15),"")</f>
        <v/>
      </c>
      <c r="H17" s="167" t="str">
        <f>IFERROR(SUMIFS('caseload data'!J:J,'caseload data'!$C:$C,'custody %'!$B$15,'caseload data'!$D:$D,"PO",'caseload data'!$B:$B,"custody")/SUMIFS('caseload data'!J:J,'caseload data'!$B:$B,"custody",'caseload data'!$C:$C,'custody %'!$B$15),"")</f>
        <v/>
      </c>
      <c r="I17" s="167" t="str">
        <f>IFERROR(SUMIFS('caseload data'!K:K,'caseload data'!$C:$C,'custody %'!$B$15,'caseload data'!$D:$D,"PO",'caseload data'!$B:$B,"custody")/SUMIFS('caseload data'!K:K,'caseload data'!$B:$B,"custody",'caseload data'!$C:$C,'custody %'!$B$15),"")</f>
        <v/>
      </c>
      <c r="J17" s="167" t="str">
        <f>IFERROR(SUMIFS('caseload data'!L:L,'caseload data'!$C:$C,'custody %'!$B$15,'caseload data'!$D:$D,"PO",'caseload data'!$B:$B,"custody")/SUMIFS('caseload data'!L:L,'caseload data'!$B:$B,"custody",'caseload data'!$C:$C,'custody %'!$B$15),"")</f>
        <v/>
      </c>
      <c r="K17" s="167" t="str">
        <f>IFERROR(SUMIFS('caseload data'!M:M,'caseload data'!$C:$C,'custody %'!$B$15,'caseload data'!$D:$D,"PO",'caseload data'!$B:$B,"custody")/SUMIFS('caseload data'!M:M,'caseload data'!$B:$B,"custody",'caseload data'!$C:$C,'custody %'!$B$15),"")</f>
        <v/>
      </c>
      <c r="L17" s="167" t="str">
        <f>IFERROR(SUMIFS('caseload data'!N:N,'caseload data'!$C:$C,'custody %'!$B$15,'caseload data'!$D:$D,"PO",'caseload data'!$B:$B,"custody")/SUMIFS('caseload data'!N:N,'caseload data'!$B:$B,"custody",'caseload data'!$C:$C,'custody %'!$B$15),"")</f>
        <v/>
      </c>
      <c r="M17" s="167" t="str">
        <f>IFERROR(SUMIFS('caseload data'!O:O,'caseload data'!$C:$C,'custody %'!$B$15,'caseload data'!$D:$D,"PO",'caseload data'!$B:$B,"custody")/SUMIFS('caseload data'!O:O,'caseload data'!$B:$B,"custody",'caseload data'!$C:$C,'custody %'!$B$15),"")</f>
        <v/>
      </c>
      <c r="N17" s="167" t="str">
        <f>IFERROR(SUMIFS('caseload data'!P:P,'caseload data'!$C:$C,'custody %'!$B$15,'caseload data'!$D:$D,"PO",'caseload data'!$B:$B,"custody")/SUMIFS('caseload data'!P:P,'caseload data'!$B:$B,"custody",'caseload data'!$C:$C,'custody %'!$B$15),"")</f>
        <v/>
      </c>
      <c r="O17" s="167" t="str">
        <f>IFERROR(SUMIFS('caseload data'!Q:Q,'caseload data'!$C:$C,'custody %'!$B$15,'caseload data'!$D:$D,"PO",'caseload data'!$B:$B,"custody")/SUMIFS('caseload data'!Q:Q,'caseload data'!$B:$B,"custody",'caseload data'!$C:$C,'custody %'!$B$15),"")</f>
        <v/>
      </c>
      <c r="P17" s="167" t="str">
        <f>IFERROR(SUMIFS('caseload data'!R:R,'caseload data'!$C:$C,'custody %'!$B$15,'caseload data'!$D:$D,"PO",'caseload data'!$B:$B,"custody")/SUMIFS('caseload data'!R:R,'caseload data'!$B:$B,"custody",'caseload data'!$C:$C,'custody %'!$B$15),"")</f>
        <v/>
      </c>
      <c r="Q17" s="167" t="str">
        <f>IFERROR(SUMIFS('caseload data'!S:S,'caseload data'!$C:$C,'custody %'!$B$15,'caseload data'!$D:$D,"PO",'caseload data'!$B:$B,"custody")/SUMIFS('caseload data'!S:S,'caseload data'!$B:$B,"custody",'caseload data'!$C:$C,'custody %'!$B$15),"")</f>
        <v/>
      </c>
      <c r="R17" s="167" t="str">
        <f>IFERROR(SUMIFS('caseload data'!T:T,'caseload data'!$C:$C,'custody %'!$B$15,'caseload data'!$D:$D,"PO",'caseload data'!$B:$B,"custody")/SUMIFS('caseload data'!T:T,'caseload data'!$B:$B,"custody",'caseload data'!$C:$C,'custody %'!$B$15),"")</f>
        <v/>
      </c>
      <c r="S17" s="64"/>
      <c r="T17" s="96" t="s">
        <v>1002</v>
      </c>
      <c r="U17" s="167" t="str">
        <f>IFERROR(SUMIFS('caseload data'!E:E,'caseload data'!$C:$C,'custody %'!$T$15,'caseload data'!$D:$D,"PO",'caseload data'!$B:$B,"custody")/SUMIFS('caseload data'!E:E,'caseload data'!$B:$B,"custody",'caseload data'!$C:$C,'custody %'!$T$15),"")</f>
        <v/>
      </c>
      <c r="V17" s="167" t="str">
        <f>IFERROR(SUMIFS('caseload data'!F:F,'caseload data'!$C:$C,'custody %'!$T$15,'caseload data'!$D:$D,"PO",'caseload data'!$B:$B,"custody")/SUMIFS('caseload data'!F:F,'caseload data'!$B:$B,"custody",'caseload data'!$C:$C,'custody %'!$T$15),"")</f>
        <v/>
      </c>
      <c r="W17" s="167" t="str">
        <f>IFERROR(SUMIFS('caseload data'!G:G,'caseload data'!$C:$C,'custody %'!$T$15,'caseload data'!$D:$D,"PO",'caseload data'!$B:$B,"custody")/SUMIFS('caseload data'!G:G,'caseload data'!$B:$B,"custody",'caseload data'!$C:$C,'custody %'!$T$15),"")</f>
        <v/>
      </c>
      <c r="X17" s="167" t="str">
        <f>IFERROR(SUMIFS('caseload data'!H:H,'caseload data'!$C:$C,'custody %'!$T$15,'caseload data'!$D:$D,"PO",'caseload data'!$B:$B,"custody")/SUMIFS('caseload data'!H:H,'caseload data'!$B:$B,"custody",'caseload data'!$C:$C,'custody %'!$T$15),"")</f>
        <v/>
      </c>
      <c r="Y17" s="167" t="str">
        <f>IFERROR(SUMIFS('caseload data'!I:I,'caseload data'!$C:$C,'custody %'!$T$15,'caseload data'!$D:$D,"PO",'caseload data'!$B:$B,"custody")/SUMIFS('caseload data'!I:I,'caseload data'!$B:$B,"custody",'caseload data'!$C:$C,'custody %'!$T$15),"")</f>
        <v/>
      </c>
      <c r="Z17" s="167" t="str">
        <f>IFERROR(SUMIFS('caseload data'!J:J,'caseload data'!$C:$C,'custody %'!$T$15,'caseload data'!$D:$D,"PO",'caseload data'!$B:$B,"custody")/SUMIFS('caseload data'!J:J,'caseload data'!$B:$B,"custody",'caseload data'!$C:$C,'custody %'!$T$15),"")</f>
        <v/>
      </c>
      <c r="AA17" s="167" t="str">
        <f>IFERROR(SUMIFS('caseload data'!K:K,'caseload data'!$C:$C,'custody %'!$T$15,'caseload data'!$D:$D,"PO",'caseload data'!$B:$B,"custody")/SUMIFS('caseload data'!K:K,'caseload data'!$B:$B,"custody",'caseload data'!$C:$C,'custody %'!$T$15),"")</f>
        <v/>
      </c>
      <c r="AB17" s="167" t="str">
        <f>IFERROR(SUMIFS('caseload data'!L:L,'caseload data'!$C:$C,'custody %'!$T$15,'caseload data'!$D:$D,"PO",'caseload data'!$B:$B,"custody")/SUMIFS('caseload data'!L:L,'caseload data'!$B:$B,"custody",'caseload data'!$C:$C,'custody %'!$T$15),"")</f>
        <v/>
      </c>
      <c r="AC17" s="167" t="str">
        <f>IFERROR(SUMIFS('caseload data'!M:M,'caseload data'!$C:$C,'custody %'!$T$15,'caseload data'!$D:$D,"PO",'caseload data'!$B:$B,"custody")/SUMIFS('caseload data'!M:M,'caseload data'!$B:$B,"custody",'caseload data'!$C:$C,'custody %'!$T$15),"")</f>
        <v/>
      </c>
      <c r="AD17" s="167" t="str">
        <f>IFERROR(SUMIFS('caseload data'!N:N,'caseload data'!$C:$C,'custody %'!$T$15,'caseload data'!$D:$D,"PO",'caseload data'!$B:$B,"custody")/SUMIFS('caseload data'!N:N,'caseload data'!$B:$B,"custody",'caseload data'!$C:$C,'custody %'!$T$15),"")</f>
        <v/>
      </c>
      <c r="AE17" s="167" t="str">
        <f>IFERROR(SUMIFS('caseload data'!O:O,'caseload data'!$C:$C,'custody %'!$T$15,'caseload data'!$D:$D,"PO",'caseload data'!$B:$B,"custody")/SUMIFS('caseload data'!O:O,'caseload data'!$B:$B,"custody",'caseload data'!$C:$C,'custody %'!$T$15),"")</f>
        <v/>
      </c>
      <c r="AF17" s="167" t="str">
        <f>IFERROR(SUMIFS('caseload data'!P:P,'caseload data'!$C:$C,'custody %'!$T$15,'caseload data'!$D:$D,"PO",'caseload data'!$B:$B,"custody")/SUMIFS('caseload data'!P:P,'caseload data'!$B:$B,"custody",'caseload data'!$C:$C,'custody %'!$T$15),"")</f>
        <v/>
      </c>
      <c r="AG17" s="167" t="str">
        <f>IFERROR(SUMIFS('caseload data'!Q:Q,'caseload data'!$C:$C,'custody %'!$T$15,'caseload data'!$D:$D,"PO",'caseload data'!$B:$B,"custody")/SUMIFS('caseload data'!Q:Q,'caseload data'!$B:$B,"custody",'caseload data'!$C:$C,'custody %'!$T$15),"")</f>
        <v/>
      </c>
      <c r="AH17" s="167" t="str">
        <f>IFERROR(SUMIFS('caseload data'!R:R,'caseload data'!$C:$C,'custody %'!$T$15,'caseload data'!$D:$D,"PO",'caseload data'!$B:$B,"custody")/SUMIFS('caseload data'!R:R,'caseload data'!$B:$B,"custody",'caseload data'!$C:$C,'custody %'!$T$15),"")</f>
        <v/>
      </c>
      <c r="AI17" s="167"/>
      <c r="AJ17" s="167"/>
    </row>
    <row r="18" spans="2:36" x14ac:dyDescent="0.15">
      <c r="B18" s="97" t="s">
        <v>1007</v>
      </c>
      <c r="C18" s="167" t="str">
        <f>IFERROR(SUMIFS('caseload data'!E:E,'caseload data'!$C:$C,'custody %'!$B$15,'caseload data'!$D:$D,"PSO",'caseload data'!$B:$B,"custody")/SUMIFS('caseload data'!E:E,'caseload data'!$B:$B,"custody",'caseload data'!$C:$C,'custody %'!$B$15),"")</f>
        <v/>
      </c>
      <c r="D18" s="167" t="str">
        <f>IFERROR(SUMIFS('caseload data'!F:F,'caseload data'!$C:$C,'custody %'!$B$15,'caseload data'!$D:$D,"PSO",'caseload data'!$B:$B,"custody")/SUMIFS('caseload data'!F:F,'caseload data'!$B:$B,"custody",'caseload data'!$C:$C,'custody %'!$B$15),"")</f>
        <v/>
      </c>
      <c r="E18" s="167" t="str">
        <f>IFERROR(SUMIFS('caseload data'!G:G,'caseload data'!$C:$C,'custody %'!$B$15,'caseload data'!$D:$D,"PSO",'caseload data'!$B:$B,"custody")/SUMIFS('caseload data'!G:G,'caseload data'!$B:$B,"custody",'caseload data'!$C:$C,'custody %'!$B$15),"")</f>
        <v/>
      </c>
      <c r="F18" s="167" t="str">
        <f>IFERROR(SUMIFS('caseload data'!H:H,'caseload data'!$C:$C,'custody %'!$B$15,'caseload data'!$D:$D,"PSO",'caseload data'!$B:$B,"custody")/SUMIFS('caseload data'!H:H,'caseload data'!$B:$B,"custody",'caseload data'!$C:$C,'custody %'!$B$15),"")</f>
        <v/>
      </c>
      <c r="G18" s="167" t="str">
        <f>IFERROR(SUMIFS('caseload data'!I:I,'caseload data'!$C:$C,'custody %'!$B$15,'caseload data'!$D:$D,"PSO",'caseload data'!$B:$B,"custody")/SUMIFS('caseload data'!I:I,'caseload data'!$B:$B,"custody",'caseload data'!$C:$C,'custody %'!$B$15),"")</f>
        <v/>
      </c>
      <c r="H18" s="167" t="str">
        <f>IFERROR(SUMIFS('caseload data'!J:J,'caseload data'!$C:$C,'custody %'!$B$15,'caseload data'!$D:$D,"PSO",'caseload data'!$B:$B,"custody")/SUMIFS('caseload data'!J:J,'caseload data'!$B:$B,"custody",'caseload data'!$C:$C,'custody %'!$B$15),"")</f>
        <v/>
      </c>
      <c r="I18" s="167" t="str">
        <f>IFERROR(SUMIFS('caseload data'!K:K,'caseload data'!$C:$C,'custody %'!$B$15,'caseload data'!$D:$D,"PSO",'caseload data'!$B:$B,"custody")/SUMIFS('caseload data'!K:K,'caseload data'!$B:$B,"custody",'caseload data'!$C:$C,'custody %'!$B$15),"")</f>
        <v/>
      </c>
      <c r="J18" s="167" t="str">
        <f>IFERROR(SUMIFS('caseload data'!L:L,'caseload data'!$C:$C,'custody %'!$B$15,'caseload data'!$D:$D,"PSO",'caseload data'!$B:$B,"custody")/SUMIFS('caseload data'!L:L,'caseload data'!$B:$B,"custody",'caseload data'!$C:$C,'custody %'!$B$15),"")</f>
        <v/>
      </c>
      <c r="K18" s="167" t="str">
        <f>IFERROR(SUMIFS('caseload data'!M:M,'caseload data'!$C:$C,'custody %'!$B$15,'caseload data'!$D:$D,"PSO",'caseload data'!$B:$B,"custody")/SUMIFS('caseload data'!M:M,'caseload data'!$B:$B,"custody",'caseload data'!$C:$C,'custody %'!$B$15),"")</f>
        <v/>
      </c>
      <c r="L18" s="167" t="str">
        <f>IFERROR(SUMIFS('caseload data'!N:N,'caseload data'!$C:$C,'custody %'!$B$15,'caseload data'!$D:$D,"PSO",'caseload data'!$B:$B,"custody")/SUMIFS('caseload data'!N:N,'caseload data'!$B:$B,"custody",'caseload data'!$C:$C,'custody %'!$B$15),"")</f>
        <v/>
      </c>
      <c r="M18" s="167" t="str">
        <f>IFERROR(SUMIFS('caseload data'!O:O,'caseload data'!$C:$C,'custody %'!$B$15,'caseload data'!$D:$D,"PSO",'caseload data'!$B:$B,"custody")/SUMIFS('caseload data'!O:O,'caseload data'!$B:$B,"custody",'caseload data'!$C:$C,'custody %'!$B$15),"")</f>
        <v/>
      </c>
      <c r="N18" s="167" t="str">
        <f>IFERROR(SUMIFS('caseload data'!P:P,'caseload data'!$C:$C,'custody %'!$B$15,'caseload data'!$D:$D,"PSO",'caseload data'!$B:$B,"custody")/SUMIFS('caseload data'!P:P,'caseload data'!$B:$B,"custody",'caseload data'!$C:$C,'custody %'!$B$15),"")</f>
        <v/>
      </c>
      <c r="O18" s="167" t="str">
        <f>IFERROR(SUMIFS('caseload data'!Q:Q,'caseload data'!$C:$C,'custody %'!$B$15,'caseload data'!$D:$D,"PSO",'caseload data'!$B:$B,"custody")/SUMIFS('caseload data'!Q:Q,'caseload data'!$B:$B,"custody",'caseload data'!$C:$C,'custody %'!$B$15),"")</f>
        <v/>
      </c>
      <c r="P18" s="167" t="str">
        <f>IFERROR(SUMIFS('caseload data'!R:R,'caseload data'!$C:$C,'custody %'!$B$15,'caseload data'!$D:$D,"PSO",'caseload data'!$B:$B,"custody")/SUMIFS('caseload data'!R:R,'caseload data'!$B:$B,"custody",'caseload data'!$C:$C,'custody %'!$B$15),"")</f>
        <v/>
      </c>
      <c r="Q18" s="167" t="str">
        <f>IFERROR(SUMIFS('caseload data'!S:S,'caseload data'!$C:$C,'custody %'!$B$15,'caseload data'!$D:$D,"PSO",'caseload data'!$B:$B,"custody")/SUMIFS('caseload data'!S:S,'caseload data'!$B:$B,"custody",'caseload data'!$C:$C,'custody %'!$B$15),"")</f>
        <v/>
      </c>
      <c r="R18" s="167" t="str">
        <f>IFERROR(SUMIFS('caseload data'!T:T,'caseload data'!$C:$C,'custody %'!$B$15,'caseload data'!$D:$D,"PSO",'caseload data'!$B:$B,"custody")/SUMIFS('caseload data'!T:T,'caseload data'!$B:$B,"custody",'caseload data'!$C:$C,'custody %'!$B$15),"")</f>
        <v/>
      </c>
      <c r="S18" s="64"/>
      <c r="T18" s="97" t="s">
        <v>1007</v>
      </c>
      <c r="U18" s="167" t="str">
        <f>IFERROR(SUMIFS('caseload data'!E:E,'caseload data'!$C:$C,'custody %'!$T$15,'caseload data'!$D:$D,"PSO",'caseload data'!$B:$B,"custody")/SUMIFS('caseload data'!E:E,'caseload data'!$B:$B,"custody",'caseload data'!$C:$C,'custody %'!$T$15),"")</f>
        <v/>
      </c>
      <c r="V18" s="167" t="str">
        <f>IFERROR(SUMIFS('caseload data'!F:F,'caseload data'!$C:$C,'custody %'!$T$15,'caseload data'!$D:$D,"PSO",'caseload data'!$B:$B,"custody")/SUMIFS('caseload data'!F:F,'caseload data'!$B:$B,"custody",'caseload data'!$C:$C,'custody %'!$T$15),"")</f>
        <v/>
      </c>
      <c r="W18" s="167" t="str">
        <f>IFERROR(SUMIFS('caseload data'!G:G,'caseload data'!$C:$C,'custody %'!$T$15,'caseload data'!$D:$D,"PSO",'caseload data'!$B:$B,"custody")/SUMIFS('caseload data'!G:G,'caseload data'!$B:$B,"custody",'caseload data'!$C:$C,'custody %'!$T$15),"")</f>
        <v/>
      </c>
      <c r="X18" s="167" t="str">
        <f>IFERROR(SUMIFS('caseload data'!H:H,'caseload data'!$C:$C,'custody %'!$T$15,'caseload data'!$D:$D,"PSO",'caseload data'!$B:$B,"custody")/SUMIFS('caseload data'!H:H,'caseload data'!$B:$B,"custody",'caseload data'!$C:$C,'custody %'!$T$15),"")</f>
        <v/>
      </c>
      <c r="Y18" s="167" t="str">
        <f>IFERROR(SUMIFS('caseload data'!I:I,'caseload data'!$C:$C,'custody %'!$T$15,'caseload data'!$D:$D,"PSO",'caseload data'!$B:$B,"custody")/SUMIFS('caseload data'!I:I,'caseload data'!$B:$B,"custody",'caseload data'!$C:$C,'custody %'!$T$15),"")</f>
        <v/>
      </c>
      <c r="Z18" s="167" t="str">
        <f>IFERROR(SUMIFS('caseload data'!J:J,'caseload data'!$C:$C,'custody %'!$T$15,'caseload data'!$D:$D,"PSO",'caseload data'!$B:$B,"custody")/SUMIFS('caseload data'!J:J,'caseload data'!$B:$B,"custody",'caseload data'!$C:$C,'custody %'!$T$15),"")</f>
        <v/>
      </c>
      <c r="AA18" s="167" t="str">
        <f>IFERROR(SUMIFS('caseload data'!K:K,'caseload data'!$C:$C,'custody %'!$T$15,'caseload data'!$D:$D,"PSO",'caseload data'!$B:$B,"custody")/SUMIFS('caseload data'!K:K,'caseload data'!$B:$B,"custody",'caseload data'!$C:$C,'custody %'!$T$15),"")</f>
        <v/>
      </c>
      <c r="AB18" s="167" t="str">
        <f>IFERROR(SUMIFS('caseload data'!L:L,'caseload data'!$C:$C,'custody %'!$T$15,'caseload data'!$D:$D,"PSO",'caseload data'!$B:$B,"custody")/SUMIFS('caseload data'!L:L,'caseload data'!$B:$B,"custody",'caseload data'!$C:$C,'custody %'!$T$15),"")</f>
        <v/>
      </c>
      <c r="AC18" s="167" t="str">
        <f>IFERROR(SUMIFS('caseload data'!M:M,'caseload data'!$C:$C,'custody %'!$T$15,'caseload data'!$D:$D,"PSO",'caseload data'!$B:$B,"custody")/SUMIFS('caseload data'!M:M,'caseload data'!$B:$B,"custody",'caseload data'!$C:$C,'custody %'!$T$15),"")</f>
        <v/>
      </c>
      <c r="AD18" s="167" t="str">
        <f>IFERROR(SUMIFS('caseload data'!N:N,'caseload data'!$C:$C,'custody %'!$T$15,'caseload data'!$D:$D,"PSO",'caseload data'!$B:$B,"custody")/SUMIFS('caseload data'!N:N,'caseload data'!$B:$B,"custody",'caseload data'!$C:$C,'custody %'!$T$15),"")</f>
        <v/>
      </c>
      <c r="AE18" s="167" t="str">
        <f>IFERROR(SUMIFS('caseload data'!O:O,'caseload data'!$C:$C,'custody %'!$T$15,'caseload data'!$D:$D,"PSO",'caseload data'!$B:$B,"custody")/SUMIFS('caseload data'!O:O,'caseload data'!$B:$B,"custody",'caseload data'!$C:$C,'custody %'!$T$15),"")</f>
        <v/>
      </c>
      <c r="AF18" s="167" t="str">
        <f>IFERROR(SUMIFS('caseload data'!P:P,'caseload data'!$C:$C,'custody %'!$T$15,'caseload data'!$D:$D,"PSO",'caseload data'!$B:$B,"custody")/SUMIFS('caseload data'!P:P,'caseload data'!$B:$B,"custody",'caseload data'!$C:$C,'custody %'!$T$15),"")</f>
        <v/>
      </c>
      <c r="AG18" s="167" t="str">
        <f>IFERROR(SUMIFS('caseload data'!Q:Q,'caseload data'!$C:$C,'custody %'!$T$15,'caseload data'!$D:$D,"PSO",'caseload data'!$B:$B,"custody")/SUMIFS('caseload data'!Q:Q,'caseload data'!$B:$B,"custody",'caseload data'!$C:$C,'custody %'!$T$15),"")</f>
        <v/>
      </c>
      <c r="AH18" s="167" t="str">
        <f>IFERROR(SUMIFS('caseload data'!R:R,'caseload data'!$C:$C,'custody %'!$T$15,'caseload data'!$D:$D,"PSO",'caseload data'!$B:$B,"custody")/SUMIFS('caseload data'!R:R,'caseload data'!$B:$B,"custody",'caseload data'!$C:$C,'custody %'!$T$15),"")</f>
        <v/>
      </c>
      <c r="AI18" s="167"/>
      <c r="AJ18" s="167"/>
    </row>
    <row r="19" spans="2:36" x14ac:dyDescent="0.15">
      <c r="B19" s="97" t="s">
        <v>1008</v>
      </c>
      <c r="C19" s="167" t="str">
        <f>IFERROR(SUMIFS('caseload data'!E:E,'caseload data'!$C:$C,'custody %'!$B$15,'caseload data'!$D:$D,"TPO",'caseload data'!$B:$B,"custody")/SUMIFS('caseload data'!E:E,'caseload data'!$B:$B,"custody",'caseload data'!$C:$C,'custody %'!$B$15),"")</f>
        <v/>
      </c>
      <c r="D19" s="167" t="str">
        <f>IFERROR(SUMIFS('caseload data'!F:F,'caseload data'!$C:$C,'custody %'!$B$15,'caseload data'!$D:$D,"TPO",'caseload data'!$B:$B,"custody")/SUMIFS('caseload data'!F:F,'caseload data'!$B:$B,"custody",'caseload data'!$C:$C,'custody %'!$B$15),"")</f>
        <v/>
      </c>
      <c r="E19" s="167" t="str">
        <f>IFERROR(SUMIFS('caseload data'!G:G,'caseload data'!$C:$C,'custody %'!$B$15,'caseload data'!$D:$D,"TPO",'caseload data'!$B:$B,"custody")/SUMIFS('caseload data'!G:G,'caseload data'!$B:$B,"custody",'caseload data'!$C:$C,'custody %'!$B$15),"")</f>
        <v/>
      </c>
      <c r="F19" s="167" t="str">
        <f>IFERROR(SUMIFS('caseload data'!H:H,'caseload data'!$C:$C,'custody %'!$B$15,'caseload data'!$D:$D,"TPO",'caseload data'!$B:$B,"custody")/SUMIFS('caseload data'!H:H,'caseload data'!$B:$B,"custody",'caseload data'!$C:$C,'custody %'!$B$15),"")</f>
        <v/>
      </c>
      <c r="G19" s="167" t="str">
        <f>IFERROR(SUMIFS('caseload data'!I:I,'caseload data'!$C:$C,'custody %'!$B$15,'caseload data'!$D:$D,"TPO",'caseload data'!$B:$B,"custody")/SUMIFS('caseload data'!I:I,'caseload data'!$B:$B,"custody",'caseload data'!$C:$C,'custody %'!$B$15),"")</f>
        <v/>
      </c>
      <c r="H19" s="167" t="str">
        <f>IFERROR(SUMIFS('caseload data'!J:J,'caseload data'!$C:$C,'custody %'!$B$15,'caseload data'!$D:$D,"TPO",'caseload data'!$B:$B,"custody")/SUMIFS('caseload data'!J:J,'caseload data'!$B:$B,"custody",'caseload data'!$C:$C,'custody %'!$B$15),"")</f>
        <v/>
      </c>
      <c r="I19" s="167" t="str">
        <f>IFERROR(SUMIFS('caseload data'!K:K,'caseload data'!$C:$C,'custody %'!$B$15,'caseload data'!$D:$D,"TPO",'caseload data'!$B:$B,"custody")/SUMIFS('caseload data'!K:K,'caseload data'!$B:$B,"custody",'caseload data'!$C:$C,'custody %'!$B$15),"")</f>
        <v/>
      </c>
      <c r="J19" s="167" t="str">
        <f>IFERROR(SUMIFS('caseload data'!L:L,'caseload data'!$C:$C,'custody %'!$B$15,'caseload data'!$D:$D,"TPO",'caseload data'!$B:$B,"custody")/SUMIFS('caseload data'!L:L,'caseload data'!$B:$B,"custody",'caseload data'!$C:$C,'custody %'!$B$15),"")</f>
        <v/>
      </c>
      <c r="K19" s="167" t="str">
        <f>IFERROR(SUMIFS('caseload data'!M:M,'caseload data'!$C:$C,'custody %'!$B$15,'caseload data'!$D:$D,"TPO",'caseload data'!$B:$B,"custody")/SUMIFS('caseload data'!M:M,'caseload data'!$B:$B,"custody",'caseload data'!$C:$C,'custody %'!$B$15),"")</f>
        <v/>
      </c>
      <c r="L19" s="167" t="str">
        <f>IFERROR(SUMIFS('caseload data'!N:N,'caseload data'!$C:$C,'custody %'!$B$15,'caseload data'!$D:$D,"TPO",'caseload data'!$B:$B,"custody")/SUMIFS('caseload data'!N:N,'caseload data'!$B:$B,"custody",'caseload data'!$C:$C,'custody %'!$B$15),"")</f>
        <v/>
      </c>
      <c r="M19" s="167" t="str">
        <f>IFERROR(SUMIFS('caseload data'!O:O,'caseload data'!$C:$C,'custody %'!$B$15,'caseload data'!$D:$D,"TPO",'caseload data'!$B:$B,"custody")/SUMIFS('caseload data'!O:O,'caseload data'!$B:$B,"custody",'caseload data'!$C:$C,'custody %'!$B$15),"")</f>
        <v/>
      </c>
      <c r="N19" s="167" t="str">
        <f>IFERROR(SUMIFS('caseload data'!P:P,'caseload data'!$C:$C,'custody %'!$B$15,'caseload data'!$D:$D,"TPO",'caseload data'!$B:$B,"custody")/SUMIFS('caseload data'!P:P,'caseload data'!$B:$B,"custody",'caseload data'!$C:$C,'custody %'!$B$15),"")</f>
        <v/>
      </c>
      <c r="O19" s="167" t="str">
        <f>IFERROR(SUMIFS('caseload data'!Q:Q,'caseload data'!$C:$C,'custody %'!$B$15,'caseload data'!$D:$D,"TPO",'caseload data'!$B:$B,"custody")/SUMIFS('caseload data'!Q:Q,'caseload data'!$B:$B,"custody",'caseload data'!$C:$C,'custody %'!$B$15),"")</f>
        <v/>
      </c>
      <c r="P19" s="167" t="str">
        <f>IFERROR(SUMIFS('caseload data'!R:R,'caseload data'!$C:$C,'custody %'!$B$15,'caseload data'!$D:$D,"TPO",'caseload data'!$B:$B,"custody")/SUMIFS('caseload data'!R:R,'caseload data'!$B:$B,"custody",'caseload data'!$C:$C,'custody %'!$B$15),"")</f>
        <v/>
      </c>
      <c r="Q19" s="167" t="str">
        <f>IFERROR(SUMIFS('caseload data'!S:S,'caseload data'!$C:$C,'custody %'!$B$15,'caseload data'!$D:$D,"TPO",'caseload data'!$B:$B,"custody")/SUMIFS('caseload data'!S:S,'caseload data'!$B:$B,"custody",'caseload data'!$C:$C,'custody %'!$B$15),"")</f>
        <v/>
      </c>
      <c r="R19" s="167" t="str">
        <f>IFERROR(SUMIFS('caseload data'!T:T,'caseload data'!$C:$C,'custody %'!$B$15,'caseload data'!$D:$D,"TPO",'caseload data'!$B:$B,"custody")/SUMIFS('caseload data'!T:T,'caseload data'!$B:$B,"custody",'caseload data'!$C:$C,'custody %'!$B$15),"")</f>
        <v/>
      </c>
      <c r="S19" s="64"/>
      <c r="T19" s="97" t="s">
        <v>1008</v>
      </c>
      <c r="U19" s="167" t="str">
        <f>IFERROR(SUMIFS('caseload data'!E:E,'caseload data'!$C:$C,'custody %'!$T$15,'caseload data'!$D:$D,"TPO",'caseload data'!$B:$B,"custody")/SUMIFS('caseload data'!E:E,'caseload data'!$B:$B,"custody",'caseload data'!$C:$C,'custody %'!$T$15),"")</f>
        <v/>
      </c>
      <c r="V19" s="167" t="str">
        <f>IFERROR(SUMIFS('caseload data'!F:F,'caseload data'!$C:$C,'custody %'!$T$15,'caseload data'!$D:$D,"TPO",'caseload data'!$B:$B,"custody")/SUMIFS('caseload data'!F:F,'caseload data'!$B:$B,"custody",'caseload data'!$C:$C,'custody %'!$T$15),"")</f>
        <v/>
      </c>
      <c r="W19" s="167" t="str">
        <f>IFERROR(SUMIFS('caseload data'!G:G,'caseload data'!$C:$C,'custody %'!$T$15,'caseload data'!$D:$D,"TPO",'caseload data'!$B:$B,"custody")/SUMIFS('caseload data'!G:G,'caseload data'!$B:$B,"custody",'caseload data'!$C:$C,'custody %'!$T$15),"")</f>
        <v/>
      </c>
      <c r="X19" s="167" t="str">
        <f>IFERROR(SUMIFS('caseload data'!H:H,'caseload data'!$C:$C,'custody %'!$T$15,'caseload data'!$D:$D,"TPO",'caseload data'!$B:$B,"custody")/SUMIFS('caseload data'!H:H,'caseload data'!$B:$B,"custody",'caseload data'!$C:$C,'custody %'!$T$15),"")</f>
        <v/>
      </c>
      <c r="Y19" s="167" t="str">
        <f>IFERROR(SUMIFS('caseload data'!I:I,'caseload data'!$C:$C,'custody %'!$T$15,'caseload data'!$D:$D,"TPO",'caseload data'!$B:$B,"custody")/SUMIFS('caseload data'!I:I,'caseload data'!$B:$B,"custody",'caseload data'!$C:$C,'custody %'!$T$15),"")</f>
        <v/>
      </c>
      <c r="Z19" s="167" t="str">
        <f>IFERROR(SUMIFS('caseload data'!J:J,'caseload data'!$C:$C,'custody %'!$T$15,'caseload data'!$D:$D,"TPO",'caseload data'!$B:$B,"custody")/SUMIFS('caseload data'!J:J,'caseload data'!$B:$B,"custody",'caseload data'!$C:$C,'custody %'!$T$15),"")</f>
        <v/>
      </c>
      <c r="AA19" s="167" t="str">
        <f>IFERROR(SUMIFS('caseload data'!K:K,'caseload data'!$C:$C,'custody %'!$T$15,'caseload data'!$D:$D,"TPO",'caseload data'!$B:$B,"custody")/SUMIFS('caseload data'!K:K,'caseload data'!$B:$B,"custody",'caseload data'!$C:$C,'custody %'!$T$15),"")</f>
        <v/>
      </c>
      <c r="AB19" s="167" t="str">
        <f>IFERROR(SUMIFS('caseload data'!L:L,'caseload data'!$C:$C,'custody %'!$T$15,'caseload data'!$D:$D,"TPO",'caseload data'!$B:$B,"custody")/SUMIFS('caseload data'!L:L,'caseload data'!$B:$B,"custody",'caseload data'!$C:$C,'custody %'!$T$15),"")</f>
        <v/>
      </c>
      <c r="AC19" s="167" t="str">
        <f>IFERROR(SUMIFS('caseload data'!M:M,'caseload data'!$C:$C,'custody %'!$T$15,'caseload data'!$D:$D,"TPO",'caseload data'!$B:$B,"custody")/SUMIFS('caseload data'!M:M,'caseload data'!$B:$B,"custody",'caseload data'!$C:$C,'custody %'!$T$15),"")</f>
        <v/>
      </c>
      <c r="AD19" s="167" t="str">
        <f>IFERROR(SUMIFS('caseload data'!N:N,'caseload data'!$C:$C,'custody %'!$T$15,'caseload data'!$D:$D,"TPO",'caseload data'!$B:$B,"custody")/SUMIFS('caseload data'!N:N,'caseload data'!$B:$B,"custody",'caseload data'!$C:$C,'custody %'!$T$15),"")</f>
        <v/>
      </c>
      <c r="AE19" s="167" t="str">
        <f>IFERROR(SUMIFS('caseload data'!O:O,'caseload data'!$C:$C,'custody %'!$T$15,'caseload data'!$D:$D,"TPO",'caseload data'!$B:$B,"custody")/SUMIFS('caseload data'!O:O,'caseload data'!$B:$B,"custody",'caseload data'!$C:$C,'custody %'!$T$15),"")</f>
        <v/>
      </c>
      <c r="AF19" s="167" t="str">
        <f>IFERROR(SUMIFS('caseload data'!P:P,'caseload data'!$C:$C,'custody %'!$T$15,'caseload data'!$D:$D,"TPO",'caseload data'!$B:$B,"custody")/SUMIFS('caseload data'!P:P,'caseload data'!$B:$B,"custody",'caseload data'!$C:$C,'custody %'!$T$15),"")</f>
        <v/>
      </c>
      <c r="AG19" s="167" t="str">
        <f>IFERROR(SUMIFS('caseload data'!Q:Q,'caseload data'!$C:$C,'custody %'!$T$15,'caseload data'!$D:$D,"TPO",'caseload data'!$B:$B,"custody")/SUMIFS('caseload data'!Q:Q,'caseload data'!$B:$B,"custody",'caseload data'!$C:$C,'custody %'!$T$15),"")</f>
        <v/>
      </c>
      <c r="AH19" s="167" t="str">
        <f>IFERROR(SUMIFS('caseload data'!R:R,'caseload data'!$C:$C,'custody %'!$T$15,'caseload data'!$D:$D,"TPO",'caseload data'!$B:$B,"custody")/SUMIFS('caseload data'!R:R,'caseload data'!$B:$B,"custody",'caseload data'!$C:$C,'custody %'!$T$15),"")</f>
        <v/>
      </c>
      <c r="AI19" s="167"/>
      <c r="AJ19" s="167"/>
    </row>
    <row r="20" spans="2:36" x14ac:dyDescent="0.15">
      <c r="B20" s="98" t="s">
        <v>1009</v>
      </c>
      <c r="C20" s="167" t="str">
        <f>IFERROR(SUMIFS('caseload data'!E:E,'caseload data'!$C:$C,'custody %'!$B$15,'caseload data'!$D:$D,"SPO",'caseload data'!$B:$B,"custody")/SUMIFS('caseload data'!E:E,'caseload data'!$B:$B,"custody",'caseload data'!$C:$C,'custody %'!$B$15),"")</f>
        <v/>
      </c>
      <c r="D20" s="167" t="str">
        <f>IFERROR(SUMIFS('caseload data'!F:F,'caseload data'!$C:$C,'custody %'!$B$15,'caseload data'!$D:$D,"SPO",'caseload data'!$B:$B,"custody")/SUMIFS('caseload data'!F:F,'caseload data'!$B:$B,"custody",'caseload data'!$C:$C,'custody %'!$B$15),"")</f>
        <v/>
      </c>
      <c r="E20" s="167" t="str">
        <f>IFERROR(SUMIFS('caseload data'!G:G,'caseload data'!$C:$C,'custody %'!$B$15,'caseload data'!$D:$D,"SPO",'caseload data'!$B:$B,"custody")/SUMIFS('caseload data'!G:G,'caseload data'!$B:$B,"custody",'caseload data'!$C:$C,'custody %'!$B$15),"")</f>
        <v/>
      </c>
      <c r="F20" s="167" t="str">
        <f>IFERROR(SUMIFS('caseload data'!H:H,'caseload data'!$C:$C,'custody %'!$B$15,'caseload data'!$D:$D,"SPO",'caseload data'!$B:$B,"custody")/SUMIFS('caseload data'!H:H,'caseload data'!$B:$B,"custody",'caseload data'!$C:$C,'custody %'!$B$15),"")</f>
        <v/>
      </c>
      <c r="G20" s="167" t="str">
        <f>IFERROR(SUMIFS('caseload data'!I:I,'caseload data'!$C:$C,'custody %'!$B$15,'caseload data'!$D:$D,"SPO",'caseload data'!$B:$B,"custody")/SUMIFS('caseload data'!I:I,'caseload data'!$B:$B,"custody",'caseload data'!$C:$C,'custody %'!$B$15),"")</f>
        <v/>
      </c>
      <c r="H20" s="167" t="str">
        <f>IFERROR(SUMIFS('caseload data'!J:J,'caseload data'!$C:$C,'custody %'!$B$15,'caseload data'!$D:$D,"SPO",'caseload data'!$B:$B,"custody")/SUMIFS('caseload data'!J:J,'caseload data'!$B:$B,"custody",'caseload data'!$C:$C,'custody %'!$B$15),"")</f>
        <v/>
      </c>
      <c r="I20" s="167" t="str">
        <f>IFERROR(SUMIFS('caseload data'!K:K,'caseload data'!$C:$C,'custody %'!$B$15,'caseload data'!$D:$D,"SPO",'caseload data'!$B:$B,"custody")/SUMIFS('caseload data'!K:K,'caseload data'!$B:$B,"custody",'caseload data'!$C:$C,'custody %'!$B$15),"")</f>
        <v/>
      </c>
      <c r="J20" s="167" t="str">
        <f>IFERROR(SUMIFS('caseload data'!L:L,'caseload data'!$C:$C,'custody %'!$B$15,'caseload data'!$D:$D,"SPO",'caseload data'!$B:$B,"custody")/SUMIFS('caseload data'!L:L,'caseload data'!$B:$B,"custody",'caseload data'!$C:$C,'custody %'!$B$15),"")</f>
        <v/>
      </c>
      <c r="K20" s="167" t="str">
        <f>IFERROR(SUMIFS('caseload data'!M:M,'caseload data'!$C:$C,'custody %'!$B$15,'caseload data'!$D:$D,"SPO",'caseload data'!$B:$B,"custody")/SUMIFS('caseload data'!M:M,'caseload data'!$B:$B,"custody",'caseload data'!$C:$C,'custody %'!$B$15),"")</f>
        <v/>
      </c>
      <c r="L20" s="167" t="str">
        <f>IFERROR(SUMIFS('caseload data'!N:N,'caseload data'!$C:$C,'custody %'!$B$15,'caseload data'!$D:$D,"SPO",'caseload data'!$B:$B,"custody")/SUMIFS('caseload data'!N:N,'caseload data'!$B:$B,"custody",'caseload data'!$C:$C,'custody %'!$B$15),"")</f>
        <v/>
      </c>
      <c r="M20" s="167" t="str">
        <f>IFERROR(SUMIFS('caseload data'!O:O,'caseload data'!$C:$C,'custody %'!$B$15,'caseload data'!$D:$D,"SPO",'caseload data'!$B:$B,"custody")/SUMIFS('caseload data'!O:O,'caseload data'!$B:$B,"custody",'caseload data'!$C:$C,'custody %'!$B$15),"")</f>
        <v/>
      </c>
      <c r="N20" s="167" t="str">
        <f>IFERROR(SUMIFS('caseload data'!P:P,'caseload data'!$C:$C,'custody %'!$B$15,'caseload data'!$D:$D,"SPO",'caseload data'!$B:$B,"custody")/SUMIFS('caseload data'!P:P,'caseload data'!$B:$B,"custody",'caseload data'!$C:$C,'custody %'!$B$15),"")</f>
        <v/>
      </c>
      <c r="O20" s="167" t="str">
        <f>IFERROR(SUMIFS('caseload data'!Q:Q,'caseload data'!$C:$C,'custody %'!$B$15,'caseload data'!$D:$D,"SPO",'caseload data'!$B:$B,"custody")/SUMIFS('caseload data'!Q:Q,'caseload data'!$B:$B,"custody",'caseload data'!$C:$C,'custody %'!$B$15),"")</f>
        <v/>
      </c>
      <c r="P20" s="167" t="str">
        <f>IFERROR(SUMIFS('caseload data'!R:R,'caseload data'!$C:$C,'custody %'!$B$15,'caseload data'!$D:$D,"SPO",'caseload data'!$B:$B,"custody")/SUMIFS('caseload data'!R:R,'caseload data'!$B:$B,"custody",'caseload data'!$C:$C,'custody %'!$B$15),"")</f>
        <v/>
      </c>
      <c r="Q20" s="167" t="str">
        <f>IFERROR(SUMIFS('caseload data'!S:S,'caseload data'!$C:$C,'custody %'!$B$15,'caseload data'!$D:$D,"SPO",'caseload data'!$B:$B,"custody")/SUMIFS('caseload data'!S:S,'caseload data'!$B:$B,"custody",'caseload data'!$C:$C,'custody %'!$B$15),"")</f>
        <v/>
      </c>
      <c r="R20" s="167" t="str">
        <f>IFERROR(SUMIFS('caseload data'!T:T,'caseload data'!$C:$C,'custody %'!$B$15,'caseload data'!$D:$D,"SPO",'caseload data'!$B:$B,"custody")/SUMIFS('caseload data'!T:T,'caseload data'!$B:$B,"custody",'caseload data'!$C:$C,'custody %'!$B$15),"")</f>
        <v/>
      </c>
      <c r="S20" s="64"/>
      <c r="T20" s="98" t="s">
        <v>1009</v>
      </c>
      <c r="U20" s="167" t="str">
        <f>IFERROR(SUMIFS('caseload data'!E:E,'caseload data'!$C:$C,'custody %'!$T$15,'caseload data'!$D:$D,"SPO",'caseload data'!$B:$B,"custody")/SUMIFS('caseload data'!E:E,'caseload data'!$B:$B,"custody",'caseload data'!$C:$C,'custody %'!$T$15),"")</f>
        <v/>
      </c>
      <c r="V20" s="167" t="str">
        <f>IFERROR(SUMIFS('caseload data'!F:F,'caseload data'!$C:$C,'custody %'!$T$15,'caseload data'!$D:$D,"SPO",'caseload data'!$B:$B,"custody")/SUMIFS('caseload data'!F:F,'caseload data'!$B:$B,"custody",'caseload data'!$C:$C,'custody %'!$T$15),"")</f>
        <v/>
      </c>
      <c r="W20" s="167" t="str">
        <f>IFERROR(SUMIFS('caseload data'!G:G,'caseload data'!$C:$C,'custody %'!$T$15,'caseload data'!$D:$D,"SPO",'caseload data'!$B:$B,"custody")/SUMIFS('caseload data'!G:G,'caseload data'!$B:$B,"custody",'caseload data'!$C:$C,'custody %'!$T$15),"")</f>
        <v/>
      </c>
      <c r="X20" s="167" t="str">
        <f>IFERROR(SUMIFS('caseload data'!H:H,'caseload data'!$C:$C,'custody %'!$T$15,'caseload data'!$D:$D,"SPO",'caseload data'!$B:$B,"custody")/SUMIFS('caseload data'!H:H,'caseload data'!$B:$B,"custody",'caseload data'!$C:$C,'custody %'!$T$15),"")</f>
        <v/>
      </c>
      <c r="Y20" s="167" t="str">
        <f>IFERROR(SUMIFS('caseload data'!I:I,'caseload data'!$C:$C,'custody %'!$T$15,'caseload data'!$D:$D,"SPO",'caseload data'!$B:$B,"custody")/SUMIFS('caseload data'!I:I,'caseload data'!$B:$B,"custody",'caseload data'!$C:$C,'custody %'!$T$15),"")</f>
        <v/>
      </c>
      <c r="Z20" s="167" t="str">
        <f>IFERROR(SUMIFS('caseload data'!J:J,'caseload data'!$C:$C,'custody %'!$T$15,'caseload data'!$D:$D,"SPO",'caseload data'!$B:$B,"custody")/SUMIFS('caseload data'!J:J,'caseload data'!$B:$B,"custody",'caseload data'!$C:$C,'custody %'!$T$15),"")</f>
        <v/>
      </c>
      <c r="AA20" s="167" t="str">
        <f>IFERROR(SUMIFS('caseload data'!K:K,'caseload data'!$C:$C,'custody %'!$T$15,'caseload data'!$D:$D,"SPO",'caseload data'!$B:$B,"custody")/SUMIFS('caseload data'!K:K,'caseload data'!$B:$B,"custody",'caseload data'!$C:$C,'custody %'!$T$15),"")</f>
        <v/>
      </c>
      <c r="AB20" s="167" t="str">
        <f>IFERROR(SUMIFS('caseload data'!L:L,'caseload data'!$C:$C,'custody %'!$T$15,'caseload data'!$D:$D,"SPO",'caseload data'!$B:$B,"custody")/SUMIFS('caseload data'!L:L,'caseload data'!$B:$B,"custody",'caseload data'!$C:$C,'custody %'!$T$15),"")</f>
        <v/>
      </c>
      <c r="AC20" s="167" t="str">
        <f>IFERROR(SUMIFS('caseload data'!M:M,'caseload data'!$C:$C,'custody %'!$T$15,'caseload data'!$D:$D,"SPO",'caseload data'!$B:$B,"custody")/SUMIFS('caseload data'!M:M,'caseload data'!$B:$B,"custody",'caseload data'!$C:$C,'custody %'!$T$15),"")</f>
        <v/>
      </c>
      <c r="AD20" s="167" t="str">
        <f>IFERROR(SUMIFS('caseload data'!N:N,'caseload data'!$C:$C,'custody %'!$T$15,'caseload data'!$D:$D,"SPO",'caseload data'!$B:$B,"custody")/SUMIFS('caseload data'!N:N,'caseload data'!$B:$B,"custody",'caseload data'!$C:$C,'custody %'!$T$15),"")</f>
        <v/>
      </c>
      <c r="AE20" s="167" t="str">
        <f>IFERROR(SUMIFS('caseload data'!O:O,'caseload data'!$C:$C,'custody %'!$T$15,'caseload data'!$D:$D,"SPO",'caseload data'!$B:$B,"custody")/SUMIFS('caseload data'!O:O,'caseload data'!$B:$B,"custody",'caseload data'!$C:$C,'custody %'!$T$15),"")</f>
        <v/>
      </c>
      <c r="AF20" s="167" t="str">
        <f>IFERROR(SUMIFS('caseload data'!P:P,'caseload data'!$C:$C,'custody %'!$T$15,'caseload data'!$D:$D,"SPO",'caseload data'!$B:$B,"custody")/SUMIFS('caseload data'!P:P,'caseload data'!$B:$B,"custody",'caseload data'!$C:$C,'custody %'!$T$15),"")</f>
        <v/>
      </c>
      <c r="AG20" s="167" t="str">
        <f>IFERROR(SUMIFS('caseload data'!Q:Q,'caseload data'!$C:$C,'custody %'!$T$15,'caseload data'!$D:$D,"SPO",'caseload data'!$B:$B,"custody")/SUMIFS('caseload data'!Q:Q,'caseload data'!$B:$B,"custody",'caseload data'!$C:$C,'custody %'!$T$15),"")</f>
        <v/>
      </c>
      <c r="AH20" s="167" t="str">
        <f>IFERROR(SUMIFS('caseload data'!R:R,'caseload data'!$C:$C,'custody %'!$T$15,'caseload data'!$D:$D,"SPO",'caseload data'!$B:$B,"custody")/SUMIFS('caseload data'!R:R,'caseload data'!$B:$B,"custody",'caseload data'!$C:$C,'custody %'!$T$15),"")</f>
        <v/>
      </c>
      <c r="AI20" s="167"/>
      <c r="AJ20" s="167"/>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row>
    <row r="22" spans="2:36" ht="30.75" customHeight="1" x14ac:dyDescent="0.15">
      <c r="B22" s="289" t="str">
        <f>HLOOKUP($B$5,Region_Table,6,0)</f>
        <v>Lincolnshire East and West - N53</v>
      </c>
      <c r="C22" s="515" t="s">
        <v>1131</v>
      </c>
      <c r="D22" s="516"/>
      <c r="E22" s="516"/>
      <c r="F22" s="516"/>
      <c r="G22" s="516"/>
      <c r="H22" s="516"/>
      <c r="I22" s="516"/>
      <c r="J22" s="516"/>
      <c r="K22" s="516"/>
      <c r="L22" s="516"/>
      <c r="M22" s="535"/>
      <c r="N22" s="535"/>
      <c r="O22" s="536"/>
      <c r="P22" s="510">
        <f>SUMIF('caseload data'!$C:$C,'custody %'!B22,'caseload data'!V:V)</f>
        <v>0</v>
      </c>
      <c r="Q22" s="527"/>
      <c r="R22" s="528"/>
      <c r="S22" s="64"/>
      <c r="T22" s="289" t="str">
        <f>HLOOKUP($B$5,Region_Table,7,0)</f>
        <v>Nottingham City</v>
      </c>
      <c r="U22" s="515" t="s">
        <v>1131</v>
      </c>
      <c r="V22" s="516"/>
      <c r="W22" s="516"/>
      <c r="X22" s="516"/>
      <c r="Y22" s="516"/>
      <c r="Z22" s="516"/>
      <c r="AA22" s="516"/>
      <c r="AB22" s="516"/>
      <c r="AC22" s="535"/>
      <c r="AD22" s="535"/>
      <c r="AE22" s="536"/>
      <c r="AF22" s="510">
        <f>SUMIF('caseload data'!$C:$C,'custody %'!T22,'caseload data'!V:V)</f>
        <v>0</v>
      </c>
      <c r="AG22" s="527"/>
      <c r="AH22" s="528"/>
    </row>
    <row r="23" spans="2:36" x14ac:dyDescent="0.15">
      <c r="B23" s="95" t="s">
        <v>1005</v>
      </c>
      <c r="C23" s="38" t="s">
        <v>869</v>
      </c>
      <c r="D23" s="38" t="s">
        <v>870</v>
      </c>
      <c r="E23" s="38" t="s">
        <v>871</v>
      </c>
      <c r="F23" s="38" t="s">
        <v>872</v>
      </c>
      <c r="G23" s="38" t="s">
        <v>873</v>
      </c>
      <c r="H23" s="38" t="s">
        <v>874</v>
      </c>
      <c r="I23" s="38" t="s">
        <v>875</v>
      </c>
      <c r="J23" s="38" t="s">
        <v>876</v>
      </c>
      <c r="K23" s="38" t="s">
        <v>877</v>
      </c>
      <c r="L23" s="38" t="s">
        <v>878</v>
      </c>
      <c r="M23" s="38" t="s">
        <v>879</v>
      </c>
      <c r="N23" s="38" t="s">
        <v>880</v>
      </c>
      <c r="O23" s="38" t="s">
        <v>881</v>
      </c>
      <c r="P23" s="38" t="s">
        <v>882</v>
      </c>
      <c r="Q23" s="38" t="s">
        <v>883</v>
      </c>
      <c r="R23" s="38" t="s">
        <v>884</v>
      </c>
      <c r="S23" s="64"/>
      <c r="T23" s="95" t="s">
        <v>1005</v>
      </c>
      <c r="U23" s="38" t="s">
        <v>869</v>
      </c>
      <c r="V23" s="38" t="s">
        <v>870</v>
      </c>
      <c r="W23" s="38" t="s">
        <v>871</v>
      </c>
      <c r="X23" s="38" t="s">
        <v>872</v>
      </c>
      <c r="Y23" s="38" t="s">
        <v>873</v>
      </c>
      <c r="Z23" s="38" t="s">
        <v>874</v>
      </c>
      <c r="AA23" s="38" t="s">
        <v>875</v>
      </c>
      <c r="AB23" s="38" t="s">
        <v>876</v>
      </c>
      <c r="AC23" s="38" t="s">
        <v>877</v>
      </c>
      <c r="AD23" s="38" t="s">
        <v>878</v>
      </c>
      <c r="AE23" s="38" t="s">
        <v>879</v>
      </c>
      <c r="AF23" s="38" t="s">
        <v>880</v>
      </c>
      <c r="AG23" s="38" t="s">
        <v>881</v>
      </c>
      <c r="AH23" s="38" t="s">
        <v>882</v>
      </c>
      <c r="AI23" s="38" t="s">
        <v>883</v>
      </c>
      <c r="AJ23" s="38" t="s">
        <v>884</v>
      </c>
    </row>
    <row r="24" spans="2:36" x14ac:dyDescent="0.15">
      <c r="B24" s="96" t="s">
        <v>1002</v>
      </c>
      <c r="C24" s="167" t="str">
        <f>IFERROR(SUMIFS('caseload data'!E:E,'caseload data'!$C:$C,'custody %'!$B$22,'caseload data'!$D:$D,"PO",'caseload data'!$B:$B,"custody")/SUMIFS('caseload data'!E:E,'caseload data'!$B:$B,"custody",'caseload data'!$C:$C,'custody %'!$B$22),"")</f>
        <v/>
      </c>
      <c r="D24" s="167" t="str">
        <f>IFERROR(SUMIFS('caseload data'!F:F,'caseload data'!$C:$C,'custody %'!$B$22,'caseload data'!$D:$D,"PO",'caseload data'!$B:$B,"custody")/SUMIFS('caseload data'!F:F,'caseload data'!$B:$B,"custody",'caseload data'!$C:$C,'custody %'!$B$22),"")</f>
        <v/>
      </c>
      <c r="E24" s="167" t="str">
        <f>IFERROR(SUMIFS('caseload data'!G:G,'caseload data'!$C:$C,'custody %'!$B$22,'caseload data'!$D:$D,"PO",'caseload data'!$B:$B,"custody")/SUMIFS('caseload data'!G:G,'caseload data'!$B:$B,"custody",'caseload data'!$C:$C,'custody %'!$B$22),"")</f>
        <v/>
      </c>
      <c r="F24" s="167" t="str">
        <f>IFERROR(SUMIFS('caseload data'!H:H,'caseload data'!$C:$C,'custody %'!$B$22,'caseload data'!$D:$D,"PO",'caseload data'!$B:$B,"custody")/SUMIFS('caseload data'!H:H,'caseload data'!$B:$B,"custody",'caseload data'!$C:$C,'custody %'!$B$22),"")</f>
        <v/>
      </c>
      <c r="G24" s="167" t="str">
        <f>IFERROR(SUMIFS('caseload data'!I:I,'caseload data'!$C:$C,'custody %'!$B$22,'caseload data'!$D:$D,"PO",'caseload data'!$B:$B,"custody")/SUMIFS('caseload data'!I:I,'caseload data'!$B:$B,"custody",'caseload data'!$C:$C,'custody %'!$B$22),"")</f>
        <v/>
      </c>
      <c r="H24" s="167" t="str">
        <f>IFERROR(SUMIFS('caseload data'!J:J,'caseload data'!$C:$C,'custody %'!$B$22,'caseload data'!$D:$D,"PO",'caseload data'!$B:$B,"custody")/SUMIFS('caseload data'!J:J,'caseload data'!$B:$B,"custody",'caseload data'!$C:$C,'custody %'!$B$22),"")</f>
        <v/>
      </c>
      <c r="I24" s="167" t="str">
        <f>IFERROR(SUMIFS('caseload data'!K:K,'caseload data'!$C:$C,'custody %'!$B$22,'caseload data'!$D:$D,"PO",'caseload data'!$B:$B,"custody")/SUMIFS('caseload data'!K:K,'caseload data'!$B:$B,"custody",'caseload data'!$C:$C,'custody %'!$B$22),"")</f>
        <v/>
      </c>
      <c r="J24" s="167" t="str">
        <f>IFERROR(SUMIFS('caseload data'!L:L,'caseload data'!$C:$C,'custody %'!$B$22,'caseload data'!$D:$D,"PO",'caseload data'!$B:$B,"custody")/SUMIFS('caseload data'!L:L,'caseload data'!$B:$B,"custody",'caseload data'!$C:$C,'custody %'!$B$22),"")</f>
        <v/>
      </c>
      <c r="K24" s="167" t="str">
        <f>IFERROR(SUMIFS('caseload data'!M:M,'caseload data'!$C:$C,'custody %'!$B$22,'caseload data'!$D:$D,"PO",'caseload data'!$B:$B,"custody")/SUMIFS('caseload data'!M:M,'caseload data'!$B:$B,"custody",'caseload data'!$C:$C,'custody %'!$B$22),"")</f>
        <v/>
      </c>
      <c r="L24" s="167" t="str">
        <f>IFERROR(SUMIFS('caseload data'!N:N,'caseload data'!$C:$C,'custody %'!$B$22,'caseload data'!$D:$D,"PO",'caseload data'!$B:$B,"custody")/SUMIFS('caseload data'!N:N,'caseload data'!$B:$B,"custody",'caseload data'!$C:$C,'custody %'!$B$22),"")</f>
        <v/>
      </c>
      <c r="M24" s="167" t="str">
        <f>IFERROR(SUMIFS('caseload data'!O:O,'caseload data'!$C:$C,'custody %'!$B$22,'caseload data'!$D:$D,"PO",'caseload data'!$B:$B,"custody")/SUMIFS('caseload data'!O:O,'caseload data'!$B:$B,"custody",'caseload data'!$C:$C,'custody %'!$B$22),"")</f>
        <v/>
      </c>
      <c r="N24" s="167" t="str">
        <f>IFERROR(SUMIFS('caseload data'!P:P,'caseload data'!$C:$C,'custody %'!$B$22,'caseload data'!$D:$D,"PO",'caseload data'!$B:$B,"custody")/SUMIFS('caseload data'!P:P,'caseload data'!$B:$B,"custody",'caseload data'!$C:$C,'custody %'!$B$22),"")</f>
        <v/>
      </c>
      <c r="O24" s="167" t="str">
        <f>IFERROR(SUMIFS('caseload data'!Q:Q,'caseload data'!$C:$C,'custody %'!$B$22,'caseload data'!$D:$D,"PO",'caseload data'!$B:$B,"custody")/SUMIFS('caseload data'!Q:Q,'caseload data'!$B:$B,"custody",'caseload data'!$C:$C,'custody %'!$B$22),"")</f>
        <v/>
      </c>
      <c r="P24" s="167" t="str">
        <f>IFERROR(SUMIFS('caseload data'!R:R,'caseload data'!$C:$C,'custody %'!$B$22,'caseload data'!$D:$D,"PO",'caseload data'!$B:$B,"custody")/SUMIFS('caseload data'!R:R,'caseload data'!$B:$B,"custody",'caseload data'!$C:$C,'custody %'!$B$22),"")</f>
        <v/>
      </c>
      <c r="Q24" s="167" t="str">
        <f>IFERROR(SUMIFS('caseload data'!S:S,'caseload data'!$C:$C,'custody %'!$B$22,'caseload data'!$D:$D,"PO",'caseload data'!$B:$B,"custody")/SUMIFS('caseload data'!S:S,'caseload data'!$B:$B,"custody",'caseload data'!$C:$C,'custody %'!$B$22),"")</f>
        <v/>
      </c>
      <c r="R24" s="167" t="str">
        <f>IFERROR(SUMIFS('caseload data'!T:T,'caseload data'!$C:$C,'custody %'!$B$22,'caseload data'!$D:$D,"PO",'caseload data'!$B:$B,"custody")/SUMIFS('caseload data'!T:T,'caseload data'!$B:$B,"custody",'caseload data'!$C:$C,'custody %'!$B$22),"")</f>
        <v/>
      </c>
      <c r="S24" s="64"/>
      <c r="T24" s="96" t="s">
        <v>1002</v>
      </c>
      <c r="U24" s="167" t="str">
        <f>IFERROR(SUMIFS('caseload data'!E:E,'caseload data'!$C:$C,'custody %'!$T$22,'caseload data'!$D:$D,"PO",'caseload data'!$B:$B,"custody")/SUMIFS('caseload data'!E:E,'caseload data'!$B:$B,"custody",'caseload data'!$C:$C,'custody %'!$T$22),"")</f>
        <v/>
      </c>
      <c r="V24" s="167" t="str">
        <f>IFERROR(SUMIFS('caseload data'!F:F,'caseload data'!$C:$C,'custody %'!$T$22,'caseload data'!$D:$D,"PO",'caseload data'!$B:$B,"custody")/SUMIFS('caseload data'!F:F,'caseload data'!$B:$B,"custody",'caseload data'!$C:$C,'custody %'!$T$22),"")</f>
        <v/>
      </c>
      <c r="W24" s="167" t="str">
        <f>IFERROR(SUMIFS('caseload data'!G:G,'caseload data'!$C:$C,'custody %'!$T$22,'caseload data'!$D:$D,"PO",'caseload data'!$B:$B,"custody")/SUMIFS('caseload data'!G:G,'caseload data'!$B:$B,"custody",'caseload data'!$C:$C,'custody %'!$T$22),"")</f>
        <v/>
      </c>
      <c r="X24" s="167" t="str">
        <f>IFERROR(SUMIFS('caseload data'!H:H,'caseload data'!$C:$C,'custody %'!$T$22,'caseload data'!$D:$D,"PO",'caseload data'!$B:$B,"custody")/SUMIFS('caseload data'!H:H,'caseload data'!$B:$B,"custody",'caseload data'!$C:$C,'custody %'!$T$22),"")</f>
        <v/>
      </c>
      <c r="Y24" s="167" t="str">
        <f>IFERROR(SUMIFS('caseload data'!I:I,'caseload data'!$C:$C,'custody %'!$T$22,'caseload data'!$D:$D,"PO",'caseload data'!$B:$B,"custody")/SUMIFS('caseload data'!I:I,'caseload data'!$B:$B,"custody",'caseload data'!$C:$C,'custody %'!$T$22),"")</f>
        <v/>
      </c>
      <c r="Z24" s="167" t="str">
        <f>IFERROR(SUMIFS('caseload data'!J:J,'caseload data'!$C:$C,'custody %'!$T$22,'caseload data'!$D:$D,"PO",'caseload data'!$B:$B,"custody")/SUMIFS('caseload data'!J:J,'caseload data'!$B:$B,"custody",'caseload data'!$C:$C,'custody %'!$T$22),"")</f>
        <v/>
      </c>
      <c r="AA24" s="167" t="str">
        <f>IFERROR(SUMIFS('caseload data'!K:K,'caseload data'!$C:$C,'custody %'!$T$22,'caseload data'!$D:$D,"PO",'caseload data'!$B:$B,"custody")/SUMIFS('caseload data'!K:K,'caseload data'!$B:$B,"custody",'caseload data'!$C:$C,'custody %'!$T$22),"")</f>
        <v/>
      </c>
      <c r="AB24" s="167" t="str">
        <f>IFERROR(SUMIFS('caseload data'!L:L,'caseload data'!$C:$C,'custody %'!$T$22,'caseload data'!$D:$D,"PO",'caseload data'!$B:$B,"custody")/SUMIFS('caseload data'!L:L,'caseload data'!$B:$B,"custody",'caseload data'!$C:$C,'custody %'!$T$22),"")</f>
        <v/>
      </c>
      <c r="AC24" s="167" t="str">
        <f>IFERROR(SUMIFS('caseload data'!M:M,'caseload data'!$C:$C,'custody %'!$T$22,'caseload data'!$D:$D,"PO",'caseload data'!$B:$B,"custody")/SUMIFS('caseload data'!M:M,'caseload data'!$B:$B,"custody",'caseload data'!$C:$C,'custody %'!$T$22),"")</f>
        <v/>
      </c>
      <c r="AD24" s="167" t="str">
        <f>IFERROR(SUMIFS('caseload data'!N:N,'caseload data'!$C:$C,'custody %'!$T$22,'caseload data'!$D:$D,"PO",'caseload data'!$B:$B,"custody")/SUMIFS('caseload data'!N:N,'caseload data'!$B:$B,"custody",'caseload data'!$C:$C,'custody %'!$T$22),"")</f>
        <v/>
      </c>
      <c r="AE24" s="167" t="str">
        <f>IFERROR(SUMIFS('caseload data'!O:O,'caseload data'!$C:$C,'custody %'!$T$22,'caseload data'!$D:$D,"PO",'caseload data'!$B:$B,"custody")/SUMIFS('caseload data'!O:O,'caseload data'!$B:$B,"custody",'caseload data'!$C:$C,'custody %'!$T$22),"")</f>
        <v/>
      </c>
      <c r="AF24" s="167" t="str">
        <f>IFERROR(SUMIFS('caseload data'!P:P,'caseload data'!$C:$C,'custody %'!$T$22,'caseload data'!$D:$D,"PO",'caseload data'!$B:$B,"custody")/SUMIFS('caseload data'!P:P,'caseload data'!$B:$B,"custody",'caseload data'!$C:$C,'custody %'!$T$22),"")</f>
        <v/>
      </c>
      <c r="AG24" s="167" t="str">
        <f>IFERROR(SUMIFS('caseload data'!Q:Q,'caseload data'!$C:$C,'custody %'!$T$22,'caseload data'!$D:$D,"PO",'caseload data'!$B:$B,"custody")/SUMIFS('caseload data'!Q:Q,'caseload data'!$B:$B,"custody",'caseload data'!$C:$C,'custody %'!$T$22),"")</f>
        <v/>
      </c>
      <c r="AH24" s="167" t="str">
        <f>IFERROR(SUMIFS('caseload data'!R:R,'caseload data'!$C:$C,'custody %'!$T$22,'caseload data'!$D:$D,"PO",'caseload data'!$B:$B,"custody")/SUMIFS('caseload data'!R:R,'caseload data'!$B:$B,"custody",'caseload data'!$C:$C,'custody %'!$T$22),"")</f>
        <v/>
      </c>
      <c r="AI24" s="167"/>
      <c r="AJ24" s="167"/>
    </row>
    <row r="25" spans="2:36" x14ac:dyDescent="0.15">
      <c r="B25" s="97" t="s">
        <v>1007</v>
      </c>
      <c r="C25" s="167" t="str">
        <f>IFERROR(SUMIFS('caseload data'!E:E,'caseload data'!$C:$C,'custody %'!$B$22,'caseload data'!$D:$D,"PSO",'caseload data'!$B:$B,"custody")/SUMIFS('caseload data'!E:E,'caseload data'!$B:$B,"custody",'caseload data'!$C:$C,'custody %'!$B$22),"")</f>
        <v/>
      </c>
      <c r="D25" s="167" t="str">
        <f>IFERROR(SUMIFS('caseload data'!F:F,'caseload data'!$C:$C,'custody %'!$B$22,'caseload data'!$D:$D,"PSO",'caseload data'!$B:$B,"custody")/SUMIFS('caseload data'!F:F,'caseload data'!$B:$B,"custody",'caseload data'!$C:$C,'custody %'!$B$22),"")</f>
        <v/>
      </c>
      <c r="E25" s="167" t="str">
        <f>IFERROR(SUMIFS('caseload data'!G:G,'caseload data'!$C:$C,'custody %'!$B$22,'caseload data'!$D:$D,"PSO",'caseload data'!$B:$B,"custody")/SUMIFS('caseload data'!G:G,'caseload data'!$B:$B,"custody",'caseload data'!$C:$C,'custody %'!$B$22),"")</f>
        <v/>
      </c>
      <c r="F25" s="167" t="str">
        <f>IFERROR(SUMIFS('caseload data'!H:H,'caseload data'!$C:$C,'custody %'!$B$22,'caseload data'!$D:$D,"PSO",'caseload data'!$B:$B,"custody")/SUMIFS('caseload data'!H:H,'caseload data'!$B:$B,"custody",'caseload data'!$C:$C,'custody %'!$B$22),"")</f>
        <v/>
      </c>
      <c r="G25" s="167" t="str">
        <f>IFERROR(SUMIFS('caseload data'!I:I,'caseload data'!$C:$C,'custody %'!$B$22,'caseload data'!$D:$D,"PSO",'caseload data'!$B:$B,"custody")/SUMIFS('caseload data'!I:I,'caseload data'!$B:$B,"custody",'caseload data'!$C:$C,'custody %'!$B$22),"")</f>
        <v/>
      </c>
      <c r="H25" s="167" t="str">
        <f>IFERROR(SUMIFS('caseload data'!J:J,'caseload data'!$C:$C,'custody %'!$B$22,'caseload data'!$D:$D,"PSO",'caseload data'!$B:$B,"custody")/SUMIFS('caseload data'!J:J,'caseload data'!$B:$B,"custody",'caseload data'!$C:$C,'custody %'!$B$22),"")</f>
        <v/>
      </c>
      <c r="I25" s="167" t="str">
        <f>IFERROR(SUMIFS('caseload data'!K:K,'caseload data'!$C:$C,'custody %'!$B$22,'caseload data'!$D:$D,"PSO",'caseload data'!$B:$B,"custody")/SUMIFS('caseload data'!K:K,'caseload data'!$B:$B,"custody",'caseload data'!$C:$C,'custody %'!$B$22),"")</f>
        <v/>
      </c>
      <c r="J25" s="167" t="str">
        <f>IFERROR(SUMIFS('caseload data'!L:L,'caseload data'!$C:$C,'custody %'!$B$22,'caseload data'!$D:$D,"PSO",'caseload data'!$B:$B,"custody")/SUMIFS('caseload data'!L:L,'caseload data'!$B:$B,"custody",'caseload data'!$C:$C,'custody %'!$B$22),"")</f>
        <v/>
      </c>
      <c r="K25" s="167" t="str">
        <f>IFERROR(SUMIFS('caseload data'!M:M,'caseload data'!$C:$C,'custody %'!$B$22,'caseload data'!$D:$D,"PSO",'caseload data'!$B:$B,"custody")/SUMIFS('caseload data'!M:M,'caseload data'!$B:$B,"custody",'caseload data'!$C:$C,'custody %'!$B$22),"")</f>
        <v/>
      </c>
      <c r="L25" s="167" t="str">
        <f>IFERROR(SUMIFS('caseload data'!N:N,'caseload data'!$C:$C,'custody %'!$B$22,'caseload data'!$D:$D,"PSO",'caseload data'!$B:$B,"custody")/SUMIFS('caseload data'!N:N,'caseload data'!$B:$B,"custody",'caseload data'!$C:$C,'custody %'!$B$22),"")</f>
        <v/>
      </c>
      <c r="M25" s="167" t="str">
        <f>IFERROR(SUMIFS('caseload data'!O:O,'caseload data'!$C:$C,'custody %'!$B$22,'caseload data'!$D:$D,"PSO",'caseload data'!$B:$B,"custody")/SUMIFS('caseload data'!O:O,'caseload data'!$B:$B,"custody",'caseload data'!$C:$C,'custody %'!$B$22),"")</f>
        <v/>
      </c>
      <c r="N25" s="167" t="str">
        <f>IFERROR(SUMIFS('caseload data'!P:P,'caseload data'!$C:$C,'custody %'!$B$22,'caseload data'!$D:$D,"PSO",'caseload data'!$B:$B,"custody")/SUMIFS('caseload data'!P:P,'caseload data'!$B:$B,"custody",'caseload data'!$C:$C,'custody %'!$B$22),"")</f>
        <v/>
      </c>
      <c r="O25" s="167" t="str">
        <f>IFERROR(SUMIFS('caseload data'!Q:Q,'caseload data'!$C:$C,'custody %'!$B$22,'caseload data'!$D:$D,"PSO",'caseload data'!$B:$B,"custody")/SUMIFS('caseload data'!Q:Q,'caseload data'!$B:$B,"custody",'caseload data'!$C:$C,'custody %'!$B$22),"")</f>
        <v/>
      </c>
      <c r="P25" s="167" t="str">
        <f>IFERROR(SUMIFS('caseload data'!R:R,'caseload data'!$C:$C,'custody %'!$B$22,'caseload data'!$D:$D,"PSO",'caseload data'!$B:$B,"custody")/SUMIFS('caseload data'!R:R,'caseload data'!$B:$B,"custody",'caseload data'!$C:$C,'custody %'!$B$22),"")</f>
        <v/>
      </c>
      <c r="Q25" s="167" t="str">
        <f>IFERROR(SUMIFS('caseload data'!S:S,'caseload data'!$C:$C,'custody %'!$B$22,'caseload data'!$D:$D,"PSO",'caseload data'!$B:$B,"custody")/SUMIFS('caseload data'!S:S,'caseload data'!$B:$B,"custody",'caseload data'!$C:$C,'custody %'!$B$22),"")</f>
        <v/>
      </c>
      <c r="R25" s="167" t="str">
        <f>IFERROR(SUMIFS('caseload data'!T:T,'caseload data'!$C:$C,'custody %'!$B$22,'caseload data'!$D:$D,"PSO",'caseload data'!$B:$B,"custody")/SUMIFS('caseload data'!T:T,'caseload data'!$B:$B,"custody",'caseload data'!$C:$C,'custody %'!$B$22),"")</f>
        <v/>
      </c>
      <c r="S25" s="64"/>
      <c r="T25" s="97" t="s">
        <v>1007</v>
      </c>
      <c r="U25" s="167" t="str">
        <f>IFERROR(SUMIFS('caseload data'!E:E,'caseload data'!$C:$C,'custody %'!$T$22,'caseload data'!$D:$D,"PSO",'caseload data'!$B:$B,"custody")/SUMIFS('caseload data'!E:E,'caseload data'!$B:$B,"custody",'caseload data'!$C:$C,'custody %'!$T$22),"")</f>
        <v/>
      </c>
      <c r="V25" s="167" t="str">
        <f>IFERROR(SUMIFS('caseload data'!F:F,'caseload data'!$C:$C,'custody %'!$T$22,'caseload data'!$D:$D,"PSO",'caseload data'!$B:$B,"custody")/SUMIFS('caseload data'!F:F,'caseload data'!$B:$B,"custody",'caseload data'!$C:$C,'custody %'!$T$22),"")</f>
        <v/>
      </c>
      <c r="W25" s="167" t="str">
        <f>IFERROR(SUMIFS('caseload data'!G:G,'caseload data'!$C:$C,'custody %'!$T$22,'caseload data'!$D:$D,"PSO",'caseload data'!$B:$B,"custody")/SUMIFS('caseload data'!G:G,'caseload data'!$B:$B,"custody",'caseload data'!$C:$C,'custody %'!$T$22),"")</f>
        <v/>
      </c>
      <c r="X25" s="167" t="str">
        <f>IFERROR(SUMIFS('caseload data'!H:H,'caseload data'!$C:$C,'custody %'!$T$22,'caseload data'!$D:$D,"PSO",'caseload data'!$B:$B,"custody")/SUMIFS('caseload data'!H:H,'caseload data'!$B:$B,"custody",'caseload data'!$C:$C,'custody %'!$T$22),"")</f>
        <v/>
      </c>
      <c r="Y25" s="167" t="str">
        <f>IFERROR(SUMIFS('caseload data'!I:I,'caseload data'!$C:$C,'custody %'!$T$22,'caseload data'!$D:$D,"PSO",'caseload data'!$B:$B,"custody")/SUMIFS('caseload data'!I:I,'caseload data'!$B:$B,"custody",'caseload data'!$C:$C,'custody %'!$T$22),"")</f>
        <v/>
      </c>
      <c r="Z25" s="167" t="str">
        <f>IFERROR(SUMIFS('caseload data'!J:J,'caseload data'!$C:$C,'custody %'!$T$22,'caseload data'!$D:$D,"PSO",'caseload data'!$B:$B,"custody")/SUMIFS('caseload data'!J:J,'caseload data'!$B:$B,"custody",'caseload data'!$C:$C,'custody %'!$T$22),"")</f>
        <v/>
      </c>
      <c r="AA25" s="167" t="str">
        <f>IFERROR(SUMIFS('caseload data'!K:K,'caseload data'!$C:$C,'custody %'!$T$22,'caseload data'!$D:$D,"PSO",'caseload data'!$B:$B,"custody")/SUMIFS('caseload data'!K:K,'caseload data'!$B:$B,"custody",'caseload data'!$C:$C,'custody %'!$T$22),"")</f>
        <v/>
      </c>
      <c r="AB25" s="167" t="str">
        <f>IFERROR(SUMIFS('caseload data'!L:L,'caseload data'!$C:$C,'custody %'!$T$22,'caseload data'!$D:$D,"PSO",'caseload data'!$B:$B,"custody")/SUMIFS('caseload data'!L:L,'caseload data'!$B:$B,"custody",'caseload data'!$C:$C,'custody %'!$T$22),"")</f>
        <v/>
      </c>
      <c r="AC25" s="167" t="str">
        <f>IFERROR(SUMIFS('caseload data'!M:M,'caseload data'!$C:$C,'custody %'!$T$22,'caseload data'!$D:$D,"PSO",'caseload data'!$B:$B,"custody")/SUMIFS('caseload data'!M:M,'caseload data'!$B:$B,"custody",'caseload data'!$C:$C,'custody %'!$T$22),"")</f>
        <v/>
      </c>
      <c r="AD25" s="167" t="str">
        <f>IFERROR(SUMIFS('caseload data'!N:N,'caseload data'!$C:$C,'custody %'!$T$22,'caseload data'!$D:$D,"PSO",'caseload data'!$B:$B,"custody")/SUMIFS('caseload data'!N:N,'caseload data'!$B:$B,"custody",'caseload data'!$C:$C,'custody %'!$T$22),"")</f>
        <v/>
      </c>
      <c r="AE25" s="167" t="str">
        <f>IFERROR(SUMIFS('caseload data'!O:O,'caseload data'!$C:$C,'custody %'!$T$22,'caseload data'!$D:$D,"PSO",'caseload data'!$B:$B,"custody")/SUMIFS('caseload data'!O:O,'caseload data'!$B:$B,"custody",'caseload data'!$C:$C,'custody %'!$T$22),"")</f>
        <v/>
      </c>
      <c r="AF25" s="167" t="str">
        <f>IFERROR(SUMIFS('caseload data'!P:P,'caseload data'!$C:$C,'custody %'!$T$22,'caseload data'!$D:$D,"PSO",'caseload data'!$B:$B,"custody")/SUMIFS('caseload data'!P:P,'caseload data'!$B:$B,"custody",'caseload data'!$C:$C,'custody %'!$T$22),"")</f>
        <v/>
      </c>
      <c r="AG25" s="167" t="str">
        <f>IFERROR(SUMIFS('caseload data'!Q:Q,'caseload data'!$C:$C,'custody %'!$T$22,'caseload data'!$D:$D,"PSO",'caseload data'!$B:$B,"custody")/SUMIFS('caseload data'!Q:Q,'caseload data'!$B:$B,"custody",'caseload data'!$C:$C,'custody %'!$T$22),"")</f>
        <v/>
      </c>
      <c r="AH25" s="167" t="str">
        <f>IFERROR(SUMIFS('caseload data'!R:R,'caseload data'!$C:$C,'custody %'!$T$22,'caseload data'!$D:$D,"PSO",'caseload data'!$B:$B,"custody")/SUMIFS('caseload data'!R:R,'caseload data'!$B:$B,"custody",'caseload data'!$C:$C,'custody %'!$T$22),"")</f>
        <v/>
      </c>
      <c r="AI25" s="167"/>
      <c r="AJ25" s="167"/>
    </row>
    <row r="26" spans="2:36" x14ac:dyDescent="0.15">
      <c r="B26" s="97" t="s">
        <v>1008</v>
      </c>
      <c r="C26" s="167" t="str">
        <f>IFERROR(SUMIFS('caseload data'!E:E,'caseload data'!$C:$C,'custody %'!$B$22,'caseload data'!$D:$D,"TPO",'caseload data'!$B:$B,"custody")/SUMIFS('caseload data'!E:E,'caseload data'!$B:$B,"custody",'caseload data'!$C:$C,'custody %'!$B$22),"")</f>
        <v/>
      </c>
      <c r="D26" s="167" t="str">
        <f>IFERROR(SUMIFS('caseload data'!F:F,'caseload data'!$C:$C,'custody %'!$B$22,'caseload data'!$D:$D,"TPO",'caseload data'!$B:$B,"custody")/SUMIFS('caseload data'!F:F,'caseload data'!$B:$B,"custody",'caseload data'!$C:$C,'custody %'!$B$22),"")</f>
        <v/>
      </c>
      <c r="E26" s="167" t="str">
        <f>IFERROR(SUMIFS('caseload data'!G:G,'caseload data'!$C:$C,'custody %'!$B$22,'caseload data'!$D:$D,"TPO",'caseload data'!$B:$B,"custody")/SUMIFS('caseload data'!G:G,'caseload data'!$B:$B,"custody",'caseload data'!$C:$C,'custody %'!$B$22),"")</f>
        <v/>
      </c>
      <c r="F26" s="167" t="str">
        <f>IFERROR(SUMIFS('caseload data'!H:H,'caseload data'!$C:$C,'custody %'!$B$22,'caseload data'!$D:$D,"TPO",'caseload data'!$B:$B,"custody")/SUMIFS('caseload data'!H:H,'caseload data'!$B:$B,"custody",'caseload data'!$C:$C,'custody %'!$B$22),"")</f>
        <v/>
      </c>
      <c r="G26" s="167" t="str">
        <f>IFERROR(SUMIFS('caseload data'!I:I,'caseload data'!$C:$C,'custody %'!$B$22,'caseload data'!$D:$D,"TPO",'caseload data'!$B:$B,"custody")/SUMIFS('caseload data'!I:I,'caseload data'!$B:$B,"custody",'caseload data'!$C:$C,'custody %'!$B$22),"")</f>
        <v/>
      </c>
      <c r="H26" s="167" t="str">
        <f>IFERROR(SUMIFS('caseload data'!J:J,'caseload data'!$C:$C,'custody %'!$B$22,'caseload data'!$D:$D,"TPO",'caseload data'!$B:$B,"custody")/SUMIFS('caseload data'!J:J,'caseload data'!$B:$B,"custody",'caseload data'!$C:$C,'custody %'!$B$22),"")</f>
        <v/>
      </c>
      <c r="I26" s="167" t="str">
        <f>IFERROR(SUMIFS('caseload data'!K:K,'caseload data'!$C:$C,'custody %'!$B$22,'caseload data'!$D:$D,"TPO",'caseload data'!$B:$B,"custody")/SUMIFS('caseload data'!K:K,'caseload data'!$B:$B,"custody",'caseload data'!$C:$C,'custody %'!$B$22),"")</f>
        <v/>
      </c>
      <c r="J26" s="167" t="str">
        <f>IFERROR(SUMIFS('caseload data'!L:L,'caseload data'!$C:$C,'custody %'!$B$22,'caseload data'!$D:$D,"TPO",'caseload data'!$B:$B,"custody")/SUMIFS('caseload data'!L:L,'caseload data'!$B:$B,"custody",'caseload data'!$C:$C,'custody %'!$B$22),"")</f>
        <v/>
      </c>
      <c r="K26" s="167" t="str">
        <f>IFERROR(SUMIFS('caseload data'!M:M,'caseload data'!$C:$C,'custody %'!$B$22,'caseload data'!$D:$D,"TPO",'caseload data'!$B:$B,"custody")/SUMIFS('caseload data'!M:M,'caseload data'!$B:$B,"custody",'caseload data'!$C:$C,'custody %'!$B$22),"")</f>
        <v/>
      </c>
      <c r="L26" s="167" t="str">
        <f>IFERROR(SUMIFS('caseload data'!N:N,'caseload data'!$C:$C,'custody %'!$B$22,'caseload data'!$D:$D,"TPO",'caseload data'!$B:$B,"custody")/SUMIFS('caseload data'!N:N,'caseload data'!$B:$B,"custody",'caseload data'!$C:$C,'custody %'!$B$22),"")</f>
        <v/>
      </c>
      <c r="M26" s="167" t="str">
        <f>IFERROR(SUMIFS('caseload data'!O:O,'caseload data'!$C:$C,'custody %'!$B$22,'caseload data'!$D:$D,"TPO",'caseload data'!$B:$B,"custody")/SUMIFS('caseload data'!O:O,'caseload data'!$B:$B,"custody",'caseload data'!$C:$C,'custody %'!$B$22),"")</f>
        <v/>
      </c>
      <c r="N26" s="167" t="str">
        <f>IFERROR(SUMIFS('caseload data'!P:P,'caseload data'!$C:$C,'custody %'!$B$22,'caseload data'!$D:$D,"TPO",'caseload data'!$B:$B,"custody")/SUMIFS('caseload data'!P:P,'caseload data'!$B:$B,"custody",'caseload data'!$C:$C,'custody %'!$B$22),"")</f>
        <v/>
      </c>
      <c r="O26" s="167" t="str">
        <f>IFERROR(SUMIFS('caseload data'!Q:Q,'caseload data'!$C:$C,'custody %'!$B$22,'caseload data'!$D:$D,"TPO",'caseload data'!$B:$B,"custody")/SUMIFS('caseload data'!Q:Q,'caseload data'!$B:$B,"custody",'caseload data'!$C:$C,'custody %'!$B$22),"")</f>
        <v/>
      </c>
      <c r="P26" s="167" t="str">
        <f>IFERROR(SUMIFS('caseload data'!R:R,'caseload data'!$C:$C,'custody %'!$B$22,'caseload data'!$D:$D,"TPO",'caseload data'!$B:$B,"custody")/SUMIFS('caseload data'!R:R,'caseload data'!$B:$B,"custody",'caseload data'!$C:$C,'custody %'!$B$22),"")</f>
        <v/>
      </c>
      <c r="Q26" s="167" t="str">
        <f>IFERROR(SUMIFS('caseload data'!S:S,'caseload data'!$C:$C,'custody %'!$B$22,'caseload data'!$D:$D,"TPO",'caseload data'!$B:$B,"custody")/SUMIFS('caseload data'!S:S,'caseload data'!$B:$B,"custody",'caseload data'!$C:$C,'custody %'!$B$22),"")</f>
        <v/>
      </c>
      <c r="R26" s="167" t="str">
        <f>IFERROR(SUMIFS('caseload data'!T:T,'caseload data'!$C:$C,'custody %'!$B$22,'caseload data'!$D:$D,"TPO",'caseload data'!$B:$B,"custody")/SUMIFS('caseload data'!T:T,'caseload data'!$B:$B,"custody",'caseload data'!$C:$C,'custody %'!$B$22),"")</f>
        <v/>
      </c>
      <c r="S26" s="64"/>
      <c r="T26" s="97" t="s">
        <v>1008</v>
      </c>
      <c r="U26" s="167" t="str">
        <f>IFERROR(SUMIFS('caseload data'!E:E,'caseload data'!$C:$C,'custody %'!$T$22,'caseload data'!$D:$D,"TPO",'caseload data'!$B:$B,"custody")/SUMIFS('caseload data'!E:E,'caseload data'!$B:$B,"custody",'caseload data'!$C:$C,'custody %'!$T$22),"")</f>
        <v/>
      </c>
      <c r="V26" s="167" t="str">
        <f>IFERROR(SUMIFS('caseload data'!F:F,'caseload data'!$C:$C,'custody %'!$T$22,'caseload data'!$D:$D,"TPO",'caseload data'!$B:$B,"custody")/SUMIFS('caseload data'!F:F,'caseload data'!$B:$B,"custody",'caseload data'!$C:$C,'custody %'!$T$22),"")</f>
        <v/>
      </c>
      <c r="W26" s="167" t="str">
        <f>IFERROR(SUMIFS('caseload data'!G:G,'caseload data'!$C:$C,'custody %'!$T$22,'caseload data'!$D:$D,"TPO",'caseload data'!$B:$B,"custody")/SUMIFS('caseload data'!G:G,'caseload data'!$B:$B,"custody",'caseload data'!$C:$C,'custody %'!$T$22),"")</f>
        <v/>
      </c>
      <c r="X26" s="167" t="str">
        <f>IFERROR(SUMIFS('caseload data'!H:H,'caseload data'!$C:$C,'custody %'!$T$22,'caseload data'!$D:$D,"TPO",'caseload data'!$B:$B,"custody")/SUMIFS('caseload data'!H:H,'caseload data'!$B:$B,"custody",'caseload data'!$C:$C,'custody %'!$T$22),"")</f>
        <v/>
      </c>
      <c r="Y26" s="167" t="str">
        <f>IFERROR(SUMIFS('caseload data'!I:I,'caseload data'!$C:$C,'custody %'!$T$22,'caseload data'!$D:$D,"TPO",'caseload data'!$B:$B,"custody")/SUMIFS('caseload data'!I:I,'caseload data'!$B:$B,"custody",'caseload data'!$C:$C,'custody %'!$T$22),"")</f>
        <v/>
      </c>
      <c r="Z26" s="167" t="str">
        <f>IFERROR(SUMIFS('caseload data'!J:J,'caseload data'!$C:$C,'custody %'!$T$22,'caseload data'!$D:$D,"TPO",'caseload data'!$B:$B,"custody")/SUMIFS('caseload data'!J:J,'caseload data'!$B:$B,"custody",'caseload data'!$C:$C,'custody %'!$T$22),"")</f>
        <v/>
      </c>
      <c r="AA26" s="167" t="str">
        <f>IFERROR(SUMIFS('caseload data'!K:K,'caseload data'!$C:$C,'custody %'!$T$22,'caseload data'!$D:$D,"TPO",'caseload data'!$B:$B,"custody")/SUMIFS('caseload data'!K:K,'caseload data'!$B:$B,"custody",'caseload data'!$C:$C,'custody %'!$T$22),"")</f>
        <v/>
      </c>
      <c r="AB26" s="167" t="str">
        <f>IFERROR(SUMIFS('caseload data'!L:L,'caseload data'!$C:$C,'custody %'!$T$22,'caseload data'!$D:$D,"TPO",'caseload data'!$B:$B,"custody")/SUMIFS('caseload data'!L:L,'caseload data'!$B:$B,"custody",'caseload data'!$C:$C,'custody %'!$T$22),"")</f>
        <v/>
      </c>
      <c r="AC26" s="167" t="str">
        <f>IFERROR(SUMIFS('caseload data'!M:M,'caseload data'!$C:$C,'custody %'!$T$22,'caseload data'!$D:$D,"TPO",'caseload data'!$B:$B,"custody")/SUMIFS('caseload data'!M:M,'caseload data'!$B:$B,"custody",'caseload data'!$C:$C,'custody %'!$T$22),"")</f>
        <v/>
      </c>
      <c r="AD26" s="167" t="str">
        <f>IFERROR(SUMIFS('caseload data'!N:N,'caseload data'!$C:$C,'custody %'!$T$22,'caseload data'!$D:$D,"TPO",'caseload data'!$B:$B,"custody")/SUMIFS('caseload data'!N:N,'caseload data'!$B:$B,"custody",'caseload data'!$C:$C,'custody %'!$T$22),"")</f>
        <v/>
      </c>
      <c r="AE26" s="167" t="str">
        <f>IFERROR(SUMIFS('caseload data'!O:O,'caseload data'!$C:$C,'custody %'!$T$22,'caseload data'!$D:$D,"TPO",'caseload data'!$B:$B,"custody")/SUMIFS('caseload data'!O:O,'caseload data'!$B:$B,"custody",'caseload data'!$C:$C,'custody %'!$T$22),"")</f>
        <v/>
      </c>
      <c r="AF26" s="167" t="str">
        <f>IFERROR(SUMIFS('caseload data'!P:P,'caseload data'!$C:$C,'custody %'!$T$22,'caseload data'!$D:$D,"TPO",'caseload data'!$B:$B,"custody")/SUMIFS('caseload data'!P:P,'caseload data'!$B:$B,"custody",'caseload data'!$C:$C,'custody %'!$T$22),"")</f>
        <v/>
      </c>
      <c r="AG26" s="167" t="str">
        <f>IFERROR(SUMIFS('caseload data'!Q:Q,'caseload data'!$C:$C,'custody %'!$T$22,'caseload data'!$D:$D,"TPO",'caseload data'!$B:$B,"custody")/SUMIFS('caseload data'!Q:Q,'caseload data'!$B:$B,"custody",'caseload data'!$C:$C,'custody %'!$T$22),"")</f>
        <v/>
      </c>
      <c r="AH26" s="167" t="str">
        <f>IFERROR(SUMIFS('caseload data'!R:R,'caseload data'!$C:$C,'custody %'!$T$22,'caseload data'!$D:$D,"TPO",'caseload data'!$B:$B,"custody")/SUMIFS('caseload data'!R:R,'caseload data'!$B:$B,"custody",'caseload data'!$C:$C,'custody %'!$T$22),"")</f>
        <v/>
      </c>
      <c r="AI26" s="167"/>
      <c r="AJ26" s="167"/>
    </row>
    <row r="27" spans="2:36" x14ac:dyDescent="0.15">
      <c r="B27" s="98" t="s">
        <v>1009</v>
      </c>
      <c r="C27" s="167" t="str">
        <f>IFERROR(SUMIFS('caseload data'!E:E,'caseload data'!$C:$C,'custody %'!$B$22,'caseload data'!$D:$D,"SPO",'caseload data'!$B:$B,"custody")/SUMIFS('caseload data'!E:E,'caseload data'!$B:$B,"custody",'caseload data'!$C:$C,'custody %'!$B$22),"")</f>
        <v/>
      </c>
      <c r="D27" s="167" t="str">
        <f>IFERROR(SUMIFS('caseload data'!F:F,'caseload data'!$C:$C,'custody %'!$B$22,'caseload data'!$D:$D,"SPO",'caseload data'!$B:$B,"custody")/SUMIFS('caseload data'!F:F,'caseload data'!$B:$B,"custody",'caseload data'!$C:$C,'custody %'!$B$22),"")</f>
        <v/>
      </c>
      <c r="E27" s="167" t="str">
        <f>IFERROR(SUMIFS('caseload data'!G:G,'caseload data'!$C:$C,'custody %'!$B$22,'caseload data'!$D:$D,"SPO",'caseload data'!$B:$B,"custody")/SUMIFS('caseload data'!G:G,'caseload data'!$B:$B,"custody",'caseload data'!$C:$C,'custody %'!$B$22),"")</f>
        <v/>
      </c>
      <c r="F27" s="167" t="str">
        <f>IFERROR(SUMIFS('caseload data'!H:H,'caseload data'!$C:$C,'custody %'!$B$22,'caseload data'!$D:$D,"SPO",'caseload data'!$B:$B,"custody")/SUMIFS('caseload data'!H:H,'caseload data'!$B:$B,"custody",'caseload data'!$C:$C,'custody %'!$B$22),"")</f>
        <v/>
      </c>
      <c r="G27" s="167" t="str">
        <f>IFERROR(SUMIFS('caseload data'!I:I,'caseload data'!$C:$C,'custody %'!$B$22,'caseload data'!$D:$D,"SPO",'caseload data'!$B:$B,"custody")/SUMIFS('caseload data'!I:I,'caseload data'!$B:$B,"custody",'caseload data'!$C:$C,'custody %'!$B$22),"")</f>
        <v/>
      </c>
      <c r="H27" s="167" t="str">
        <f>IFERROR(SUMIFS('caseload data'!J:J,'caseload data'!$C:$C,'custody %'!$B$22,'caseload data'!$D:$D,"SPO",'caseload data'!$B:$B,"custody")/SUMIFS('caseload data'!J:J,'caseload data'!$B:$B,"custody",'caseload data'!$C:$C,'custody %'!$B$22),"")</f>
        <v/>
      </c>
      <c r="I27" s="167" t="str">
        <f>IFERROR(SUMIFS('caseload data'!K:K,'caseload data'!$C:$C,'custody %'!$B$22,'caseload data'!$D:$D,"SPO",'caseload data'!$B:$B,"custody")/SUMIFS('caseload data'!K:K,'caseload data'!$B:$B,"custody",'caseload data'!$C:$C,'custody %'!$B$22),"")</f>
        <v/>
      </c>
      <c r="J27" s="167" t="str">
        <f>IFERROR(SUMIFS('caseload data'!L:L,'caseload data'!$C:$C,'custody %'!$B$22,'caseload data'!$D:$D,"SPO",'caseload data'!$B:$B,"custody")/SUMIFS('caseload data'!L:L,'caseload data'!$B:$B,"custody",'caseload data'!$C:$C,'custody %'!$B$22),"")</f>
        <v/>
      </c>
      <c r="K27" s="167" t="str">
        <f>IFERROR(SUMIFS('caseload data'!M:M,'caseload data'!$C:$C,'custody %'!$B$22,'caseload data'!$D:$D,"SPO",'caseload data'!$B:$B,"custody")/SUMIFS('caseload data'!M:M,'caseload data'!$B:$B,"custody",'caseload data'!$C:$C,'custody %'!$B$22),"")</f>
        <v/>
      </c>
      <c r="L27" s="167" t="str">
        <f>IFERROR(SUMIFS('caseload data'!N:N,'caseload data'!$C:$C,'custody %'!$B$22,'caseload data'!$D:$D,"SPO",'caseload data'!$B:$B,"custody")/SUMIFS('caseload data'!N:N,'caseload data'!$B:$B,"custody",'caseload data'!$C:$C,'custody %'!$B$22),"")</f>
        <v/>
      </c>
      <c r="M27" s="167" t="str">
        <f>IFERROR(SUMIFS('caseload data'!O:O,'caseload data'!$C:$C,'custody %'!$B$22,'caseload data'!$D:$D,"SPO",'caseload data'!$B:$B,"custody")/SUMIFS('caseload data'!O:O,'caseload data'!$B:$B,"custody",'caseload data'!$C:$C,'custody %'!$B$22),"")</f>
        <v/>
      </c>
      <c r="N27" s="167" t="str">
        <f>IFERROR(SUMIFS('caseload data'!P:P,'caseload data'!$C:$C,'custody %'!$B$22,'caseload data'!$D:$D,"SPO",'caseload data'!$B:$B,"custody")/SUMIFS('caseload data'!P:P,'caseload data'!$B:$B,"custody",'caseload data'!$C:$C,'custody %'!$B$22),"")</f>
        <v/>
      </c>
      <c r="O27" s="167" t="str">
        <f>IFERROR(SUMIFS('caseload data'!Q:Q,'caseload data'!$C:$C,'custody %'!$B$22,'caseload data'!$D:$D,"SPO",'caseload data'!$B:$B,"custody")/SUMIFS('caseload data'!Q:Q,'caseload data'!$B:$B,"custody",'caseload data'!$C:$C,'custody %'!$B$22),"")</f>
        <v/>
      </c>
      <c r="P27" s="167" t="str">
        <f>IFERROR(SUMIFS('caseload data'!R:R,'caseload data'!$C:$C,'custody %'!$B$22,'caseload data'!$D:$D,"SPO",'caseload data'!$B:$B,"custody")/SUMIFS('caseload data'!R:R,'caseload data'!$B:$B,"custody",'caseload data'!$C:$C,'custody %'!$B$22),"")</f>
        <v/>
      </c>
      <c r="Q27" s="167" t="str">
        <f>IFERROR(SUMIFS('caseload data'!S:S,'caseload data'!$C:$C,'custody %'!$B$22,'caseload data'!$D:$D,"SPO",'caseload data'!$B:$B,"custody")/SUMIFS('caseload data'!S:S,'caseload data'!$B:$B,"custody",'caseload data'!$C:$C,'custody %'!$B$22),"")</f>
        <v/>
      </c>
      <c r="R27" s="167" t="str">
        <f>IFERROR(SUMIFS('caseload data'!T:T,'caseload data'!$C:$C,'custody %'!$B$22,'caseload data'!$D:$D,"SPO",'caseload data'!$B:$B,"custody")/SUMIFS('caseload data'!T:T,'caseload data'!$B:$B,"custody",'caseload data'!$C:$C,'custody %'!$B$22),"")</f>
        <v/>
      </c>
      <c r="S27" s="64"/>
      <c r="T27" s="98" t="s">
        <v>1009</v>
      </c>
      <c r="U27" s="167" t="str">
        <f>IFERROR(SUMIFS('caseload data'!E:E,'caseload data'!$C:$C,'custody %'!$T$22,'caseload data'!$D:$D,"SPO",'caseload data'!$B:$B,"custody")/SUMIFS('caseload data'!E:E,'caseload data'!$B:$B,"custody",'caseload data'!$C:$C,'custody %'!$T$22),"")</f>
        <v/>
      </c>
      <c r="V27" s="167" t="str">
        <f>IFERROR(SUMIFS('caseload data'!F:F,'caseload data'!$C:$C,'custody %'!$T$22,'caseload data'!$D:$D,"SPO",'caseload data'!$B:$B,"custody")/SUMIFS('caseload data'!F:F,'caseload data'!$B:$B,"custody",'caseload data'!$C:$C,'custody %'!$T$22),"")</f>
        <v/>
      </c>
      <c r="W27" s="167" t="str">
        <f>IFERROR(SUMIFS('caseload data'!G:G,'caseload data'!$C:$C,'custody %'!$T$22,'caseload data'!$D:$D,"SPO",'caseload data'!$B:$B,"custody")/SUMIFS('caseload data'!G:G,'caseload data'!$B:$B,"custody",'caseload data'!$C:$C,'custody %'!$T$22),"")</f>
        <v/>
      </c>
      <c r="X27" s="167" t="str">
        <f>IFERROR(SUMIFS('caseload data'!H:H,'caseload data'!$C:$C,'custody %'!$T$22,'caseload data'!$D:$D,"SPO",'caseload data'!$B:$B,"custody")/SUMIFS('caseload data'!H:H,'caseload data'!$B:$B,"custody",'caseload data'!$C:$C,'custody %'!$T$22),"")</f>
        <v/>
      </c>
      <c r="Y27" s="167" t="str">
        <f>IFERROR(SUMIFS('caseload data'!I:I,'caseload data'!$C:$C,'custody %'!$T$22,'caseload data'!$D:$D,"SPO",'caseload data'!$B:$B,"custody")/SUMIFS('caseload data'!I:I,'caseload data'!$B:$B,"custody",'caseload data'!$C:$C,'custody %'!$T$22),"")</f>
        <v/>
      </c>
      <c r="Z27" s="167" t="str">
        <f>IFERROR(SUMIFS('caseload data'!J:J,'caseload data'!$C:$C,'custody %'!$T$22,'caseload data'!$D:$D,"SPO",'caseload data'!$B:$B,"custody")/SUMIFS('caseload data'!J:J,'caseload data'!$B:$B,"custody",'caseload data'!$C:$C,'custody %'!$T$22),"")</f>
        <v/>
      </c>
      <c r="AA27" s="167" t="str">
        <f>IFERROR(SUMIFS('caseload data'!K:K,'caseload data'!$C:$C,'custody %'!$T$22,'caseload data'!$D:$D,"SPO",'caseload data'!$B:$B,"custody")/SUMIFS('caseload data'!K:K,'caseload data'!$B:$B,"custody",'caseload data'!$C:$C,'custody %'!$T$22),"")</f>
        <v/>
      </c>
      <c r="AB27" s="167" t="str">
        <f>IFERROR(SUMIFS('caseload data'!L:L,'caseload data'!$C:$C,'custody %'!$T$22,'caseload data'!$D:$D,"SPO",'caseload data'!$B:$B,"custody")/SUMIFS('caseload data'!L:L,'caseload data'!$B:$B,"custody",'caseload data'!$C:$C,'custody %'!$T$22),"")</f>
        <v/>
      </c>
      <c r="AC27" s="167" t="str">
        <f>IFERROR(SUMIFS('caseload data'!M:M,'caseload data'!$C:$C,'custody %'!$T$22,'caseload data'!$D:$D,"SPO",'caseload data'!$B:$B,"custody")/SUMIFS('caseload data'!M:M,'caseload data'!$B:$B,"custody",'caseload data'!$C:$C,'custody %'!$T$22),"")</f>
        <v/>
      </c>
      <c r="AD27" s="167" t="str">
        <f>IFERROR(SUMIFS('caseload data'!N:N,'caseload data'!$C:$C,'custody %'!$T$22,'caseload data'!$D:$D,"SPO",'caseload data'!$B:$B,"custody")/SUMIFS('caseload data'!N:N,'caseload data'!$B:$B,"custody",'caseload data'!$C:$C,'custody %'!$T$22),"")</f>
        <v/>
      </c>
      <c r="AE27" s="167" t="str">
        <f>IFERROR(SUMIFS('caseload data'!O:O,'caseload data'!$C:$C,'custody %'!$T$22,'caseload data'!$D:$D,"SPO",'caseload data'!$B:$B,"custody")/SUMIFS('caseload data'!O:O,'caseload data'!$B:$B,"custody",'caseload data'!$C:$C,'custody %'!$T$22),"")</f>
        <v/>
      </c>
      <c r="AF27" s="167" t="str">
        <f>IFERROR(SUMIFS('caseload data'!P:P,'caseload data'!$C:$C,'custody %'!$T$22,'caseload data'!$D:$D,"SPO",'caseload data'!$B:$B,"custody")/SUMIFS('caseload data'!P:P,'caseload data'!$B:$B,"custody",'caseload data'!$C:$C,'custody %'!$T$22),"")</f>
        <v/>
      </c>
      <c r="AG27" s="167" t="str">
        <f>IFERROR(SUMIFS('caseload data'!Q:Q,'caseload data'!$C:$C,'custody %'!$T$22,'caseload data'!$D:$D,"SPO",'caseload data'!$B:$B,"custody")/SUMIFS('caseload data'!Q:Q,'caseload data'!$B:$B,"custody",'caseload data'!$C:$C,'custody %'!$T$22),"")</f>
        <v/>
      </c>
      <c r="AH27" s="167" t="str">
        <f>IFERROR(SUMIFS('caseload data'!R:R,'caseload data'!$C:$C,'custody %'!$T$22,'caseload data'!$D:$D,"SPO",'caseload data'!$B:$B,"custody")/SUMIFS('caseload data'!R:R,'caseload data'!$B:$B,"custody",'caseload data'!$C:$C,'custody %'!$T$22),"")</f>
        <v/>
      </c>
      <c r="AI27" s="167"/>
      <c r="AJ27" s="167"/>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row>
    <row r="29" spans="2:36" ht="29.25" customHeight="1" x14ac:dyDescent="0.15">
      <c r="B29" s="289" t="str">
        <f>HLOOKUP($B$5,Region_Table,8,0)</f>
        <v>Nottinghamshire - N53</v>
      </c>
      <c r="C29" s="515" t="s">
        <v>1131</v>
      </c>
      <c r="D29" s="516"/>
      <c r="E29" s="516"/>
      <c r="F29" s="516"/>
      <c r="G29" s="516"/>
      <c r="H29" s="516"/>
      <c r="I29" s="516"/>
      <c r="J29" s="516"/>
      <c r="K29" s="516"/>
      <c r="L29" s="516"/>
      <c r="M29" s="535"/>
      <c r="N29" s="535"/>
      <c r="O29" s="536"/>
      <c r="P29" s="510">
        <f>SUMIF('caseload data'!$C:$C,'custody %'!B29,'caseload data'!V:V)</f>
        <v>0</v>
      </c>
      <c r="Q29" s="527"/>
      <c r="R29" s="528"/>
      <c r="S29" s="64"/>
      <c r="T29" s="289" t="str">
        <f>HLOOKUP($B$5,Region_Table,9,0)</f>
        <v>Unpaid Work and Attendance Centres - N53</v>
      </c>
      <c r="U29" s="515" t="s">
        <v>1131</v>
      </c>
      <c r="V29" s="516"/>
      <c r="W29" s="516"/>
      <c r="X29" s="516"/>
      <c r="Y29" s="516"/>
      <c r="Z29" s="516"/>
      <c r="AA29" s="516"/>
      <c r="AB29" s="516"/>
      <c r="AC29" s="535"/>
      <c r="AD29" s="535"/>
      <c r="AE29" s="536"/>
      <c r="AF29" s="510">
        <f>SUMIF('caseload data'!$C:$C,'custody %'!T29,'caseload data'!V:V)</f>
        <v>0</v>
      </c>
      <c r="AG29" s="527"/>
      <c r="AH29" s="528"/>
    </row>
    <row r="30" spans="2:36" x14ac:dyDescent="0.15">
      <c r="B30" s="95" t="s">
        <v>1005</v>
      </c>
      <c r="C30" s="38" t="s">
        <v>869</v>
      </c>
      <c r="D30" s="38" t="s">
        <v>870</v>
      </c>
      <c r="E30" s="38" t="s">
        <v>871</v>
      </c>
      <c r="F30" s="38" t="s">
        <v>872</v>
      </c>
      <c r="G30" s="38" t="s">
        <v>873</v>
      </c>
      <c r="H30" s="38" t="s">
        <v>874</v>
      </c>
      <c r="I30" s="38" t="s">
        <v>875</v>
      </c>
      <c r="J30" s="38" t="s">
        <v>876</v>
      </c>
      <c r="K30" s="38" t="s">
        <v>877</v>
      </c>
      <c r="L30" s="38" t="s">
        <v>878</v>
      </c>
      <c r="M30" s="38" t="s">
        <v>879</v>
      </c>
      <c r="N30" s="38" t="s">
        <v>880</v>
      </c>
      <c r="O30" s="38" t="s">
        <v>881</v>
      </c>
      <c r="P30" s="38" t="s">
        <v>882</v>
      </c>
      <c r="Q30" s="38" t="s">
        <v>883</v>
      </c>
      <c r="R30" s="38" t="s">
        <v>884</v>
      </c>
      <c r="S30" s="64"/>
      <c r="T30" s="95" t="s">
        <v>1005</v>
      </c>
      <c r="U30" s="38" t="s">
        <v>869</v>
      </c>
      <c r="V30" s="38" t="s">
        <v>870</v>
      </c>
      <c r="W30" s="38" t="s">
        <v>871</v>
      </c>
      <c r="X30" s="38" t="s">
        <v>872</v>
      </c>
      <c r="Y30" s="38" t="s">
        <v>873</v>
      </c>
      <c r="Z30" s="38" t="s">
        <v>874</v>
      </c>
      <c r="AA30" s="38" t="s">
        <v>875</v>
      </c>
      <c r="AB30" s="38" t="s">
        <v>876</v>
      </c>
      <c r="AC30" s="38" t="s">
        <v>877</v>
      </c>
      <c r="AD30" s="38" t="s">
        <v>878</v>
      </c>
      <c r="AE30" s="38" t="s">
        <v>879</v>
      </c>
      <c r="AF30" s="38" t="s">
        <v>880</v>
      </c>
      <c r="AG30" s="38" t="s">
        <v>881</v>
      </c>
      <c r="AH30" s="38" t="s">
        <v>882</v>
      </c>
      <c r="AI30" s="38" t="s">
        <v>883</v>
      </c>
      <c r="AJ30" s="38" t="s">
        <v>884</v>
      </c>
    </row>
    <row r="31" spans="2:36" x14ac:dyDescent="0.15">
      <c r="B31" s="96" t="s">
        <v>1002</v>
      </c>
      <c r="C31" s="167" t="str">
        <f>IFERROR(SUMIFS('caseload data'!E:E,'caseload data'!$C:$C,'custody %'!$B$29,'caseload data'!$D:$D,"PO",'caseload data'!$B:$B,"custody")/SUMIFS('caseload data'!E:E,'caseload data'!$B:$B,"custody",'caseload data'!$C:$C,'custody %'!$B$29),"")</f>
        <v/>
      </c>
      <c r="D31" s="167" t="str">
        <f>IFERROR(SUMIFS('caseload data'!F:F,'caseload data'!$C:$C,'custody %'!$B$29,'caseload data'!$D:$D,"PO",'caseload data'!$B:$B,"custody")/SUMIFS('caseload data'!F:F,'caseload data'!$B:$B,"custody",'caseload data'!$C:$C,'custody %'!$B$29),"")</f>
        <v/>
      </c>
      <c r="E31" s="167" t="str">
        <f>IFERROR(SUMIFS('caseload data'!G:G,'caseload data'!$C:$C,'custody %'!$B$29,'caseload data'!$D:$D,"PO",'caseload data'!$B:$B,"custody")/SUMIFS('caseload data'!G:G,'caseload data'!$B:$B,"custody",'caseload data'!$C:$C,'custody %'!$B$29),"")</f>
        <v/>
      </c>
      <c r="F31" s="167" t="str">
        <f>IFERROR(SUMIFS('caseload data'!H:H,'caseload data'!$C:$C,'custody %'!$B$29,'caseload data'!$D:$D,"PO",'caseload data'!$B:$B,"custody")/SUMIFS('caseload data'!H:H,'caseload data'!$B:$B,"custody",'caseload data'!$C:$C,'custody %'!$B$29),"")</f>
        <v/>
      </c>
      <c r="G31" s="167" t="str">
        <f>IFERROR(SUMIFS('caseload data'!I:I,'caseload data'!$C:$C,'custody %'!$B$29,'caseload data'!$D:$D,"PO",'caseload data'!$B:$B,"custody")/SUMIFS('caseload data'!I:I,'caseload data'!$B:$B,"custody",'caseload data'!$C:$C,'custody %'!$B$29),"")</f>
        <v/>
      </c>
      <c r="H31" s="167" t="str">
        <f>IFERROR(SUMIFS('caseload data'!J:J,'caseload data'!$C:$C,'custody %'!$B$29,'caseload data'!$D:$D,"PO",'caseload data'!$B:$B,"custody")/SUMIFS('caseload data'!J:J,'caseload data'!$B:$B,"custody",'caseload data'!$C:$C,'custody %'!$B$29),"")</f>
        <v/>
      </c>
      <c r="I31" s="167" t="str">
        <f>IFERROR(SUMIFS('caseload data'!K:K,'caseload data'!$C:$C,'custody %'!$B$29,'caseload data'!$D:$D,"PO",'caseload data'!$B:$B,"custody")/SUMIFS('caseload data'!K:K,'caseload data'!$B:$B,"custody",'caseload data'!$C:$C,'custody %'!$B$29),"")</f>
        <v/>
      </c>
      <c r="J31" s="167" t="str">
        <f>IFERROR(SUMIFS('caseload data'!L:L,'caseload data'!$C:$C,'custody %'!$B$29,'caseload data'!$D:$D,"PO",'caseload data'!$B:$B,"custody")/SUMIFS('caseload data'!L:L,'caseload data'!$B:$B,"custody",'caseload data'!$C:$C,'custody %'!$B$29),"")</f>
        <v/>
      </c>
      <c r="K31" s="167" t="str">
        <f>IFERROR(SUMIFS('caseload data'!M:M,'caseload data'!$C:$C,'custody %'!$B$29,'caseload data'!$D:$D,"PO",'caseload data'!$B:$B,"custody")/SUMIFS('caseload data'!M:M,'caseload data'!$B:$B,"custody",'caseload data'!$C:$C,'custody %'!$B$29),"")</f>
        <v/>
      </c>
      <c r="L31" s="167" t="str">
        <f>IFERROR(SUMIFS('caseload data'!N:N,'caseload data'!$C:$C,'custody %'!$B$29,'caseload data'!$D:$D,"PO",'caseload data'!$B:$B,"custody")/SUMIFS('caseload data'!N:N,'caseload data'!$B:$B,"custody",'caseload data'!$C:$C,'custody %'!$B$29),"")</f>
        <v/>
      </c>
      <c r="M31" s="167" t="str">
        <f>IFERROR(SUMIFS('caseload data'!O:O,'caseload data'!$C:$C,'custody %'!$B$29,'caseload data'!$D:$D,"PO",'caseload data'!$B:$B,"custody")/SUMIFS('caseload data'!O:O,'caseload data'!$B:$B,"custody",'caseload data'!$C:$C,'custody %'!$B$29),"")</f>
        <v/>
      </c>
      <c r="N31" s="167" t="str">
        <f>IFERROR(SUMIFS('caseload data'!P:P,'caseload data'!$C:$C,'custody %'!$B$29,'caseload data'!$D:$D,"PO",'caseload data'!$B:$B,"custody")/SUMIFS('caseload data'!P:P,'caseload data'!$B:$B,"custody",'caseload data'!$C:$C,'custody %'!$B$29),"")</f>
        <v/>
      </c>
      <c r="O31" s="167" t="str">
        <f>IFERROR(SUMIFS('caseload data'!Q:Q,'caseload data'!$C:$C,'custody %'!$B$29,'caseload data'!$D:$D,"PO",'caseload data'!$B:$B,"custody")/SUMIFS('caseload data'!Q:Q,'caseload data'!$B:$B,"custody",'caseload data'!$C:$C,'custody %'!$B$29),"")</f>
        <v/>
      </c>
      <c r="P31" s="167" t="str">
        <f>IFERROR(SUMIFS('caseload data'!R:R,'caseload data'!$C:$C,'custody %'!$B$29,'caseload data'!$D:$D,"PO",'caseload data'!$B:$B,"custody")/SUMIFS('caseload data'!R:R,'caseload data'!$B:$B,"custody",'caseload data'!$C:$C,'custody %'!$B$29),"")</f>
        <v/>
      </c>
      <c r="Q31" s="167" t="str">
        <f>IFERROR(SUMIFS('caseload data'!S:S,'caseload data'!$C:$C,'custody %'!$B$29,'caseload data'!$D:$D,"PO",'caseload data'!$B:$B,"custody")/SUMIFS('caseload data'!S:S,'caseload data'!$B:$B,"custody",'caseload data'!$C:$C,'custody %'!$B$29),"")</f>
        <v/>
      </c>
      <c r="R31" s="167" t="str">
        <f>IFERROR(SUMIFS('caseload data'!T:T,'caseload data'!$C:$C,'custody %'!$B$29,'caseload data'!$D:$D,"PO",'caseload data'!$B:$B,"custody")/SUMIFS('caseload data'!T:T,'caseload data'!$B:$B,"custody",'caseload data'!$C:$C,'custody %'!$B$29),"")</f>
        <v/>
      </c>
      <c r="S31" s="64"/>
      <c r="T31" s="96" t="s">
        <v>1002</v>
      </c>
      <c r="U31" s="167" t="str">
        <f>IFERROR(SUMIFS('caseload data'!E:E,'caseload data'!$C:$C,'custody %'!$T$29,'caseload data'!$D:$D,"PO",'caseload data'!$B:$B,"custody")/SUMIFS('caseload data'!E:E,'caseload data'!$B:$B,"custody",'caseload data'!$C:$C,'custody %'!$T$29),"")</f>
        <v/>
      </c>
      <c r="V31" s="167" t="str">
        <f>IFERROR(SUMIFS('caseload data'!F:F,'caseload data'!$C:$C,'custody %'!$T$29,'caseload data'!$D:$D,"PO",'caseload data'!$B:$B,"custody")/SUMIFS('caseload data'!F:F,'caseload data'!$B:$B,"custody",'caseload data'!$C:$C,'custody %'!$T$29),"")</f>
        <v/>
      </c>
      <c r="W31" s="167" t="str">
        <f>IFERROR(SUMIFS('caseload data'!G:G,'caseload data'!$C:$C,'custody %'!$T$29,'caseload data'!$D:$D,"PO",'caseload data'!$B:$B,"custody")/SUMIFS('caseload data'!G:G,'caseload data'!$B:$B,"custody",'caseload data'!$C:$C,'custody %'!$T$29),"")</f>
        <v/>
      </c>
      <c r="X31" s="167" t="str">
        <f>IFERROR(SUMIFS('caseload data'!H:H,'caseload data'!$C:$C,'custody %'!$T$29,'caseload data'!$D:$D,"PO",'caseload data'!$B:$B,"custody")/SUMIFS('caseload data'!H:H,'caseload data'!$B:$B,"custody",'caseload data'!$C:$C,'custody %'!$T$29),"")</f>
        <v/>
      </c>
      <c r="Y31" s="167" t="str">
        <f>IFERROR(SUMIFS('caseload data'!I:I,'caseload data'!$C:$C,'custody %'!$T$29,'caseload data'!$D:$D,"PO",'caseload data'!$B:$B,"custody")/SUMIFS('caseload data'!I:I,'caseload data'!$B:$B,"custody",'caseload data'!$C:$C,'custody %'!$T$29),"")</f>
        <v/>
      </c>
      <c r="Z31" s="167" t="str">
        <f>IFERROR(SUMIFS('caseload data'!J:J,'caseload data'!$C:$C,'custody %'!$T$29,'caseload data'!$D:$D,"PO",'caseload data'!$B:$B,"custody")/SUMIFS('caseload data'!J:J,'caseload data'!$B:$B,"custody",'caseload data'!$C:$C,'custody %'!$T$29),"")</f>
        <v/>
      </c>
      <c r="AA31" s="167" t="str">
        <f>IFERROR(SUMIFS('caseload data'!K:K,'caseload data'!$C:$C,'custody %'!$T$29,'caseload data'!$D:$D,"PO",'caseload data'!$B:$B,"custody")/SUMIFS('caseload data'!K:K,'caseload data'!$B:$B,"custody",'caseload data'!$C:$C,'custody %'!$T$29),"")</f>
        <v/>
      </c>
      <c r="AB31" s="167" t="str">
        <f>IFERROR(SUMIFS('caseload data'!L:L,'caseload data'!$C:$C,'custody %'!$T$29,'caseload data'!$D:$D,"PO",'caseload data'!$B:$B,"custody")/SUMIFS('caseload data'!L:L,'caseload data'!$B:$B,"custody",'caseload data'!$C:$C,'custody %'!$T$29),"")</f>
        <v/>
      </c>
      <c r="AC31" s="167" t="str">
        <f>IFERROR(SUMIFS('caseload data'!M:M,'caseload data'!$C:$C,'custody %'!$T$29,'caseload data'!$D:$D,"PO",'caseload data'!$B:$B,"custody")/SUMIFS('caseload data'!M:M,'caseload data'!$B:$B,"custody",'caseload data'!$C:$C,'custody %'!$T$29),"")</f>
        <v/>
      </c>
      <c r="AD31" s="167" t="str">
        <f>IFERROR(SUMIFS('caseload data'!N:N,'caseload data'!$C:$C,'custody %'!$T$29,'caseload data'!$D:$D,"PO",'caseload data'!$B:$B,"custody")/SUMIFS('caseload data'!N:N,'caseload data'!$B:$B,"custody",'caseload data'!$C:$C,'custody %'!$T$29),"")</f>
        <v/>
      </c>
      <c r="AE31" s="167" t="str">
        <f>IFERROR(SUMIFS('caseload data'!O:O,'caseload data'!$C:$C,'custody %'!$T$29,'caseload data'!$D:$D,"PO",'caseload data'!$B:$B,"custody")/SUMIFS('caseload data'!O:O,'caseload data'!$B:$B,"custody",'caseload data'!$C:$C,'custody %'!$T$29),"")</f>
        <v/>
      </c>
      <c r="AF31" s="167" t="str">
        <f>IFERROR(SUMIFS('caseload data'!P:P,'caseload data'!$C:$C,'custody %'!$T$29,'caseload data'!$D:$D,"PO",'caseload data'!$B:$B,"custody")/SUMIFS('caseload data'!P:P,'caseload data'!$B:$B,"custody",'caseload data'!$C:$C,'custody %'!$T$29),"")</f>
        <v/>
      </c>
      <c r="AG31" s="167" t="str">
        <f>IFERROR(SUMIFS('caseload data'!Q:Q,'caseload data'!$C:$C,'custody %'!$T$29,'caseload data'!$D:$D,"PO",'caseload data'!$B:$B,"custody")/SUMIFS('caseload data'!Q:Q,'caseload data'!$B:$B,"custody",'caseload data'!$C:$C,'custody %'!$T$29),"")</f>
        <v/>
      </c>
      <c r="AH31" s="167" t="str">
        <f>IFERROR(SUMIFS('caseload data'!R:R,'caseload data'!$C:$C,'custody %'!$T$29,'caseload data'!$D:$D,"PO",'caseload data'!$B:$B,"custody")/SUMIFS('caseload data'!R:R,'caseload data'!$B:$B,"custody",'caseload data'!$C:$C,'custody %'!$T$29),"")</f>
        <v/>
      </c>
      <c r="AI31" s="167"/>
      <c r="AJ31" s="167"/>
    </row>
    <row r="32" spans="2:36" x14ac:dyDescent="0.15">
      <c r="B32" s="97" t="s">
        <v>1007</v>
      </c>
      <c r="C32" s="167" t="str">
        <f>IFERROR(SUMIFS('caseload data'!E:E,'caseload data'!$C:$C,'custody %'!$B$29,'caseload data'!$D:$D,"PSO",'caseload data'!$B:$B,"custody")/SUMIFS('caseload data'!E:E,'caseload data'!$B:$B,"custody",'caseload data'!$C:$C,'custody %'!$B$29),"")</f>
        <v/>
      </c>
      <c r="D32" s="167" t="str">
        <f>IFERROR(SUMIFS('caseload data'!F:F,'caseload data'!$C:$C,'custody %'!$B$29,'caseload data'!$D:$D,"PSO",'caseload data'!$B:$B,"custody")/SUMIFS('caseload data'!F:F,'caseload data'!$B:$B,"custody",'caseload data'!$C:$C,'custody %'!$B$29),"")</f>
        <v/>
      </c>
      <c r="E32" s="167" t="str">
        <f>IFERROR(SUMIFS('caseload data'!G:G,'caseload data'!$C:$C,'custody %'!$B$29,'caseload data'!$D:$D,"PSO",'caseload data'!$B:$B,"custody")/SUMIFS('caseload data'!G:G,'caseload data'!$B:$B,"custody",'caseload data'!$C:$C,'custody %'!$B$29),"")</f>
        <v/>
      </c>
      <c r="F32" s="167" t="str">
        <f>IFERROR(SUMIFS('caseload data'!H:H,'caseload data'!$C:$C,'custody %'!$B$29,'caseload data'!$D:$D,"PSO",'caseload data'!$B:$B,"custody")/SUMIFS('caseload data'!H:H,'caseload data'!$B:$B,"custody",'caseload data'!$C:$C,'custody %'!$B$29),"")</f>
        <v/>
      </c>
      <c r="G32" s="167" t="str">
        <f>IFERROR(SUMIFS('caseload data'!I:I,'caseload data'!$C:$C,'custody %'!$B$29,'caseload data'!$D:$D,"PSO",'caseload data'!$B:$B,"custody")/SUMIFS('caseload data'!I:I,'caseload data'!$B:$B,"custody",'caseload data'!$C:$C,'custody %'!$B$29),"")</f>
        <v/>
      </c>
      <c r="H32" s="167" t="str">
        <f>IFERROR(SUMIFS('caseload data'!J:J,'caseload data'!$C:$C,'custody %'!$B$29,'caseload data'!$D:$D,"PSO",'caseload data'!$B:$B,"custody")/SUMIFS('caseload data'!J:J,'caseload data'!$B:$B,"custody",'caseload data'!$C:$C,'custody %'!$B$29),"")</f>
        <v/>
      </c>
      <c r="I32" s="167" t="str">
        <f>IFERROR(SUMIFS('caseload data'!K:K,'caseload data'!$C:$C,'custody %'!$B$29,'caseload data'!$D:$D,"PSO",'caseload data'!$B:$B,"custody")/SUMIFS('caseload data'!K:K,'caseload data'!$B:$B,"custody",'caseload data'!$C:$C,'custody %'!$B$29),"")</f>
        <v/>
      </c>
      <c r="J32" s="167" t="str">
        <f>IFERROR(SUMIFS('caseload data'!L:L,'caseload data'!$C:$C,'custody %'!$B$29,'caseload data'!$D:$D,"PSO",'caseload data'!$B:$B,"custody")/SUMIFS('caseload data'!L:L,'caseload data'!$B:$B,"custody",'caseload data'!$C:$C,'custody %'!$B$29),"")</f>
        <v/>
      </c>
      <c r="K32" s="167" t="str">
        <f>IFERROR(SUMIFS('caseload data'!M:M,'caseload data'!$C:$C,'custody %'!$B$29,'caseload data'!$D:$D,"PSO",'caseload data'!$B:$B,"custody")/SUMIFS('caseload data'!M:M,'caseload data'!$B:$B,"custody",'caseload data'!$C:$C,'custody %'!$B$29),"")</f>
        <v/>
      </c>
      <c r="L32" s="167" t="str">
        <f>IFERROR(SUMIFS('caseload data'!N:N,'caseload data'!$C:$C,'custody %'!$B$29,'caseload data'!$D:$D,"PSO",'caseload data'!$B:$B,"custody")/SUMIFS('caseload data'!N:N,'caseload data'!$B:$B,"custody",'caseload data'!$C:$C,'custody %'!$B$29),"")</f>
        <v/>
      </c>
      <c r="M32" s="167" t="str">
        <f>IFERROR(SUMIFS('caseload data'!O:O,'caseload data'!$C:$C,'custody %'!$B$29,'caseload data'!$D:$D,"PSO",'caseload data'!$B:$B,"custody")/SUMIFS('caseload data'!O:O,'caseload data'!$B:$B,"custody",'caseload data'!$C:$C,'custody %'!$B$29),"")</f>
        <v/>
      </c>
      <c r="N32" s="167" t="str">
        <f>IFERROR(SUMIFS('caseload data'!P:P,'caseload data'!$C:$C,'custody %'!$B$29,'caseload data'!$D:$D,"PSO",'caseload data'!$B:$B,"custody")/SUMIFS('caseload data'!P:P,'caseload data'!$B:$B,"custody",'caseload data'!$C:$C,'custody %'!$B$29),"")</f>
        <v/>
      </c>
      <c r="O32" s="167" t="str">
        <f>IFERROR(SUMIFS('caseload data'!Q:Q,'caseload data'!$C:$C,'custody %'!$B$29,'caseload data'!$D:$D,"PSO",'caseload data'!$B:$B,"custody")/SUMIFS('caseload data'!Q:Q,'caseload data'!$B:$B,"custody",'caseload data'!$C:$C,'custody %'!$B$29),"")</f>
        <v/>
      </c>
      <c r="P32" s="167" t="str">
        <f>IFERROR(SUMIFS('caseload data'!R:R,'caseload data'!$C:$C,'custody %'!$B$29,'caseload data'!$D:$D,"PSO",'caseload data'!$B:$B,"custody")/SUMIFS('caseload data'!R:R,'caseload data'!$B:$B,"custody",'caseload data'!$C:$C,'custody %'!$B$29),"")</f>
        <v/>
      </c>
      <c r="Q32" s="167" t="str">
        <f>IFERROR(SUMIFS('caseload data'!S:S,'caseload data'!$C:$C,'custody %'!$B$29,'caseload data'!$D:$D,"PSO",'caseload data'!$B:$B,"custody")/SUMIFS('caseload data'!S:S,'caseload data'!$B:$B,"custody",'caseload data'!$C:$C,'custody %'!$B$29),"")</f>
        <v/>
      </c>
      <c r="R32" s="167" t="str">
        <f>IFERROR(SUMIFS('caseload data'!T:T,'caseload data'!$C:$C,'custody %'!$B$29,'caseload data'!$D:$D,"PSO",'caseload data'!$B:$B,"custody")/SUMIFS('caseload data'!T:T,'caseload data'!$B:$B,"custody",'caseload data'!$C:$C,'custody %'!$B$29),"")</f>
        <v/>
      </c>
      <c r="S32" s="64"/>
      <c r="T32" s="97" t="s">
        <v>1007</v>
      </c>
      <c r="U32" s="167" t="str">
        <f>IFERROR(SUMIFS('caseload data'!E:E,'caseload data'!$C:$C,'custody %'!$T$29,'caseload data'!$D:$D,"PSO",'caseload data'!$B:$B,"custody")/SUMIFS('caseload data'!E:E,'caseload data'!$B:$B,"custody",'caseload data'!$C:$C,'custody %'!$T$29),"")</f>
        <v/>
      </c>
      <c r="V32" s="167" t="str">
        <f>IFERROR(SUMIFS('caseload data'!F:F,'caseload data'!$C:$C,'custody %'!$T$29,'caseload data'!$D:$D,"PSO",'caseload data'!$B:$B,"custody")/SUMIFS('caseload data'!F:F,'caseload data'!$B:$B,"custody",'caseload data'!$C:$C,'custody %'!$T$29),"")</f>
        <v/>
      </c>
      <c r="W32" s="167" t="str">
        <f>IFERROR(SUMIFS('caseload data'!G:G,'caseload data'!$C:$C,'custody %'!$T$29,'caseload data'!$D:$D,"PSO",'caseload data'!$B:$B,"custody")/SUMIFS('caseload data'!G:G,'caseload data'!$B:$B,"custody",'caseload data'!$C:$C,'custody %'!$T$29),"")</f>
        <v/>
      </c>
      <c r="X32" s="167" t="str">
        <f>IFERROR(SUMIFS('caseload data'!H:H,'caseload data'!$C:$C,'custody %'!$T$29,'caseload data'!$D:$D,"PSO",'caseload data'!$B:$B,"custody")/SUMIFS('caseload data'!H:H,'caseload data'!$B:$B,"custody",'caseload data'!$C:$C,'custody %'!$T$29),"")</f>
        <v/>
      </c>
      <c r="Y32" s="167" t="str">
        <f>IFERROR(SUMIFS('caseload data'!I:I,'caseload data'!$C:$C,'custody %'!$T$29,'caseload data'!$D:$D,"PSO",'caseload data'!$B:$B,"custody")/SUMIFS('caseload data'!I:I,'caseload data'!$B:$B,"custody",'caseload data'!$C:$C,'custody %'!$T$29),"")</f>
        <v/>
      </c>
      <c r="Z32" s="167" t="str">
        <f>IFERROR(SUMIFS('caseload data'!J:J,'caseload data'!$C:$C,'custody %'!$T$29,'caseload data'!$D:$D,"PSO",'caseload data'!$B:$B,"custody")/SUMIFS('caseload data'!J:J,'caseload data'!$B:$B,"custody",'caseload data'!$C:$C,'custody %'!$T$29),"")</f>
        <v/>
      </c>
      <c r="AA32" s="167" t="str">
        <f>IFERROR(SUMIFS('caseload data'!K:K,'caseload data'!$C:$C,'custody %'!$T$29,'caseload data'!$D:$D,"PSO",'caseload data'!$B:$B,"custody")/SUMIFS('caseload data'!K:K,'caseload data'!$B:$B,"custody",'caseload data'!$C:$C,'custody %'!$T$29),"")</f>
        <v/>
      </c>
      <c r="AB32" s="167" t="str">
        <f>IFERROR(SUMIFS('caseload data'!L:L,'caseload data'!$C:$C,'custody %'!$T$29,'caseload data'!$D:$D,"PSO",'caseload data'!$B:$B,"custody")/SUMIFS('caseload data'!L:L,'caseload data'!$B:$B,"custody",'caseload data'!$C:$C,'custody %'!$T$29),"")</f>
        <v/>
      </c>
      <c r="AC32" s="167" t="str">
        <f>IFERROR(SUMIFS('caseload data'!M:M,'caseload data'!$C:$C,'custody %'!$T$29,'caseload data'!$D:$D,"PSO",'caseload data'!$B:$B,"custody")/SUMIFS('caseload data'!M:M,'caseload data'!$B:$B,"custody",'caseload data'!$C:$C,'custody %'!$T$29),"")</f>
        <v/>
      </c>
      <c r="AD32" s="167" t="str">
        <f>IFERROR(SUMIFS('caseload data'!N:N,'caseload data'!$C:$C,'custody %'!$T$29,'caseload data'!$D:$D,"PSO",'caseload data'!$B:$B,"custody")/SUMIFS('caseload data'!N:N,'caseload data'!$B:$B,"custody",'caseload data'!$C:$C,'custody %'!$T$29),"")</f>
        <v/>
      </c>
      <c r="AE32" s="167" t="str">
        <f>IFERROR(SUMIFS('caseload data'!O:O,'caseload data'!$C:$C,'custody %'!$T$29,'caseload data'!$D:$D,"PSO",'caseload data'!$B:$B,"custody")/SUMIFS('caseload data'!O:O,'caseload data'!$B:$B,"custody",'caseload data'!$C:$C,'custody %'!$T$29),"")</f>
        <v/>
      </c>
      <c r="AF32" s="167" t="str">
        <f>IFERROR(SUMIFS('caseload data'!P:P,'caseload data'!$C:$C,'custody %'!$T$29,'caseload data'!$D:$D,"PSO",'caseload data'!$B:$B,"custody")/SUMIFS('caseload data'!P:P,'caseload data'!$B:$B,"custody",'caseload data'!$C:$C,'custody %'!$T$29),"")</f>
        <v/>
      </c>
      <c r="AG32" s="167" t="str">
        <f>IFERROR(SUMIFS('caseload data'!Q:Q,'caseload data'!$C:$C,'custody %'!$T$29,'caseload data'!$D:$D,"PSO",'caseload data'!$B:$B,"custody")/SUMIFS('caseload data'!Q:Q,'caseload data'!$B:$B,"custody",'caseload data'!$C:$C,'custody %'!$T$29),"")</f>
        <v/>
      </c>
      <c r="AH32" s="167" t="str">
        <f>IFERROR(SUMIFS('caseload data'!R:R,'caseload data'!$C:$C,'custody %'!$T$29,'caseload data'!$D:$D,"PSO",'caseload data'!$B:$B,"custody")/SUMIFS('caseload data'!R:R,'caseload data'!$B:$B,"custody",'caseload data'!$C:$C,'custody %'!$T$29),"")</f>
        <v/>
      </c>
      <c r="AI32" s="167"/>
      <c r="AJ32" s="167"/>
    </row>
    <row r="33" spans="2:36" x14ac:dyDescent="0.15">
      <c r="B33" s="97" t="s">
        <v>1008</v>
      </c>
      <c r="C33" s="167" t="str">
        <f>IFERROR(SUMIFS('caseload data'!E:E,'caseload data'!$C:$C,'custody %'!$B$29,'caseload data'!$D:$D,"TPO",'caseload data'!$B:$B,"custody")/SUMIFS('caseload data'!E:E,'caseload data'!$B:$B,"custody",'caseload data'!$C:$C,'custody %'!$B$29),"")</f>
        <v/>
      </c>
      <c r="D33" s="167" t="str">
        <f>IFERROR(SUMIFS('caseload data'!F:F,'caseload data'!$C:$C,'custody %'!$B$29,'caseload data'!$D:$D,"TPO",'caseload data'!$B:$B,"custody")/SUMIFS('caseload data'!F:F,'caseload data'!$B:$B,"custody",'caseload data'!$C:$C,'custody %'!$B$29),"")</f>
        <v/>
      </c>
      <c r="E33" s="167" t="str">
        <f>IFERROR(SUMIFS('caseload data'!G:G,'caseload data'!$C:$C,'custody %'!$B$29,'caseload data'!$D:$D,"TPO",'caseload data'!$B:$B,"custody")/SUMIFS('caseload data'!G:G,'caseload data'!$B:$B,"custody",'caseload data'!$C:$C,'custody %'!$B$29),"")</f>
        <v/>
      </c>
      <c r="F33" s="167" t="str">
        <f>IFERROR(SUMIFS('caseload data'!H:H,'caseload data'!$C:$C,'custody %'!$B$29,'caseload data'!$D:$D,"TPO",'caseload data'!$B:$B,"custody")/SUMIFS('caseload data'!H:H,'caseload data'!$B:$B,"custody",'caseload data'!$C:$C,'custody %'!$B$29),"")</f>
        <v/>
      </c>
      <c r="G33" s="167" t="str">
        <f>IFERROR(SUMIFS('caseload data'!I:I,'caseload data'!$C:$C,'custody %'!$B$29,'caseload data'!$D:$D,"TPO",'caseload data'!$B:$B,"custody")/SUMIFS('caseload data'!I:I,'caseload data'!$B:$B,"custody",'caseload data'!$C:$C,'custody %'!$B$29),"")</f>
        <v/>
      </c>
      <c r="H33" s="167" t="str">
        <f>IFERROR(SUMIFS('caseload data'!J:J,'caseload data'!$C:$C,'custody %'!$B$29,'caseload data'!$D:$D,"TPO",'caseload data'!$B:$B,"custody")/SUMIFS('caseload data'!J:J,'caseload data'!$B:$B,"custody",'caseload data'!$C:$C,'custody %'!$B$29),"")</f>
        <v/>
      </c>
      <c r="I33" s="167" t="str">
        <f>IFERROR(SUMIFS('caseload data'!K:K,'caseload data'!$C:$C,'custody %'!$B$29,'caseload data'!$D:$D,"TPO",'caseload data'!$B:$B,"custody")/SUMIFS('caseload data'!K:K,'caseload data'!$B:$B,"custody",'caseload data'!$C:$C,'custody %'!$B$29),"")</f>
        <v/>
      </c>
      <c r="J33" s="167" t="str">
        <f>IFERROR(SUMIFS('caseload data'!L:L,'caseload data'!$C:$C,'custody %'!$B$29,'caseload data'!$D:$D,"TPO",'caseload data'!$B:$B,"custody")/SUMIFS('caseload data'!L:L,'caseload data'!$B:$B,"custody",'caseload data'!$C:$C,'custody %'!$B$29),"")</f>
        <v/>
      </c>
      <c r="K33" s="167" t="str">
        <f>IFERROR(SUMIFS('caseload data'!M:M,'caseload data'!$C:$C,'custody %'!$B$29,'caseload data'!$D:$D,"TPO",'caseload data'!$B:$B,"custody")/SUMIFS('caseload data'!M:M,'caseload data'!$B:$B,"custody",'caseload data'!$C:$C,'custody %'!$B$29),"")</f>
        <v/>
      </c>
      <c r="L33" s="167" t="str">
        <f>IFERROR(SUMIFS('caseload data'!N:N,'caseload data'!$C:$C,'custody %'!$B$29,'caseload data'!$D:$D,"TPO",'caseload data'!$B:$B,"custody")/SUMIFS('caseload data'!N:N,'caseload data'!$B:$B,"custody",'caseload data'!$C:$C,'custody %'!$B$29),"")</f>
        <v/>
      </c>
      <c r="M33" s="167" t="str">
        <f>IFERROR(SUMIFS('caseload data'!O:O,'caseload data'!$C:$C,'custody %'!$B$29,'caseload data'!$D:$D,"TPO",'caseload data'!$B:$B,"custody")/SUMIFS('caseload data'!O:O,'caseload data'!$B:$B,"custody",'caseload data'!$C:$C,'custody %'!$B$29),"")</f>
        <v/>
      </c>
      <c r="N33" s="167" t="str">
        <f>IFERROR(SUMIFS('caseload data'!P:P,'caseload data'!$C:$C,'custody %'!$B$29,'caseload data'!$D:$D,"TPO",'caseload data'!$B:$B,"custody")/SUMIFS('caseload data'!P:P,'caseload data'!$B:$B,"custody",'caseload data'!$C:$C,'custody %'!$B$29),"")</f>
        <v/>
      </c>
      <c r="O33" s="167" t="str">
        <f>IFERROR(SUMIFS('caseload data'!Q:Q,'caseload data'!$C:$C,'custody %'!$B$29,'caseload data'!$D:$D,"TPO",'caseload data'!$B:$B,"custody")/SUMIFS('caseload data'!Q:Q,'caseload data'!$B:$B,"custody",'caseload data'!$C:$C,'custody %'!$B$29),"")</f>
        <v/>
      </c>
      <c r="P33" s="167" t="str">
        <f>IFERROR(SUMIFS('caseload data'!R:R,'caseload data'!$C:$C,'custody %'!$B$29,'caseload data'!$D:$D,"TPO",'caseload data'!$B:$B,"custody")/SUMIFS('caseload data'!R:R,'caseload data'!$B:$B,"custody",'caseload data'!$C:$C,'custody %'!$B$29),"")</f>
        <v/>
      </c>
      <c r="Q33" s="167" t="str">
        <f>IFERROR(SUMIFS('caseload data'!S:S,'caseload data'!$C:$C,'custody %'!$B$29,'caseload data'!$D:$D,"TPO",'caseload data'!$B:$B,"custody")/SUMIFS('caseload data'!S:S,'caseload data'!$B:$B,"custody",'caseload data'!$C:$C,'custody %'!$B$29),"")</f>
        <v/>
      </c>
      <c r="R33" s="167" t="str">
        <f>IFERROR(SUMIFS('caseload data'!T:T,'caseload data'!$C:$C,'custody %'!$B$29,'caseload data'!$D:$D,"TPO",'caseload data'!$B:$B,"custody")/SUMIFS('caseload data'!T:T,'caseload data'!$B:$B,"custody",'caseload data'!$C:$C,'custody %'!$B$29),"")</f>
        <v/>
      </c>
      <c r="S33" s="64"/>
      <c r="T33" s="97" t="s">
        <v>1008</v>
      </c>
      <c r="U33" s="167" t="str">
        <f>IFERROR(SUMIFS('caseload data'!E:E,'caseload data'!$C:$C,'custody %'!$T$29,'caseload data'!$D:$D,"TPO",'caseload data'!$B:$B,"custody")/SUMIFS('caseload data'!E:E,'caseload data'!$B:$B,"custody",'caseload data'!$C:$C,'custody %'!$T$29),"")</f>
        <v/>
      </c>
      <c r="V33" s="167" t="str">
        <f>IFERROR(SUMIFS('caseload data'!F:F,'caseload data'!$C:$C,'custody %'!$T$29,'caseload data'!$D:$D,"TPO",'caseload data'!$B:$B,"custody")/SUMIFS('caseload data'!F:F,'caseload data'!$B:$B,"custody",'caseload data'!$C:$C,'custody %'!$T$29),"")</f>
        <v/>
      </c>
      <c r="W33" s="167" t="str">
        <f>IFERROR(SUMIFS('caseload data'!G:G,'caseload data'!$C:$C,'custody %'!$T$29,'caseload data'!$D:$D,"TPO",'caseload data'!$B:$B,"custody")/SUMIFS('caseload data'!G:G,'caseload data'!$B:$B,"custody",'caseload data'!$C:$C,'custody %'!$T$29),"")</f>
        <v/>
      </c>
      <c r="X33" s="167" t="str">
        <f>IFERROR(SUMIFS('caseload data'!H:H,'caseload data'!$C:$C,'custody %'!$T$29,'caseload data'!$D:$D,"TPO",'caseload data'!$B:$B,"custody")/SUMIFS('caseload data'!H:H,'caseload data'!$B:$B,"custody",'caseload data'!$C:$C,'custody %'!$T$29),"")</f>
        <v/>
      </c>
      <c r="Y33" s="167" t="str">
        <f>IFERROR(SUMIFS('caseload data'!I:I,'caseload data'!$C:$C,'custody %'!$T$29,'caseload data'!$D:$D,"TPO",'caseload data'!$B:$B,"custody")/SUMIFS('caseload data'!I:I,'caseload data'!$B:$B,"custody",'caseload data'!$C:$C,'custody %'!$T$29),"")</f>
        <v/>
      </c>
      <c r="Z33" s="167" t="str">
        <f>IFERROR(SUMIFS('caseload data'!J:J,'caseload data'!$C:$C,'custody %'!$T$29,'caseload data'!$D:$D,"TPO",'caseload data'!$B:$B,"custody")/SUMIFS('caseload data'!J:J,'caseload data'!$B:$B,"custody",'caseload data'!$C:$C,'custody %'!$T$29),"")</f>
        <v/>
      </c>
      <c r="AA33" s="167" t="str">
        <f>IFERROR(SUMIFS('caseload data'!K:K,'caseload data'!$C:$C,'custody %'!$T$29,'caseload data'!$D:$D,"TPO",'caseload data'!$B:$B,"custody")/SUMIFS('caseload data'!K:K,'caseload data'!$B:$B,"custody",'caseload data'!$C:$C,'custody %'!$T$29),"")</f>
        <v/>
      </c>
      <c r="AB33" s="167" t="str">
        <f>IFERROR(SUMIFS('caseload data'!L:L,'caseload data'!$C:$C,'custody %'!$T$29,'caseload data'!$D:$D,"TPO",'caseload data'!$B:$B,"custody")/SUMIFS('caseload data'!L:L,'caseload data'!$B:$B,"custody",'caseload data'!$C:$C,'custody %'!$T$29),"")</f>
        <v/>
      </c>
      <c r="AC33" s="167" t="str">
        <f>IFERROR(SUMIFS('caseload data'!M:M,'caseload data'!$C:$C,'custody %'!$T$29,'caseload data'!$D:$D,"TPO",'caseload data'!$B:$B,"custody")/SUMIFS('caseload data'!M:M,'caseload data'!$B:$B,"custody",'caseload data'!$C:$C,'custody %'!$T$29),"")</f>
        <v/>
      </c>
      <c r="AD33" s="167" t="str">
        <f>IFERROR(SUMIFS('caseload data'!N:N,'caseload data'!$C:$C,'custody %'!$T$29,'caseload data'!$D:$D,"TPO",'caseload data'!$B:$B,"custody")/SUMIFS('caseload data'!N:N,'caseload data'!$B:$B,"custody",'caseload data'!$C:$C,'custody %'!$T$29),"")</f>
        <v/>
      </c>
      <c r="AE33" s="167" t="str">
        <f>IFERROR(SUMIFS('caseload data'!O:O,'caseload data'!$C:$C,'custody %'!$T$29,'caseload data'!$D:$D,"TPO",'caseload data'!$B:$B,"custody")/SUMIFS('caseload data'!O:O,'caseload data'!$B:$B,"custody",'caseload data'!$C:$C,'custody %'!$T$29),"")</f>
        <v/>
      </c>
      <c r="AF33" s="167" t="str">
        <f>IFERROR(SUMIFS('caseload data'!P:P,'caseload data'!$C:$C,'custody %'!$T$29,'caseload data'!$D:$D,"TPO",'caseload data'!$B:$B,"custody")/SUMIFS('caseload data'!P:P,'caseload data'!$B:$B,"custody",'caseload data'!$C:$C,'custody %'!$T$29),"")</f>
        <v/>
      </c>
      <c r="AG33" s="167" t="str">
        <f>IFERROR(SUMIFS('caseload data'!Q:Q,'caseload data'!$C:$C,'custody %'!$T$29,'caseload data'!$D:$D,"TPO",'caseload data'!$B:$B,"custody")/SUMIFS('caseload data'!Q:Q,'caseload data'!$B:$B,"custody",'caseload data'!$C:$C,'custody %'!$T$29),"")</f>
        <v/>
      </c>
      <c r="AH33" s="167" t="str">
        <f>IFERROR(SUMIFS('caseload data'!R:R,'caseload data'!$C:$C,'custody %'!$T$29,'caseload data'!$D:$D,"TPO",'caseload data'!$B:$B,"custody")/SUMIFS('caseload data'!R:R,'caseload data'!$B:$B,"custody",'caseload data'!$C:$C,'custody %'!$T$29),"")</f>
        <v/>
      </c>
      <c r="AI33" s="167"/>
      <c r="AJ33" s="167"/>
    </row>
    <row r="34" spans="2:36" x14ac:dyDescent="0.15">
      <c r="B34" s="98" t="s">
        <v>1009</v>
      </c>
      <c r="C34" s="167" t="str">
        <f>IFERROR(SUMIFS('caseload data'!E:E,'caseload data'!$C:$C,'custody %'!$B$29,'caseload data'!$D:$D,"SPO",'caseload data'!$B:$B,"custody")/SUMIFS('caseload data'!E:E,'caseload data'!$B:$B,"custody",'caseload data'!$C:$C,'custody %'!$B$29),"")</f>
        <v/>
      </c>
      <c r="D34" s="167" t="str">
        <f>IFERROR(SUMIFS('caseload data'!F:F,'caseload data'!$C:$C,'custody %'!$B$29,'caseload data'!$D:$D,"SPO",'caseload data'!$B:$B,"custody")/SUMIFS('caseload data'!F:F,'caseload data'!$B:$B,"custody",'caseload data'!$C:$C,'custody %'!$B$29),"")</f>
        <v/>
      </c>
      <c r="E34" s="167" t="str">
        <f>IFERROR(SUMIFS('caseload data'!G:G,'caseload data'!$C:$C,'custody %'!$B$29,'caseload data'!$D:$D,"SPO",'caseload data'!$B:$B,"custody")/SUMIFS('caseload data'!G:G,'caseload data'!$B:$B,"custody",'caseload data'!$C:$C,'custody %'!$B$29),"")</f>
        <v/>
      </c>
      <c r="F34" s="167" t="str">
        <f>IFERROR(SUMIFS('caseload data'!H:H,'caseload data'!$C:$C,'custody %'!$B$29,'caseload data'!$D:$D,"SPO",'caseload data'!$B:$B,"custody")/SUMIFS('caseload data'!H:H,'caseload data'!$B:$B,"custody",'caseload data'!$C:$C,'custody %'!$B$29),"")</f>
        <v/>
      </c>
      <c r="G34" s="167" t="str">
        <f>IFERROR(SUMIFS('caseload data'!I:I,'caseload data'!$C:$C,'custody %'!$B$29,'caseload data'!$D:$D,"SPO",'caseload data'!$B:$B,"custody")/SUMIFS('caseload data'!I:I,'caseload data'!$B:$B,"custody",'caseload data'!$C:$C,'custody %'!$B$29),"")</f>
        <v/>
      </c>
      <c r="H34" s="167" t="str">
        <f>IFERROR(SUMIFS('caseload data'!J:J,'caseload data'!$C:$C,'custody %'!$B$29,'caseload data'!$D:$D,"SPO",'caseload data'!$B:$B,"custody")/SUMIFS('caseload data'!J:J,'caseload data'!$B:$B,"custody",'caseload data'!$C:$C,'custody %'!$B$29),"")</f>
        <v/>
      </c>
      <c r="I34" s="167" t="str">
        <f>IFERROR(SUMIFS('caseload data'!K:K,'caseload data'!$C:$C,'custody %'!$B$29,'caseload data'!$D:$D,"SPO",'caseload data'!$B:$B,"custody")/SUMIFS('caseload data'!K:K,'caseload data'!$B:$B,"custody",'caseload data'!$C:$C,'custody %'!$B$29),"")</f>
        <v/>
      </c>
      <c r="J34" s="167" t="str">
        <f>IFERROR(SUMIFS('caseload data'!L:L,'caseload data'!$C:$C,'custody %'!$B$29,'caseload data'!$D:$D,"SPO",'caseload data'!$B:$B,"custody")/SUMIFS('caseload data'!L:L,'caseload data'!$B:$B,"custody",'caseload data'!$C:$C,'custody %'!$B$29),"")</f>
        <v/>
      </c>
      <c r="K34" s="167" t="str">
        <f>IFERROR(SUMIFS('caseload data'!M:M,'caseload data'!$C:$C,'custody %'!$B$29,'caseload data'!$D:$D,"SPO",'caseload data'!$B:$B,"custody")/SUMIFS('caseload data'!M:M,'caseload data'!$B:$B,"custody",'caseload data'!$C:$C,'custody %'!$B$29),"")</f>
        <v/>
      </c>
      <c r="L34" s="167" t="str">
        <f>IFERROR(SUMIFS('caseload data'!N:N,'caseload data'!$C:$C,'custody %'!$B$29,'caseload data'!$D:$D,"SPO",'caseload data'!$B:$B,"custody")/SUMIFS('caseload data'!N:N,'caseload data'!$B:$B,"custody",'caseload data'!$C:$C,'custody %'!$B$29),"")</f>
        <v/>
      </c>
      <c r="M34" s="167" t="str">
        <f>IFERROR(SUMIFS('caseload data'!O:O,'caseload data'!$C:$C,'custody %'!$B$29,'caseload data'!$D:$D,"SPO",'caseload data'!$B:$B,"custody")/SUMIFS('caseload data'!O:O,'caseload data'!$B:$B,"custody",'caseload data'!$C:$C,'custody %'!$B$29),"")</f>
        <v/>
      </c>
      <c r="N34" s="167" t="str">
        <f>IFERROR(SUMIFS('caseload data'!P:P,'caseload data'!$C:$C,'custody %'!$B$29,'caseload data'!$D:$D,"SPO",'caseload data'!$B:$B,"custody")/SUMIFS('caseload data'!P:P,'caseload data'!$B:$B,"custody",'caseload data'!$C:$C,'custody %'!$B$29),"")</f>
        <v/>
      </c>
      <c r="O34" s="167" t="str">
        <f>IFERROR(SUMIFS('caseload data'!Q:Q,'caseload data'!$C:$C,'custody %'!$B$29,'caseload data'!$D:$D,"SPO",'caseload data'!$B:$B,"custody")/SUMIFS('caseload data'!Q:Q,'caseload data'!$B:$B,"custody",'caseload data'!$C:$C,'custody %'!$B$29),"")</f>
        <v/>
      </c>
      <c r="P34" s="167" t="str">
        <f>IFERROR(SUMIFS('caseload data'!R:R,'caseload data'!$C:$C,'custody %'!$B$29,'caseload data'!$D:$D,"SPO",'caseload data'!$B:$B,"custody")/SUMIFS('caseload data'!R:R,'caseload data'!$B:$B,"custody",'caseload data'!$C:$C,'custody %'!$B$29),"")</f>
        <v/>
      </c>
      <c r="Q34" s="167" t="str">
        <f>IFERROR(SUMIFS('caseload data'!S:S,'caseload data'!$C:$C,'custody %'!$B$29,'caseload data'!$D:$D,"SPO",'caseload data'!$B:$B,"custody")/SUMIFS('caseload data'!S:S,'caseload data'!$B:$B,"custody",'caseload data'!$C:$C,'custody %'!$B$29),"")</f>
        <v/>
      </c>
      <c r="R34" s="167" t="str">
        <f>IFERROR(SUMIFS('caseload data'!T:T,'caseload data'!$C:$C,'custody %'!$B$29,'caseload data'!$D:$D,"SPO",'caseload data'!$B:$B,"custody")/SUMIFS('caseload data'!T:T,'caseload data'!$B:$B,"custody",'caseload data'!$C:$C,'custody %'!$B$29),"")</f>
        <v/>
      </c>
      <c r="S34" s="64"/>
      <c r="T34" s="98" t="s">
        <v>1009</v>
      </c>
      <c r="U34" s="167" t="str">
        <f>IFERROR(SUMIFS('caseload data'!E:E,'caseload data'!$C:$C,'custody %'!$T$29,'caseload data'!$D:$D,"SPO",'caseload data'!$B:$B,"custody")/SUMIFS('caseload data'!E:E,'caseload data'!$B:$B,"custody",'caseload data'!$C:$C,'custody %'!$T$29),"")</f>
        <v/>
      </c>
      <c r="V34" s="167" t="str">
        <f>IFERROR(SUMIFS('caseload data'!F:F,'caseload data'!$C:$C,'custody %'!$T$29,'caseload data'!$D:$D,"SPO",'caseload data'!$B:$B,"custody")/SUMIFS('caseload data'!F:F,'caseload data'!$B:$B,"custody",'caseload data'!$C:$C,'custody %'!$T$29),"")</f>
        <v/>
      </c>
      <c r="W34" s="167" t="str">
        <f>IFERROR(SUMIFS('caseload data'!G:G,'caseload data'!$C:$C,'custody %'!$T$29,'caseload data'!$D:$D,"SPO",'caseload data'!$B:$B,"custody")/SUMIFS('caseload data'!G:G,'caseload data'!$B:$B,"custody",'caseload data'!$C:$C,'custody %'!$T$29),"")</f>
        <v/>
      </c>
      <c r="X34" s="167" t="str">
        <f>IFERROR(SUMIFS('caseload data'!H:H,'caseload data'!$C:$C,'custody %'!$T$29,'caseload data'!$D:$D,"SPO",'caseload data'!$B:$B,"custody")/SUMIFS('caseload data'!H:H,'caseload data'!$B:$B,"custody",'caseload data'!$C:$C,'custody %'!$T$29),"")</f>
        <v/>
      </c>
      <c r="Y34" s="167" t="str">
        <f>IFERROR(SUMIFS('caseload data'!I:I,'caseload data'!$C:$C,'custody %'!$T$29,'caseload data'!$D:$D,"SPO",'caseload data'!$B:$B,"custody")/SUMIFS('caseload data'!I:I,'caseload data'!$B:$B,"custody",'caseload data'!$C:$C,'custody %'!$T$29),"")</f>
        <v/>
      </c>
      <c r="Z34" s="167" t="str">
        <f>IFERROR(SUMIFS('caseload data'!J:J,'caseload data'!$C:$C,'custody %'!$T$29,'caseload data'!$D:$D,"SPO",'caseload data'!$B:$B,"custody")/SUMIFS('caseload data'!J:J,'caseload data'!$B:$B,"custody",'caseload data'!$C:$C,'custody %'!$T$29),"")</f>
        <v/>
      </c>
      <c r="AA34" s="167" t="str">
        <f>IFERROR(SUMIFS('caseload data'!K:K,'caseload data'!$C:$C,'custody %'!$T$29,'caseload data'!$D:$D,"SPO",'caseload data'!$B:$B,"custody")/SUMIFS('caseload data'!K:K,'caseload data'!$B:$B,"custody",'caseload data'!$C:$C,'custody %'!$T$29),"")</f>
        <v/>
      </c>
      <c r="AB34" s="167" t="str">
        <f>IFERROR(SUMIFS('caseload data'!L:L,'caseload data'!$C:$C,'custody %'!$T$29,'caseload data'!$D:$D,"SPO",'caseload data'!$B:$B,"custody")/SUMIFS('caseload data'!L:L,'caseload data'!$B:$B,"custody",'caseload data'!$C:$C,'custody %'!$T$29),"")</f>
        <v/>
      </c>
      <c r="AC34" s="167" t="str">
        <f>IFERROR(SUMIFS('caseload data'!M:M,'caseload data'!$C:$C,'custody %'!$T$29,'caseload data'!$D:$D,"SPO",'caseload data'!$B:$B,"custody")/SUMIFS('caseload data'!M:M,'caseload data'!$B:$B,"custody",'caseload data'!$C:$C,'custody %'!$T$29),"")</f>
        <v/>
      </c>
      <c r="AD34" s="167" t="str">
        <f>IFERROR(SUMIFS('caseload data'!N:N,'caseload data'!$C:$C,'custody %'!$T$29,'caseload data'!$D:$D,"SPO",'caseload data'!$B:$B,"custody")/SUMIFS('caseload data'!N:N,'caseload data'!$B:$B,"custody",'caseload data'!$C:$C,'custody %'!$T$29),"")</f>
        <v/>
      </c>
      <c r="AE34" s="167" t="str">
        <f>IFERROR(SUMIFS('caseload data'!O:O,'caseload data'!$C:$C,'custody %'!$T$29,'caseload data'!$D:$D,"SPO",'caseload data'!$B:$B,"custody")/SUMIFS('caseload data'!O:O,'caseload data'!$B:$B,"custody",'caseload data'!$C:$C,'custody %'!$T$29),"")</f>
        <v/>
      </c>
      <c r="AF34" s="167" t="str">
        <f>IFERROR(SUMIFS('caseload data'!P:P,'caseload data'!$C:$C,'custody %'!$T$29,'caseload data'!$D:$D,"SPO",'caseload data'!$B:$B,"custody")/SUMIFS('caseload data'!P:P,'caseload data'!$B:$B,"custody",'caseload data'!$C:$C,'custody %'!$T$29),"")</f>
        <v/>
      </c>
      <c r="AG34" s="167" t="str">
        <f>IFERROR(SUMIFS('caseload data'!Q:Q,'caseload data'!$C:$C,'custody %'!$T$29,'caseload data'!$D:$D,"SPO",'caseload data'!$B:$B,"custody")/SUMIFS('caseload data'!Q:Q,'caseload data'!$B:$B,"custody",'caseload data'!$C:$C,'custody %'!$T$29),"")</f>
        <v/>
      </c>
      <c r="AH34" s="167" t="str">
        <f>IFERROR(SUMIFS('caseload data'!R:R,'caseload data'!$C:$C,'custody %'!$T$29,'caseload data'!$D:$D,"SPO",'caseload data'!$B:$B,"custody")/SUMIFS('caseload data'!R:R,'caseload data'!$B:$B,"custody",'caseload data'!$C:$C,'custody %'!$T$29),"")</f>
        <v/>
      </c>
      <c r="AI34" s="167"/>
      <c r="AJ34" s="167"/>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row>
    <row r="36" spans="2:36" ht="27.75" customHeight="1" x14ac:dyDescent="0.15">
      <c r="B36" s="289">
        <f>HLOOKUP($B$5,Region_Table,10,0)</f>
        <v>0</v>
      </c>
      <c r="C36" s="515" t="s">
        <v>1131</v>
      </c>
      <c r="D36" s="516"/>
      <c r="E36" s="516"/>
      <c r="F36" s="516"/>
      <c r="G36" s="516"/>
      <c r="H36" s="516"/>
      <c r="I36" s="516"/>
      <c r="J36" s="516"/>
      <c r="K36" s="516"/>
      <c r="L36" s="516"/>
      <c r="M36" s="535"/>
      <c r="N36" s="535"/>
      <c r="O36" s="536"/>
      <c r="P36" s="510">
        <f>SUMIF('caseload data'!$C:$C,'custody %'!B36,'caseload data'!V:V)</f>
        <v>0</v>
      </c>
      <c r="Q36" s="527"/>
      <c r="R36" s="528"/>
      <c r="S36" s="64"/>
      <c r="T36" s="289">
        <f>HLOOKUP($B$5,Region_Table,11,0)</f>
        <v>0</v>
      </c>
      <c r="U36" s="515" t="s">
        <v>1131</v>
      </c>
      <c r="V36" s="516"/>
      <c r="W36" s="516"/>
      <c r="X36" s="516"/>
      <c r="Y36" s="516"/>
      <c r="Z36" s="516"/>
      <c r="AA36" s="516"/>
      <c r="AB36" s="516"/>
      <c r="AC36" s="535"/>
      <c r="AD36" s="535"/>
      <c r="AE36" s="536"/>
      <c r="AF36" s="510">
        <f>SUMIF('caseload data'!$C:$C,'custody %'!T36,'caseload data'!V:V)</f>
        <v>0</v>
      </c>
      <c r="AG36" s="527"/>
      <c r="AH36" s="528"/>
    </row>
    <row r="37" spans="2:36" x14ac:dyDescent="0.15">
      <c r="B37" s="95" t="s">
        <v>1005</v>
      </c>
      <c r="C37" s="38" t="s">
        <v>869</v>
      </c>
      <c r="D37" s="38" t="s">
        <v>870</v>
      </c>
      <c r="E37" s="38" t="s">
        <v>871</v>
      </c>
      <c r="F37" s="38" t="s">
        <v>872</v>
      </c>
      <c r="G37" s="38" t="s">
        <v>873</v>
      </c>
      <c r="H37" s="38" t="s">
        <v>874</v>
      </c>
      <c r="I37" s="38" t="s">
        <v>875</v>
      </c>
      <c r="J37" s="38" t="s">
        <v>876</v>
      </c>
      <c r="K37" s="38" t="s">
        <v>877</v>
      </c>
      <c r="L37" s="38" t="s">
        <v>878</v>
      </c>
      <c r="M37" s="38" t="s">
        <v>879</v>
      </c>
      <c r="N37" s="38" t="s">
        <v>880</v>
      </c>
      <c r="O37" s="38" t="s">
        <v>881</v>
      </c>
      <c r="P37" s="38" t="s">
        <v>882</v>
      </c>
      <c r="Q37" s="38" t="s">
        <v>883</v>
      </c>
      <c r="R37" s="38" t="s">
        <v>884</v>
      </c>
      <c r="S37" s="64"/>
      <c r="T37" s="95" t="s">
        <v>1005</v>
      </c>
      <c r="U37" s="38" t="s">
        <v>869</v>
      </c>
      <c r="V37" s="38" t="s">
        <v>870</v>
      </c>
      <c r="W37" s="38" t="s">
        <v>871</v>
      </c>
      <c r="X37" s="38" t="s">
        <v>872</v>
      </c>
      <c r="Y37" s="38" t="s">
        <v>873</v>
      </c>
      <c r="Z37" s="38" t="s">
        <v>874</v>
      </c>
      <c r="AA37" s="38" t="s">
        <v>875</v>
      </c>
      <c r="AB37" s="38" t="s">
        <v>876</v>
      </c>
      <c r="AC37" s="38" t="s">
        <v>877</v>
      </c>
      <c r="AD37" s="38" t="s">
        <v>878</v>
      </c>
      <c r="AE37" s="38" t="s">
        <v>879</v>
      </c>
      <c r="AF37" s="38" t="s">
        <v>880</v>
      </c>
      <c r="AG37" s="38" t="s">
        <v>881</v>
      </c>
      <c r="AH37" s="38" t="s">
        <v>882</v>
      </c>
      <c r="AI37" s="38" t="s">
        <v>883</v>
      </c>
      <c r="AJ37" s="38" t="s">
        <v>884</v>
      </c>
    </row>
    <row r="38" spans="2:36" x14ac:dyDescent="0.15">
      <c r="B38" s="96" t="s">
        <v>1002</v>
      </c>
      <c r="C38" s="167" t="str">
        <f>IFERROR(SUMIFS('caseload data'!E:E,'caseload data'!$C:$C,'custody %'!$B$36,'caseload data'!$D:$D,"PO",'caseload data'!$B:$B,"custody")/SUMIFS('caseload data'!E:E,'caseload data'!$B:$B,"custody",'caseload data'!$C:$C,'custody %'!$B$36),"")</f>
        <v/>
      </c>
      <c r="D38" s="167" t="str">
        <f>IFERROR(SUMIFS('caseload data'!F:F,'caseload data'!$C:$C,'custody %'!$B$36,'caseload data'!$D:$D,"PO",'caseload data'!$B:$B,"custody")/SUMIFS('caseload data'!F:F,'caseload data'!$B:$B,"custody",'caseload data'!$C:$C,'custody %'!$B$36),"")</f>
        <v/>
      </c>
      <c r="E38" s="167" t="str">
        <f>IFERROR(SUMIFS('caseload data'!G:G,'caseload data'!$C:$C,'custody %'!$B$36,'caseload data'!$D:$D,"PO",'caseload data'!$B:$B,"custody")/SUMIFS('caseload data'!G:G,'caseload data'!$B:$B,"custody",'caseload data'!$C:$C,'custody %'!$B$36),"")</f>
        <v/>
      </c>
      <c r="F38" s="167" t="str">
        <f>IFERROR(SUMIFS('caseload data'!H:H,'caseload data'!$C:$C,'custody %'!$B$36,'caseload data'!$D:$D,"PO",'caseload data'!$B:$B,"custody")/SUMIFS('caseload data'!H:H,'caseload data'!$B:$B,"custody",'caseload data'!$C:$C,'custody %'!$B$36),"")</f>
        <v/>
      </c>
      <c r="G38" s="167" t="str">
        <f>IFERROR(SUMIFS('caseload data'!I:I,'caseload data'!$C:$C,'custody %'!$B$36,'caseload data'!$D:$D,"PO",'caseload data'!$B:$B,"custody")/SUMIFS('caseload data'!I:I,'caseload data'!$B:$B,"custody",'caseload data'!$C:$C,'custody %'!$B$36),"")</f>
        <v/>
      </c>
      <c r="H38" s="167" t="str">
        <f>IFERROR(SUMIFS('caseload data'!J:J,'caseload data'!$C:$C,'custody %'!$B$36,'caseload data'!$D:$D,"PO",'caseload data'!$B:$B,"custody")/SUMIFS('caseload data'!J:J,'caseload data'!$B:$B,"custody",'caseload data'!$C:$C,'custody %'!$B$36),"")</f>
        <v/>
      </c>
      <c r="I38" s="167" t="str">
        <f>IFERROR(SUMIFS('caseload data'!K:K,'caseload data'!$C:$C,'custody %'!$B$36,'caseload data'!$D:$D,"PO",'caseload data'!$B:$B,"custody")/SUMIFS('caseload data'!K:K,'caseload data'!$B:$B,"custody",'caseload data'!$C:$C,'custody %'!$B$36),"")</f>
        <v/>
      </c>
      <c r="J38" s="167" t="str">
        <f>IFERROR(SUMIFS('caseload data'!L:L,'caseload data'!$C:$C,'custody %'!$B$36,'caseload data'!$D:$D,"PO",'caseload data'!$B:$B,"custody")/SUMIFS('caseload data'!L:L,'caseload data'!$B:$B,"custody",'caseload data'!$C:$C,'custody %'!$B$36),"")</f>
        <v/>
      </c>
      <c r="K38" s="167" t="str">
        <f>IFERROR(SUMIFS('caseload data'!M:M,'caseload data'!$C:$C,'custody %'!$B$36,'caseload data'!$D:$D,"PO",'caseload data'!$B:$B,"custody")/SUMIFS('caseload data'!M:M,'caseload data'!$B:$B,"custody",'caseload data'!$C:$C,'custody %'!$B$36),"")</f>
        <v/>
      </c>
      <c r="L38" s="167" t="str">
        <f>IFERROR(SUMIFS('caseload data'!N:N,'caseload data'!$C:$C,'custody %'!$B$36,'caseload data'!$D:$D,"PO",'caseload data'!$B:$B,"custody")/SUMIFS('caseload data'!N:N,'caseload data'!$B:$B,"custody",'caseload data'!$C:$C,'custody %'!$B$36),"")</f>
        <v/>
      </c>
      <c r="M38" s="167" t="str">
        <f>IFERROR(SUMIFS('caseload data'!O:O,'caseload data'!$C:$C,'custody %'!$B$36,'caseload data'!$D:$D,"PO",'caseload data'!$B:$B,"custody")/SUMIFS('caseload data'!O:O,'caseload data'!$B:$B,"custody",'caseload data'!$C:$C,'custody %'!$B$36),"")</f>
        <v/>
      </c>
      <c r="N38" s="167" t="str">
        <f>IFERROR(SUMIFS('caseload data'!P:P,'caseload data'!$C:$C,'custody %'!$B$36,'caseload data'!$D:$D,"PO",'caseload data'!$B:$B,"custody")/SUMIFS('caseload data'!P:P,'caseload data'!$B:$B,"custody",'caseload data'!$C:$C,'custody %'!$B$36),"")</f>
        <v/>
      </c>
      <c r="O38" s="167" t="str">
        <f>IFERROR(SUMIFS('caseload data'!Q:Q,'caseload data'!$C:$C,'custody %'!$B$36,'caseload data'!$D:$D,"PO",'caseload data'!$B:$B,"custody")/SUMIFS('caseload data'!Q:Q,'caseload data'!$B:$B,"custody",'caseload data'!$C:$C,'custody %'!$B$36),"")</f>
        <v/>
      </c>
      <c r="P38" s="167" t="str">
        <f>IFERROR(SUMIFS('caseload data'!R:R,'caseload data'!$C:$C,'custody %'!$B$36,'caseload data'!$D:$D,"PO",'caseload data'!$B:$B,"custody")/SUMIFS('caseload data'!R:R,'caseload data'!$B:$B,"custody",'caseload data'!$C:$C,'custody %'!$B$36),"")</f>
        <v/>
      </c>
      <c r="Q38" s="167" t="str">
        <f>IFERROR(SUMIFS('caseload data'!S:S,'caseload data'!$C:$C,'custody %'!$B$36,'caseload data'!$D:$D,"PO",'caseload data'!$B:$B,"custody")/SUMIFS('caseload data'!S:S,'caseload data'!$B:$B,"custody",'caseload data'!$C:$C,'custody %'!$B$36),"")</f>
        <v/>
      </c>
      <c r="R38" s="167" t="str">
        <f>IFERROR(SUMIFS('caseload data'!T:T,'caseload data'!$C:$C,'custody %'!$B$36,'caseload data'!$D:$D,"PO",'caseload data'!$B:$B,"custody")/SUMIFS('caseload data'!T:T,'caseload data'!$B:$B,"custody",'caseload data'!$C:$C,'custody %'!$B$36),"")</f>
        <v/>
      </c>
      <c r="S38" s="64"/>
      <c r="T38" s="96" t="s">
        <v>1002</v>
      </c>
      <c r="U38" s="167" t="str">
        <f>IFERROR(SUMIFS('caseload data'!E:E,'caseload data'!$C:$C,'custody %'!$T$36,'caseload data'!$D:$D,"PO",'caseload data'!$B:$B,"custody")/SUMIFS('caseload data'!E:E,'caseload data'!$B:$B,"custody",'caseload data'!$C:$C,'custody %'!$T$36),"")</f>
        <v/>
      </c>
      <c r="V38" s="167" t="str">
        <f>IFERROR(SUMIFS('caseload data'!F:F,'caseload data'!$C:$C,'custody %'!$T$36,'caseload data'!$D:$D,"PO",'caseload data'!$B:$B,"custody")/SUMIFS('caseload data'!F:F,'caseload data'!$B:$B,"custody",'caseload data'!$C:$C,'custody %'!$T$36),"")</f>
        <v/>
      </c>
      <c r="W38" s="167" t="str">
        <f>IFERROR(SUMIFS('caseload data'!G:G,'caseload data'!$C:$C,'custody %'!$T$36,'caseload data'!$D:$D,"PO",'caseload data'!$B:$B,"custody")/SUMIFS('caseload data'!G:G,'caseload data'!$B:$B,"custody",'caseload data'!$C:$C,'custody %'!$T$36),"")</f>
        <v/>
      </c>
      <c r="X38" s="167" t="str">
        <f>IFERROR(SUMIFS('caseload data'!H:H,'caseload data'!$C:$C,'custody %'!$T$36,'caseload data'!$D:$D,"PO",'caseload data'!$B:$B,"custody")/SUMIFS('caseload data'!H:H,'caseload data'!$B:$B,"custody",'caseload data'!$C:$C,'custody %'!$T$36),"")</f>
        <v/>
      </c>
      <c r="Y38" s="167" t="str">
        <f>IFERROR(SUMIFS('caseload data'!I:I,'caseload data'!$C:$C,'custody %'!$T$36,'caseload data'!$D:$D,"PO",'caseload data'!$B:$B,"custody")/SUMIFS('caseload data'!I:I,'caseload data'!$B:$B,"custody",'caseload data'!$C:$C,'custody %'!$T$36),"")</f>
        <v/>
      </c>
      <c r="Z38" s="167" t="str">
        <f>IFERROR(SUMIFS('caseload data'!J:J,'caseload data'!$C:$C,'custody %'!$T$36,'caseload data'!$D:$D,"PO",'caseload data'!$B:$B,"custody")/SUMIFS('caseload data'!J:J,'caseload data'!$B:$B,"custody",'caseload data'!$C:$C,'custody %'!$T$36),"")</f>
        <v/>
      </c>
      <c r="AA38" s="167" t="str">
        <f>IFERROR(SUMIFS('caseload data'!K:K,'caseload data'!$C:$C,'custody %'!$T$36,'caseload data'!$D:$D,"PO",'caseload data'!$B:$B,"custody")/SUMIFS('caseload data'!K:K,'caseload data'!$B:$B,"custody",'caseload data'!$C:$C,'custody %'!$T$36),"")</f>
        <v/>
      </c>
      <c r="AB38" s="167" t="str">
        <f>IFERROR(SUMIFS('caseload data'!L:L,'caseload data'!$C:$C,'custody %'!$T$36,'caseload data'!$D:$D,"PO",'caseload data'!$B:$B,"custody")/SUMIFS('caseload data'!L:L,'caseload data'!$B:$B,"custody",'caseload data'!$C:$C,'custody %'!$T$36),"")</f>
        <v/>
      </c>
      <c r="AC38" s="167" t="str">
        <f>IFERROR(SUMIFS('caseload data'!M:M,'caseload data'!$C:$C,'custody %'!$T$36,'caseload data'!$D:$D,"PO",'caseload data'!$B:$B,"custody")/SUMIFS('caseload data'!M:M,'caseload data'!$B:$B,"custody",'caseload data'!$C:$C,'custody %'!$T$36),"")</f>
        <v/>
      </c>
      <c r="AD38" s="167" t="str">
        <f>IFERROR(SUMIFS('caseload data'!N:N,'caseload data'!$C:$C,'custody %'!$T$36,'caseload data'!$D:$D,"PO",'caseload data'!$B:$B,"custody")/SUMIFS('caseload data'!N:N,'caseload data'!$B:$B,"custody",'caseload data'!$C:$C,'custody %'!$T$36),"")</f>
        <v/>
      </c>
      <c r="AE38" s="167" t="str">
        <f>IFERROR(SUMIFS('caseload data'!O:O,'caseload data'!$C:$C,'custody %'!$T$36,'caseload data'!$D:$D,"PO",'caseload data'!$B:$B,"custody")/SUMIFS('caseload data'!O:O,'caseload data'!$B:$B,"custody",'caseload data'!$C:$C,'custody %'!$T$36),"")</f>
        <v/>
      </c>
      <c r="AF38" s="167" t="str">
        <f>IFERROR(SUMIFS('caseload data'!P:P,'caseload data'!$C:$C,'custody %'!$T$36,'caseload data'!$D:$D,"PO",'caseload data'!$B:$B,"custody")/SUMIFS('caseload data'!P:P,'caseload data'!$B:$B,"custody",'caseload data'!$C:$C,'custody %'!$T$36),"")</f>
        <v/>
      </c>
      <c r="AG38" s="167" t="str">
        <f>IFERROR(SUMIFS('caseload data'!Q:Q,'caseload data'!$C:$C,'custody %'!$T$36,'caseload data'!$D:$D,"PO",'caseload data'!$B:$B,"custody")/SUMIFS('caseload data'!Q:Q,'caseload data'!$B:$B,"custody",'caseload data'!$C:$C,'custody %'!$T$36),"")</f>
        <v/>
      </c>
      <c r="AH38" s="167" t="str">
        <f>IFERROR(SUMIFS('caseload data'!R:R,'caseload data'!$C:$C,'custody %'!$T$36,'caseload data'!$D:$D,"PO",'caseload data'!$B:$B,"custody")/SUMIFS('caseload data'!R:R,'caseload data'!$B:$B,"custody",'caseload data'!$C:$C,'custody %'!$T$36),"")</f>
        <v/>
      </c>
      <c r="AI38" s="167"/>
      <c r="AJ38" s="167"/>
    </row>
    <row r="39" spans="2:36" x14ac:dyDescent="0.15">
      <c r="B39" s="97" t="s">
        <v>1007</v>
      </c>
      <c r="C39" s="167" t="str">
        <f>IFERROR(SUMIFS('caseload data'!E:E,'caseload data'!$C:$C,'custody %'!$B$36,'caseload data'!$D:$D,"PSO",'caseload data'!$B:$B,"custody")/SUMIFS('caseload data'!E:E,'caseload data'!$B:$B,"custody",'caseload data'!$C:$C,'custody %'!$B$36),"")</f>
        <v/>
      </c>
      <c r="D39" s="167" t="str">
        <f>IFERROR(SUMIFS('caseload data'!F:F,'caseload data'!$C:$C,'custody %'!$B$36,'caseload data'!$D:$D,"PSO",'caseload data'!$B:$B,"custody")/SUMIFS('caseload data'!F:F,'caseload data'!$B:$B,"custody",'caseload data'!$C:$C,'custody %'!$B$36),"")</f>
        <v/>
      </c>
      <c r="E39" s="167" t="str">
        <f>IFERROR(SUMIFS('caseload data'!G:G,'caseload data'!$C:$C,'custody %'!$B$36,'caseload data'!$D:$D,"PSO",'caseload data'!$B:$B,"custody")/SUMIFS('caseload data'!G:G,'caseload data'!$B:$B,"custody",'caseload data'!$C:$C,'custody %'!$B$36),"")</f>
        <v/>
      </c>
      <c r="F39" s="167" t="str">
        <f>IFERROR(SUMIFS('caseload data'!H:H,'caseload data'!$C:$C,'custody %'!$B$36,'caseload data'!$D:$D,"PSO",'caseload data'!$B:$B,"custody")/SUMIFS('caseload data'!H:H,'caseload data'!$B:$B,"custody",'caseload data'!$C:$C,'custody %'!$B$36),"")</f>
        <v/>
      </c>
      <c r="G39" s="167" t="str">
        <f>IFERROR(SUMIFS('caseload data'!I:I,'caseload data'!$C:$C,'custody %'!$B$36,'caseload data'!$D:$D,"PSO",'caseload data'!$B:$B,"custody")/SUMIFS('caseload data'!I:I,'caseload data'!$B:$B,"custody",'caseload data'!$C:$C,'custody %'!$B$36),"")</f>
        <v/>
      </c>
      <c r="H39" s="167" t="str">
        <f>IFERROR(SUMIFS('caseload data'!J:J,'caseload data'!$C:$C,'custody %'!$B$36,'caseload data'!$D:$D,"PSO",'caseload data'!$B:$B,"custody")/SUMIFS('caseload data'!J:J,'caseload data'!$B:$B,"custody",'caseload data'!$C:$C,'custody %'!$B$36),"")</f>
        <v/>
      </c>
      <c r="I39" s="167" t="str">
        <f>IFERROR(SUMIFS('caseload data'!K:K,'caseload data'!$C:$C,'custody %'!$B$36,'caseload data'!$D:$D,"PSO",'caseload data'!$B:$B,"custody")/SUMIFS('caseload data'!K:K,'caseload data'!$B:$B,"custody",'caseload data'!$C:$C,'custody %'!$B$36),"")</f>
        <v/>
      </c>
      <c r="J39" s="167" t="str">
        <f>IFERROR(SUMIFS('caseload data'!L:L,'caseload data'!$C:$C,'custody %'!$B$36,'caseload data'!$D:$D,"PSO",'caseload data'!$B:$B,"custody")/SUMIFS('caseload data'!L:L,'caseload data'!$B:$B,"custody",'caseload data'!$C:$C,'custody %'!$B$36),"")</f>
        <v/>
      </c>
      <c r="K39" s="167" t="str">
        <f>IFERROR(SUMIFS('caseload data'!M:M,'caseload data'!$C:$C,'custody %'!$B$36,'caseload data'!$D:$D,"PSO",'caseload data'!$B:$B,"custody")/SUMIFS('caseload data'!M:M,'caseload data'!$B:$B,"custody",'caseload data'!$C:$C,'custody %'!$B$36),"")</f>
        <v/>
      </c>
      <c r="L39" s="167" t="str">
        <f>IFERROR(SUMIFS('caseload data'!N:N,'caseload data'!$C:$C,'custody %'!$B$36,'caseload data'!$D:$D,"PSO",'caseload data'!$B:$B,"custody")/SUMIFS('caseload data'!N:N,'caseload data'!$B:$B,"custody",'caseload data'!$C:$C,'custody %'!$B$36),"")</f>
        <v/>
      </c>
      <c r="M39" s="167" t="str">
        <f>IFERROR(SUMIFS('caseload data'!O:O,'caseload data'!$C:$C,'custody %'!$B$36,'caseload data'!$D:$D,"PSO",'caseload data'!$B:$B,"custody")/SUMIFS('caseload data'!O:O,'caseload data'!$B:$B,"custody",'caseload data'!$C:$C,'custody %'!$B$36),"")</f>
        <v/>
      </c>
      <c r="N39" s="167" t="str">
        <f>IFERROR(SUMIFS('caseload data'!P:P,'caseload data'!$C:$C,'custody %'!$B$36,'caseload data'!$D:$D,"PSO",'caseload data'!$B:$B,"custody")/SUMIFS('caseload data'!P:P,'caseload data'!$B:$B,"custody",'caseload data'!$C:$C,'custody %'!$B$36),"")</f>
        <v/>
      </c>
      <c r="O39" s="167" t="str">
        <f>IFERROR(SUMIFS('caseload data'!Q:Q,'caseload data'!$C:$C,'custody %'!$B$36,'caseload data'!$D:$D,"PSO",'caseload data'!$B:$B,"custody")/SUMIFS('caseload data'!Q:Q,'caseload data'!$B:$B,"custody",'caseload data'!$C:$C,'custody %'!$B$36),"")</f>
        <v/>
      </c>
      <c r="P39" s="167" t="str">
        <f>IFERROR(SUMIFS('caseload data'!R:R,'caseload data'!$C:$C,'custody %'!$B$36,'caseload data'!$D:$D,"PSO",'caseload data'!$B:$B,"custody")/SUMIFS('caseload data'!R:R,'caseload data'!$B:$B,"custody",'caseload data'!$C:$C,'custody %'!$B$36),"")</f>
        <v/>
      </c>
      <c r="Q39" s="167" t="str">
        <f>IFERROR(SUMIFS('caseload data'!S:S,'caseload data'!$C:$C,'custody %'!$B$36,'caseload data'!$D:$D,"PSO",'caseload data'!$B:$B,"custody")/SUMIFS('caseload data'!S:S,'caseload data'!$B:$B,"custody",'caseload data'!$C:$C,'custody %'!$B$36),"")</f>
        <v/>
      </c>
      <c r="R39" s="167" t="str">
        <f>IFERROR(SUMIFS('caseload data'!T:T,'caseload data'!$C:$C,'custody %'!$B$36,'caseload data'!$D:$D,"PSO",'caseload data'!$B:$B,"custody")/SUMIFS('caseload data'!T:T,'caseload data'!$B:$B,"custody",'caseload data'!$C:$C,'custody %'!$B$36),"")</f>
        <v/>
      </c>
      <c r="S39" s="64"/>
      <c r="T39" s="97" t="s">
        <v>1007</v>
      </c>
      <c r="U39" s="167" t="str">
        <f>IFERROR(SUMIFS('caseload data'!E:E,'caseload data'!$C:$C,'custody %'!$T$36,'caseload data'!$D:$D,"PSO",'caseload data'!$B:$B,"custody")/SUMIFS('caseload data'!E:E,'caseload data'!$B:$B,"custody",'caseload data'!$C:$C,'custody %'!$T$36),"")</f>
        <v/>
      </c>
      <c r="V39" s="167" t="str">
        <f>IFERROR(SUMIFS('caseload data'!F:F,'caseload data'!$C:$C,'custody %'!$T$36,'caseload data'!$D:$D,"PSO",'caseload data'!$B:$B,"custody")/SUMIFS('caseload data'!F:F,'caseload data'!$B:$B,"custody",'caseload data'!$C:$C,'custody %'!$T$36),"")</f>
        <v/>
      </c>
      <c r="W39" s="167" t="str">
        <f>IFERROR(SUMIFS('caseload data'!G:G,'caseload data'!$C:$C,'custody %'!$T$36,'caseload data'!$D:$D,"PSO",'caseload data'!$B:$B,"custody")/SUMIFS('caseload data'!G:G,'caseload data'!$B:$B,"custody",'caseload data'!$C:$C,'custody %'!$T$36),"")</f>
        <v/>
      </c>
      <c r="X39" s="167" t="str">
        <f>IFERROR(SUMIFS('caseload data'!H:H,'caseload data'!$C:$C,'custody %'!$T$36,'caseload data'!$D:$D,"PSO",'caseload data'!$B:$B,"custody")/SUMIFS('caseload data'!H:H,'caseload data'!$B:$B,"custody",'caseload data'!$C:$C,'custody %'!$T$36),"")</f>
        <v/>
      </c>
      <c r="Y39" s="167" t="str">
        <f>IFERROR(SUMIFS('caseload data'!I:I,'caseload data'!$C:$C,'custody %'!$T$36,'caseload data'!$D:$D,"PSO",'caseload data'!$B:$B,"custody")/SUMIFS('caseload data'!I:I,'caseload data'!$B:$B,"custody",'caseload data'!$C:$C,'custody %'!$T$36),"")</f>
        <v/>
      </c>
      <c r="Z39" s="167" t="str">
        <f>IFERROR(SUMIFS('caseload data'!J:J,'caseload data'!$C:$C,'custody %'!$T$36,'caseload data'!$D:$D,"PSO",'caseload data'!$B:$B,"custody")/SUMIFS('caseload data'!J:J,'caseload data'!$B:$B,"custody",'caseload data'!$C:$C,'custody %'!$T$36),"")</f>
        <v/>
      </c>
      <c r="AA39" s="167" t="str">
        <f>IFERROR(SUMIFS('caseload data'!K:K,'caseload data'!$C:$C,'custody %'!$T$36,'caseload data'!$D:$D,"PSO",'caseload data'!$B:$B,"custody")/SUMIFS('caseload data'!K:K,'caseload data'!$B:$B,"custody",'caseload data'!$C:$C,'custody %'!$T$36),"")</f>
        <v/>
      </c>
      <c r="AB39" s="167" t="str">
        <f>IFERROR(SUMIFS('caseload data'!L:L,'caseload data'!$C:$C,'custody %'!$T$36,'caseload data'!$D:$D,"PSO",'caseload data'!$B:$B,"custody")/SUMIFS('caseload data'!L:L,'caseload data'!$B:$B,"custody",'caseload data'!$C:$C,'custody %'!$T$36),"")</f>
        <v/>
      </c>
      <c r="AC39" s="167" t="str">
        <f>IFERROR(SUMIFS('caseload data'!M:M,'caseload data'!$C:$C,'custody %'!$T$36,'caseload data'!$D:$D,"PSO",'caseload data'!$B:$B,"custody")/SUMIFS('caseload data'!M:M,'caseload data'!$B:$B,"custody",'caseload data'!$C:$C,'custody %'!$T$36),"")</f>
        <v/>
      </c>
      <c r="AD39" s="167" t="str">
        <f>IFERROR(SUMIFS('caseload data'!N:N,'caseload data'!$C:$C,'custody %'!$T$36,'caseload data'!$D:$D,"PSO",'caseload data'!$B:$B,"custody")/SUMIFS('caseload data'!N:N,'caseload data'!$B:$B,"custody",'caseload data'!$C:$C,'custody %'!$T$36),"")</f>
        <v/>
      </c>
      <c r="AE39" s="167" t="str">
        <f>IFERROR(SUMIFS('caseload data'!O:O,'caseload data'!$C:$C,'custody %'!$T$36,'caseload data'!$D:$D,"PSO",'caseload data'!$B:$B,"custody")/SUMIFS('caseload data'!O:O,'caseload data'!$B:$B,"custody",'caseload data'!$C:$C,'custody %'!$T$36),"")</f>
        <v/>
      </c>
      <c r="AF39" s="167" t="str">
        <f>IFERROR(SUMIFS('caseload data'!P:P,'caseload data'!$C:$C,'custody %'!$T$36,'caseload data'!$D:$D,"PSO",'caseload data'!$B:$B,"custody")/SUMIFS('caseload data'!P:P,'caseload data'!$B:$B,"custody",'caseload data'!$C:$C,'custody %'!$T$36),"")</f>
        <v/>
      </c>
      <c r="AG39" s="167" t="str">
        <f>IFERROR(SUMIFS('caseload data'!Q:Q,'caseload data'!$C:$C,'custody %'!$T$36,'caseload data'!$D:$D,"PSO",'caseload data'!$B:$B,"custody")/SUMIFS('caseload data'!Q:Q,'caseload data'!$B:$B,"custody",'caseload data'!$C:$C,'custody %'!$T$36),"")</f>
        <v/>
      </c>
      <c r="AH39" s="167" t="str">
        <f>IFERROR(SUMIFS('caseload data'!R:R,'caseload data'!$C:$C,'custody %'!$T$36,'caseload data'!$D:$D,"PSO",'caseload data'!$B:$B,"custody")/SUMIFS('caseload data'!R:R,'caseload data'!$B:$B,"custody",'caseload data'!$C:$C,'custody %'!$T$36),"")</f>
        <v/>
      </c>
      <c r="AI39" s="167"/>
      <c r="AJ39" s="167"/>
    </row>
    <row r="40" spans="2:36" x14ac:dyDescent="0.15">
      <c r="B40" s="97" t="s">
        <v>1008</v>
      </c>
      <c r="C40" s="167" t="str">
        <f>IFERROR(SUMIFS('caseload data'!E:E,'caseload data'!$C:$C,'custody %'!$B$36,'caseload data'!$D:$D,"TPO",'caseload data'!$B:$B,"custody")/SUMIFS('caseload data'!E:E,'caseload data'!$B:$B,"custody",'caseload data'!$C:$C,'custody %'!$B$36),"")</f>
        <v/>
      </c>
      <c r="D40" s="167" t="str">
        <f>IFERROR(SUMIFS('caseload data'!F:F,'caseload data'!$C:$C,'custody %'!$B$36,'caseload data'!$D:$D,"TPO",'caseload data'!$B:$B,"custody")/SUMIFS('caseload data'!F:F,'caseload data'!$B:$B,"custody",'caseload data'!$C:$C,'custody %'!$B$36),"")</f>
        <v/>
      </c>
      <c r="E40" s="167" t="str">
        <f>IFERROR(SUMIFS('caseload data'!G:G,'caseload data'!$C:$C,'custody %'!$B$36,'caseload data'!$D:$D,"TPO",'caseload data'!$B:$B,"custody")/SUMIFS('caseload data'!G:G,'caseload data'!$B:$B,"custody",'caseload data'!$C:$C,'custody %'!$B$36),"")</f>
        <v/>
      </c>
      <c r="F40" s="167" t="str">
        <f>IFERROR(SUMIFS('caseload data'!H:H,'caseload data'!$C:$C,'custody %'!$B$36,'caseload data'!$D:$D,"TPO",'caseload data'!$B:$B,"custody")/SUMIFS('caseload data'!H:H,'caseload data'!$B:$B,"custody",'caseload data'!$C:$C,'custody %'!$B$36),"")</f>
        <v/>
      </c>
      <c r="G40" s="167" t="str">
        <f>IFERROR(SUMIFS('caseload data'!I:I,'caseload data'!$C:$C,'custody %'!$B$36,'caseload data'!$D:$D,"TPO",'caseload data'!$B:$B,"custody")/SUMIFS('caseload data'!I:I,'caseload data'!$B:$B,"custody",'caseload data'!$C:$C,'custody %'!$B$36),"")</f>
        <v/>
      </c>
      <c r="H40" s="167" t="str">
        <f>IFERROR(SUMIFS('caseload data'!J:J,'caseload data'!$C:$C,'custody %'!$B$36,'caseload data'!$D:$D,"TPO",'caseload data'!$B:$B,"custody")/SUMIFS('caseload data'!J:J,'caseload data'!$B:$B,"custody",'caseload data'!$C:$C,'custody %'!$B$36),"")</f>
        <v/>
      </c>
      <c r="I40" s="167" t="str">
        <f>IFERROR(SUMIFS('caseload data'!K:K,'caseload data'!$C:$C,'custody %'!$B$36,'caseload data'!$D:$D,"TPO",'caseload data'!$B:$B,"custody")/SUMIFS('caseload data'!K:K,'caseload data'!$B:$B,"custody",'caseload data'!$C:$C,'custody %'!$B$36),"")</f>
        <v/>
      </c>
      <c r="J40" s="167" t="str">
        <f>IFERROR(SUMIFS('caseload data'!L:L,'caseload data'!$C:$C,'custody %'!$B$36,'caseload data'!$D:$D,"TPO",'caseload data'!$B:$B,"custody")/SUMIFS('caseload data'!L:L,'caseload data'!$B:$B,"custody",'caseload data'!$C:$C,'custody %'!$B$36),"")</f>
        <v/>
      </c>
      <c r="K40" s="167" t="str">
        <f>IFERROR(SUMIFS('caseload data'!M:M,'caseload data'!$C:$C,'custody %'!$B$36,'caseload data'!$D:$D,"TPO",'caseload data'!$B:$B,"custody")/SUMIFS('caseload data'!M:M,'caseload data'!$B:$B,"custody",'caseload data'!$C:$C,'custody %'!$B$36),"")</f>
        <v/>
      </c>
      <c r="L40" s="167" t="str">
        <f>IFERROR(SUMIFS('caseload data'!N:N,'caseload data'!$C:$C,'custody %'!$B$36,'caseload data'!$D:$D,"TPO",'caseload data'!$B:$B,"custody")/SUMIFS('caseload data'!N:N,'caseload data'!$B:$B,"custody",'caseload data'!$C:$C,'custody %'!$B$36),"")</f>
        <v/>
      </c>
      <c r="M40" s="167" t="str">
        <f>IFERROR(SUMIFS('caseload data'!O:O,'caseload data'!$C:$C,'custody %'!$B$36,'caseload data'!$D:$D,"TPO",'caseload data'!$B:$B,"custody")/SUMIFS('caseload data'!O:O,'caseload data'!$B:$B,"custody",'caseload data'!$C:$C,'custody %'!$B$36),"")</f>
        <v/>
      </c>
      <c r="N40" s="167" t="str">
        <f>IFERROR(SUMIFS('caseload data'!P:P,'caseload data'!$C:$C,'custody %'!$B$36,'caseload data'!$D:$D,"TPO",'caseload data'!$B:$B,"custody")/SUMIFS('caseload data'!P:P,'caseload data'!$B:$B,"custody",'caseload data'!$C:$C,'custody %'!$B$36),"")</f>
        <v/>
      </c>
      <c r="O40" s="167" t="str">
        <f>IFERROR(SUMIFS('caseload data'!Q:Q,'caseload data'!$C:$C,'custody %'!$B$36,'caseload data'!$D:$D,"TPO",'caseload data'!$B:$B,"custody")/SUMIFS('caseload data'!Q:Q,'caseload data'!$B:$B,"custody",'caseload data'!$C:$C,'custody %'!$B$36),"")</f>
        <v/>
      </c>
      <c r="P40" s="167" t="str">
        <f>IFERROR(SUMIFS('caseload data'!R:R,'caseload data'!$C:$C,'custody %'!$B$36,'caseload data'!$D:$D,"TPO",'caseload data'!$B:$B,"custody")/SUMIFS('caseload data'!R:R,'caseload data'!$B:$B,"custody",'caseload data'!$C:$C,'custody %'!$B$36),"")</f>
        <v/>
      </c>
      <c r="Q40" s="167" t="str">
        <f>IFERROR(SUMIFS('caseload data'!S:S,'caseload data'!$C:$C,'custody %'!$B$36,'caseload data'!$D:$D,"TPO",'caseload data'!$B:$B,"custody")/SUMIFS('caseload data'!S:S,'caseload data'!$B:$B,"custody",'caseload data'!$C:$C,'custody %'!$B$36),"")</f>
        <v/>
      </c>
      <c r="R40" s="167" t="str">
        <f>IFERROR(SUMIFS('caseload data'!T:T,'caseload data'!$C:$C,'custody %'!$B$36,'caseload data'!$D:$D,"TPO",'caseload data'!$B:$B,"custody")/SUMIFS('caseload data'!T:T,'caseload data'!$B:$B,"custody",'caseload data'!$C:$C,'custody %'!$B$36),"")</f>
        <v/>
      </c>
      <c r="S40" s="64"/>
      <c r="T40" s="97" t="s">
        <v>1008</v>
      </c>
      <c r="U40" s="167" t="str">
        <f>IFERROR(SUMIFS('caseload data'!E:E,'caseload data'!$C:$C,'custody %'!$T$36,'caseload data'!$D:$D,"TPO",'caseload data'!$B:$B,"custody")/SUMIFS('caseload data'!E:E,'caseload data'!$B:$B,"custody",'caseload data'!$C:$C,'custody %'!$T$36),"")</f>
        <v/>
      </c>
      <c r="V40" s="167" t="str">
        <f>IFERROR(SUMIFS('caseload data'!F:F,'caseload data'!$C:$C,'custody %'!$T$36,'caseload data'!$D:$D,"TPO",'caseload data'!$B:$B,"custody")/SUMIFS('caseload data'!F:F,'caseload data'!$B:$B,"custody",'caseload data'!$C:$C,'custody %'!$T$36),"")</f>
        <v/>
      </c>
      <c r="W40" s="167" t="str">
        <f>IFERROR(SUMIFS('caseload data'!G:G,'caseload data'!$C:$C,'custody %'!$T$36,'caseload data'!$D:$D,"TPO",'caseload data'!$B:$B,"custody")/SUMIFS('caseload data'!G:G,'caseload data'!$B:$B,"custody",'caseload data'!$C:$C,'custody %'!$T$36),"")</f>
        <v/>
      </c>
      <c r="X40" s="167" t="str">
        <f>IFERROR(SUMIFS('caseload data'!H:H,'caseload data'!$C:$C,'custody %'!$T$36,'caseload data'!$D:$D,"TPO",'caseload data'!$B:$B,"custody")/SUMIFS('caseload data'!H:H,'caseload data'!$B:$B,"custody",'caseload data'!$C:$C,'custody %'!$T$36),"")</f>
        <v/>
      </c>
      <c r="Y40" s="167" t="str">
        <f>IFERROR(SUMIFS('caseload data'!I:I,'caseload data'!$C:$C,'custody %'!$T$36,'caseload data'!$D:$D,"TPO",'caseload data'!$B:$B,"custody")/SUMIFS('caseload data'!I:I,'caseload data'!$B:$B,"custody",'caseload data'!$C:$C,'custody %'!$T$36),"")</f>
        <v/>
      </c>
      <c r="Z40" s="167" t="str">
        <f>IFERROR(SUMIFS('caseload data'!J:J,'caseload data'!$C:$C,'custody %'!$T$36,'caseload data'!$D:$D,"TPO",'caseload data'!$B:$B,"custody")/SUMIFS('caseload data'!J:J,'caseload data'!$B:$B,"custody",'caseload data'!$C:$C,'custody %'!$T$36),"")</f>
        <v/>
      </c>
      <c r="AA40" s="167" t="str">
        <f>IFERROR(SUMIFS('caseload data'!K:K,'caseload data'!$C:$C,'custody %'!$T$36,'caseload data'!$D:$D,"TPO",'caseload data'!$B:$B,"custody")/SUMIFS('caseload data'!K:K,'caseload data'!$B:$B,"custody",'caseload data'!$C:$C,'custody %'!$T$36),"")</f>
        <v/>
      </c>
      <c r="AB40" s="167" t="str">
        <f>IFERROR(SUMIFS('caseload data'!L:L,'caseload data'!$C:$C,'custody %'!$T$36,'caseload data'!$D:$D,"TPO",'caseload data'!$B:$B,"custody")/SUMIFS('caseload data'!L:L,'caseload data'!$B:$B,"custody",'caseload data'!$C:$C,'custody %'!$T$36),"")</f>
        <v/>
      </c>
      <c r="AC40" s="167" t="str">
        <f>IFERROR(SUMIFS('caseload data'!M:M,'caseload data'!$C:$C,'custody %'!$T$36,'caseload data'!$D:$D,"TPO",'caseload data'!$B:$B,"custody")/SUMIFS('caseload data'!M:M,'caseload data'!$B:$B,"custody",'caseload data'!$C:$C,'custody %'!$T$36),"")</f>
        <v/>
      </c>
      <c r="AD40" s="167" t="str">
        <f>IFERROR(SUMIFS('caseload data'!N:N,'caseload data'!$C:$C,'custody %'!$T$36,'caseload data'!$D:$D,"TPO",'caseload data'!$B:$B,"custody")/SUMIFS('caseload data'!N:N,'caseload data'!$B:$B,"custody",'caseload data'!$C:$C,'custody %'!$T$36),"")</f>
        <v/>
      </c>
      <c r="AE40" s="167" t="str">
        <f>IFERROR(SUMIFS('caseload data'!O:O,'caseload data'!$C:$C,'custody %'!$T$36,'caseload data'!$D:$D,"TPO",'caseload data'!$B:$B,"custody")/SUMIFS('caseload data'!O:O,'caseload data'!$B:$B,"custody",'caseload data'!$C:$C,'custody %'!$T$36),"")</f>
        <v/>
      </c>
      <c r="AF40" s="167" t="str">
        <f>IFERROR(SUMIFS('caseload data'!P:P,'caseload data'!$C:$C,'custody %'!$T$36,'caseload data'!$D:$D,"TPO",'caseload data'!$B:$B,"custody")/SUMIFS('caseload data'!P:P,'caseload data'!$B:$B,"custody",'caseload data'!$C:$C,'custody %'!$T$36),"")</f>
        <v/>
      </c>
      <c r="AG40" s="167" t="str">
        <f>IFERROR(SUMIFS('caseload data'!Q:Q,'caseload data'!$C:$C,'custody %'!$T$36,'caseload data'!$D:$D,"TPO",'caseload data'!$B:$B,"custody")/SUMIFS('caseload data'!Q:Q,'caseload data'!$B:$B,"custody",'caseload data'!$C:$C,'custody %'!$T$36),"")</f>
        <v/>
      </c>
      <c r="AH40" s="167" t="str">
        <f>IFERROR(SUMIFS('caseload data'!R:R,'caseload data'!$C:$C,'custody %'!$T$36,'caseload data'!$D:$D,"TPO",'caseload data'!$B:$B,"custody")/SUMIFS('caseload data'!R:R,'caseload data'!$B:$B,"custody",'caseload data'!$C:$C,'custody %'!$T$36),"")</f>
        <v/>
      </c>
      <c r="AI40" s="167"/>
      <c r="AJ40" s="167"/>
    </row>
    <row r="41" spans="2:36" x14ac:dyDescent="0.15">
      <c r="B41" s="98" t="s">
        <v>1009</v>
      </c>
      <c r="C41" s="167" t="str">
        <f>IFERROR(SUMIFS('caseload data'!E:E,'caseload data'!$C:$C,'custody %'!$B$36,'caseload data'!$D:$D,"SPO",'caseload data'!$B:$B,"custody")/SUMIFS('caseload data'!E:E,'caseload data'!$B:$B,"custody",'caseload data'!$C:$C,'custody %'!$B$36),"")</f>
        <v/>
      </c>
      <c r="D41" s="167" t="str">
        <f>IFERROR(SUMIFS('caseload data'!F:F,'caseload data'!$C:$C,'custody %'!$B$36,'caseload data'!$D:$D,"SPO",'caseload data'!$B:$B,"custody")/SUMIFS('caseload data'!F:F,'caseload data'!$B:$B,"custody",'caseload data'!$C:$C,'custody %'!$B$36),"")</f>
        <v/>
      </c>
      <c r="E41" s="167" t="str">
        <f>IFERROR(SUMIFS('caseload data'!G:G,'caseload data'!$C:$C,'custody %'!$B$36,'caseload data'!$D:$D,"SPO",'caseload data'!$B:$B,"custody")/SUMIFS('caseload data'!G:G,'caseload data'!$B:$B,"custody",'caseload data'!$C:$C,'custody %'!$B$36),"")</f>
        <v/>
      </c>
      <c r="F41" s="167" t="str">
        <f>IFERROR(SUMIFS('caseload data'!H:H,'caseload data'!$C:$C,'custody %'!$B$36,'caseload data'!$D:$D,"SPO",'caseload data'!$B:$B,"custody")/SUMIFS('caseload data'!H:H,'caseload data'!$B:$B,"custody",'caseload data'!$C:$C,'custody %'!$B$36),"")</f>
        <v/>
      </c>
      <c r="G41" s="167" t="str">
        <f>IFERROR(SUMIFS('caseload data'!I:I,'caseload data'!$C:$C,'custody %'!$B$36,'caseload data'!$D:$D,"SPO",'caseload data'!$B:$B,"custody")/SUMIFS('caseload data'!I:I,'caseload data'!$B:$B,"custody",'caseload data'!$C:$C,'custody %'!$B$36),"")</f>
        <v/>
      </c>
      <c r="H41" s="167" t="str">
        <f>IFERROR(SUMIFS('caseload data'!J:J,'caseload data'!$C:$C,'custody %'!$B$36,'caseload data'!$D:$D,"SPO",'caseload data'!$B:$B,"custody")/SUMIFS('caseload data'!J:J,'caseload data'!$B:$B,"custody",'caseload data'!$C:$C,'custody %'!$B$36),"")</f>
        <v/>
      </c>
      <c r="I41" s="167" t="str">
        <f>IFERROR(SUMIFS('caseload data'!K:K,'caseload data'!$C:$C,'custody %'!$B$36,'caseload data'!$D:$D,"SPO",'caseload data'!$B:$B,"custody")/SUMIFS('caseload data'!K:K,'caseload data'!$B:$B,"custody",'caseload data'!$C:$C,'custody %'!$B$36),"")</f>
        <v/>
      </c>
      <c r="J41" s="167" t="str">
        <f>IFERROR(SUMIFS('caseload data'!L:L,'caseload data'!$C:$C,'custody %'!$B$36,'caseload data'!$D:$D,"SPO",'caseload data'!$B:$B,"custody")/SUMIFS('caseload data'!L:L,'caseload data'!$B:$B,"custody",'caseload data'!$C:$C,'custody %'!$B$36),"")</f>
        <v/>
      </c>
      <c r="K41" s="167" t="str">
        <f>IFERROR(SUMIFS('caseload data'!M:M,'caseload data'!$C:$C,'custody %'!$B$36,'caseload data'!$D:$D,"SPO",'caseload data'!$B:$B,"custody")/SUMIFS('caseload data'!M:M,'caseload data'!$B:$B,"custody",'caseload data'!$C:$C,'custody %'!$B$36),"")</f>
        <v/>
      </c>
      <c r="L41" s="167" t="str">
        <f>IFERROR(SUMIFS('caseload data'!N:N,'caseload data'!$C:$C,'custody %'!$B$36,'caseload data'!$D:$D,"SPO",'caseload data'!$B:$B,"custody")/SUMIFS('caseload data'!N:N,'caseload data'!$B:$B,"custody",'caseload data'!$C:$C,'custody %'!$B$36),"")</f>
        <v/>
      </c>
      <c r="M41" s="167" t="str">
        <f>IFERROR(SUMIFS('caseload data'!O:O,'caseload data'!$C:$C,'custody %'!$B$36,'caseload data'!$D:$D,"SPO",'caseload data'!$B:$B,"custody")/SUMIFS('caseload data'!O:O,'caseload data'!$B:$B,"custody",'caseload data'!$C:$C,'custody %'!$B$36),"")</f>
        <v/>
      </c>
      <c r="N41" s="167" t="str">
        <f>IFERROR(SUMIFS('caseload data'!P:P,'caseload data'!$C:$C,'custody %'!$B$36,'caseload data'!$D:$D,"SPO",'caseload data'!$B:$B,"custody")/SUMIFS('caseload data'!P:P,'caseload data'!$B:$B,"custody",'caseload data'!$C:$C,'custody %'!$B$36),"")</f>
        <v/>
      </c>
      <c r="O41" s="167" t="str">
        <f>IFERROR(SUMIFS('caseload data'!Q:Q,'caseload data'!$C:$C,'custody %'!$B$36,'caseload data'!$D:$D,"SPO",'caseload data'!$B:$B,"custody")/SUMIFS('caseload data'!Q:Q,'caseload data'!$B:$B,"custody",'caseload data'!$C:$C,'custody %'!$B$36),"")</f>
        <v/>
      </c>
      <c r="P41" s="167" t="str">
        <f>IFERROR(SUMIFS('caseload data'!R:R,'caseload data'!$C:$C,'custody %'!$B$36,'caseload data'!$D:$D,"SPO",'caseload data'!$B:$B,"custody")/SUMIFS('caseload data'!R:R,'caseload data'!$B:$B,"custody",'caseload data'!$C:$C,'custody %'!$B$36),"")</f>
        <v/>
      </c>
      <c r="Q41" s="167" t="str">
        <f>IFERROR(SUMIFS('caseload data'!S:S,'caseload data'!$C:$C,'custody %'!$B$36,'caseload data'!$D:$D,"SPO",'caseload data'!$B:$B,"custody")/SUMIFS('caseload data'!S:S,'caseload data'!$B:$B,"custody",'caseload data'!$C:$C,'custody %'!$B$36),"")</f>
        <v/>
      </c>
      <c r="R41" s="167" t="str">
        <f>IFERROR(SUMIFS('caseload data'!T:T,'caseload data'!$C:$C,'custody %'!$B$36,'caseload data'!$D:$D,"SPO",'caseload data'!$B:$B,"custody")/SUMIFS('caseload data'!T:T,'caseload data'!$B:$B,"custody",'caseload data'!$C:$C,'custody %'!$B$36),"")</f>
        <v/>
      </c>
      <c r="S41" s="64"/>
      <c r="T41" s="98" t="s">
        <v>1009</v>
      </c>
      <c r="U41" s="167" t="str">
        <f>IFERROR(SUMIFS('caseload data'!E:E,'caseload data'!$C:$C,'custody %'!$T$36,'caseload data'!$D:$D,"SPO",'caseload data'!$B:$B,"custody")/SUMIFS('caseload data'!E:E,'caseload data'!$B:$B,"custody",'caseload data'!$C:$C,'custody %'!$T$36),"")</f>
        <v/>
      </c>
      <c r="V41" s="167" t="str">
        <f>IFERROR(SUMIFS('caseload data'!F:F,'caseload data'!$C:$C,'custody %'!$T$36,'caseload data'!$D:$D,"SPO",'caseload data'!$B:$B,"custody")/SUMIFS('caseload data'!F:F,'caseload data'!$B:$B,"custody",'caseload data'!$C:$C,'custody %'!$T$36),"")</f>
        <v/>
      </c>
      <c r="W41" s="167" t="str">
        <f>IFERROR(SUMIFS('caseload data'!G:G,'caseload data'!$C:$C,'custody %'!$T$36,'caseload data'!$D:$D,"SPO",'caseload data'!$B:$B,"custody")/SUMIFS('caseload data'!G:G,'caseload data'!$B:$B,"custody",'caseload data'!$C:$C,'custody %'!$T$36),"")</f>
        <v/>
      </c>
      <c r="X41" s="167" t="str">
        <f>IFERROR(SUMIFS('caseload data'!H:H,'caseload data'!$C:$C,'custody %'!$T$36,'caseload data'!$D:$D,"SPO",'caseload data'!$B:$B,"custody")/SUMIFS('caseload data'!H:H,'caseload data'!$B:$B,"custody",'caseload data'!$C:$C,'custody %'!$T$36),"")</f>
        <v/>
      </c>
      <c r="Y41" s="167" t="str">
        <f>IFERROR(SUMIFS('caseload data'!I:I,'caseload data'!$C:$C,'custody %'!$T$36,'caseload data'!$D:$D,"SPO",'caseload data'!$B:$B,"custody")/SUMIFS('caseload data'!I:I,'caseload data'!$B:$B,"custody",'caseload data'!$C:$C,'custody %'!$T$36),"")</f>
        <v/>
      </c>
      <c r="Z41" s="167" t="str">
        <f>IFERROR(SUMIFS('caseload data'!J:J,'caseload data'!$C:$C,'custody %'!$T$36,'caseload data'!$D:$D,"SPO",'caseload data'!$B:$B,"custody")/SUMIFS('caseload data'!J:J,'caseload data'!$B:$B,"custody",'caseload data'!$C:$C,'custody %'!$T$36),"")</f>
        <v/>
      </c>
      <c r="AA41" s="167" t="str">
        <f>IFERROR(SUMIFS('caseload data'!K:K,'caseload data'!$C:$C,'custody %'!$T$36,'caseload data'!$D:$D,"SPO",'caseload data'!$B:$B,"custody")/SUMIFS('caseload data'!K:K,'caseload data'!$B:$B,"custody",'caseload data'!$C:$C,'custody %'!$T$36),"")</f>
        <v/>
      </c>
      <c r="AB41" s="167" t="str">
        <f>IFERROR(SUMIFS('caseload data'!L:L,'caseload data'!$C:$C,'custody %'!$T$36,'caseload data'!$D:$D,"SPO",'caseload data'!$B:$B,"custody")/SUMIFS('caseload data'!L:L,'caseload data'!$B:$B,"custody",'caseload data'!$C:$C,'custody %'!$T$36),"")</f>
        <v/>
      </c>
      <c r="AC41" s="167" t="str">
        <f>IFERROR(SUMIFS('caseload data'!M:M,'caseload data'!$C:$C,'custody %'!$T$36,'caseload data'!$D:$D,"SPO",'caseload data'!$B:$B,"custody")/SUMIFS('caseload data'!M:M,'caseload data'!$B:$B,"custody",'caseload data'!$C:$C,'custody %'!$T$36),"")</f>
        <v/>
      </c>
      <c r="AD41" s="167" t="str">
        <f>IFERROR(SUMIFS('caseload data'!N:N,'caseload data'!$C:$C,'custody %'!$T$36,'caseload data'!$D:$D,"SPO",'caseload data'!$B:$B,"custody")/SUMIFS('caseload data'!N:N,'caseload data'!$B:$B,"custody",'caseload data'!$C:$C,'custody %'!$T$36),"")</f>
        <v/>
      </c>
      <c r="AE41" s="167" t="str">
        <f>IFERROR(SUMIFS('caseload data'!O:O,'caseload data'!$C:$C,'custody %'!$T$36,'caseload data'!$D:$D,"SPO",'caseload data'!$B:$B,"custody")/SUMIFS('caseload data'!O:O,'caseload data'!$B:$B,"custody",'caseload data'!$C:$C,'custody %'!$T$36),"")</f>
        <v/>
      </c>
      <c r="AF41" s="167" t="str">
        <f>IFERROR(SUMIFS('caseload data'!P:P,'caseload data'!$C:$C,'custody %'!$T$36,'caseload data'!$D:$D,"SPO",'caseload data'!$B:$B,"custody")/SUMIFS('caseload data'!P:P,'caseload data'!$B:$B,"custody",'caseload data'!$C:$C,'custody %'!$T$36),"")</f>
        <v/>
      </c>
      <c r="AG41" s="167" t="str">
        <f>IFERROR(SUMIFS('caseload data'!Q:Q,'caseload data'!$C:$C,'custody %'!$T$36,'caseload data'!$D:$D,"SPO",'caseload data'!$B:$B,"custody")/SUMIFS('caseload data'!Q:Q,'caseload data'!$B:$B,"custody",'caseload data'!$C:$C,'custody %'!$T$36),"")</f>
        <v/>
      </c>
      <c r="AH41" s="167" t="str">
        <f>IFERROR(SUMIFS('caseload data'!R:R,'caseload data'!$C:$C,'custody %'!$T$36,'caseload data'!$D:$D,"SPO",'caseload data'!$B:$B,"custody")/SUMIFS('caseload data'!R:R,'caseload data'!$B:$B,"custody",'caseload data'!$C:$C,'custody %'!$T$36),"")</f>
        <v/>
      </c>
      <c r="AI41" s="167"/>
      <c r="AJ41" s="167"/>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row>
    <row r="43" spans="2:36" ht="29.25" customHeight="1" x14ac:dyDescent="0.15">
      <c r="B43" s="289">
        <f>HLOOKUP($B$5,Region_Table,12,0)</f>
        <v>0</v>
      </c>
      <c r="C43" s="515" t="s">
        <v>1131</v>
      </c>
      <c r="D43" s="516"/>
      <c r="E43" s="516"/>
      <c r="F43" s="516"/>
      <c r="G43" s="516"/>
      <c r="H43" s="516"/>
      <c r="I43" s="516"/>
      <c r="J43" s="516"/>
      <c r="K43" s="516"/>
      <c r="L43" s="516"/>
      <c r="M43" s="535"/>
      <c r="N43" s="535"/>
      <c r="O43" s="536"/>
      <c r="P43" s="510">
        <f>SUMIF('caseload data'!$C:$C,'custody %'!B43,'caseload data'!V:V)</f>
        <v>0</v>
      </c>
      <c r="Q43" s="527"/>
      <c r="R43" s="528"/>
      <c r="S43" s="64"/>
      <c r="T43" s="289">
        <f>HLOOKUP($B$5,Region_Table,13,0)</f>
        <v>0</v>
      </c>
      <c r="U43" s="515" t="s">
        <v>1131</v>
      </c>
      <c r="V43" s="516"/>
      <c r="W43" s="516"/>
      <c r="X43" s="516"/>
      <c r="Y43" s="516"/>
      <c r="Z43" s="516"/>
      <c r="AA43" s="516"/>
      <c r="AB43" s="516"/>
      <c r="AC43" s="535"/>
      <c r="AD43" s="535"/>
      <c r="AE43" s="536"/>
      <c r="AF43" s="510">
        <f>SUMIF('caseload data'!$C:$C,'custody %'!T43,'caseload data'!V:V)</f>
        <v>0</v>
      </c>
      <c r="AG43" s="527"/>
      <c r="AH43" s="528"/>
    </row>
    <row r="44" spans="2:36" x14ac:dyDescent="0.15">
      <c r="B44" s="95" t="s">
        <v>1005</v>
      </c>
      <c r="C44" s="38" t="s">
        <v>869</v>
      </c>
      <c r="D44" s="38" t="s">
        <v>870</v>
      </c>
      <c r="E44" s="38" t="s">
        <v>871</v>
      </c>
      <c r="F44" s="38" t="s">
        <v>872</v>
      </c>
      <c r="G44" s="38" t="s">
        <v>873</v>
      </c>
      <c r="H44" s="38" t="s">
        <v>874</v>
      </c>
      <c r="I44" s="38" t="s">
        <v>875</v>
      </c>
      <c r="J44" s="38" t="s">
        <v>876</v>
      </c>
      <c r="K44" s="38" t="s">
        <v>877</v>
      </c>
      <c r="L44" s="38" t="s">
        <v>878</v>
      </c>
      <c r="M44" s="38" t="s">
        <v>879</v>
      </c>
      <c r="N44" s="38" t="s">
        <v>880</v>
      </c>
      <c r="O44" s="38" t="s">
        <v>881</v>
      </c>
      <c r="P44" s="38" t="s">
        <v>882</v>
      </c>
      <c r="Q44" s="38" t="s">
        <v>883</v>
      </c>
      <c r="R44" s="38" t="s">
        <v>884</v>
      </c>
      <c r="S44" s="64"/>
      <c r="T44" s="95" t="s">
        <v>1005</v>
      </c>
      <c r="U44" s="38" t="s">
        <v>869</v>
      </c>
      <c r="V44" s="38" t="s">
        <v>870</v>
      </c>
      <c r="W44" s="38" t="s">
        <v>871</v>
      </c>
      <c r="X44" s="38" t="s">
        <v>872</v>
      </c>
      <c r="Y44" s="38" t="s">
        <v>873</v>
      </c>
      <c r="Z44" s="38" t="s">
        <v>874</v>
      </c>
      <c r="AA44" s="38" t="s">
        <v>875</v>
      </c>
      <c r="AB44" s="38" t="s">
        <v>876</v>
      </c>
      <c r="AC44" s="38" t="s">
        <v>877</v>
      </c>
      <c r="AD44" s="38" t="s">
        <v>878</v>
      </c>
      <c r="AE44" s="38" t="s">
        <v>879</v>
      </c>
      <c r="AF44" s="38" t="s">
        <v>880</v>
      </c>
      <c r="AG44" s="38" t="s">
        <v>881</v>
      </c>
      <c r="AH44" s="38" t="s">
        <v>882</v>
      </c>
      <c r="AI44" s="38" t="s">
        <v>883</v>
      </c>
      <c r="AJ44" s="38" t="s">
        <v>884</v>
      </c>
    </row>
    <row r="45" spans="2:36" x14ac:dyDescent="0.15">
      <c r="B45" s="96" t="s">
        <v>1002</v>
      </c>
      <c r="C45" s="167" t="str">
        <f>IFERROR(SUMIFS('caseload data'!E:E,'caseload data'!$C:$C,'custody %'!$B$43,'caseload data'!$D:$D,"PO",'caseload data'!$B:$B,"custody")/SUMIFS('caseload data'!E:E,'caseload data'!$B:$B,"custody",'caseload data'!$C:$C,'custody %'!$B$43),"")</f>
        <v/>
      </c>
      <c r="D45" s="167" t="str">
        <f>IFERROR(SUMIFS('caseload data'!F:F,'caseload data'!$C:$C,'custody %'!$B$43,'caseload data'!$D:$D,"PO",'caseload data'!$B:$B,"custody")/SUMIFS('caseload data'!F:F,'caseload data'!$B:$B,"custody",'caseload data'!$C:$C,'custody %'!$B$43),"")</f>
        <v/>
      </c>
      <c r="E45" s="167" t="str">
        <f>IFERROR(SUMIFS('caseload data'!G:G,'caseload data'!$C:$C,'custody %'!$B$43,'caseload data'!$D:$D,"PO",'caseload data'!$B:$B,"custody")/SUMIFS('caseload data'!G:G,'caseload data'!$B:$B,"custody",'caseload data'!$C:$C,'custody %'!$B$43),"")</f>
        <v/>
      </c>
      <c r="F45" s="167" t="str">
        <f>IFERROR(SUMIFS('caseload data'!H:H,'caseload data'!$C:$C,'custody %'!$B$43,'caseload data'!$D:$D,"PO",'caseload data'!$B:$B,"custody")/SUMIFS('caseload data'!H:H,'caseload data'!$B:$B,"custody",'caseload data'!$C:$C,'custody %'!$B$43),"")</f>
        <v/>
      </c>
      <c r="G45" s="167" t="str">
        <f>IFERROR(SUMIFS('caseload data'!I:I,'caseload data'!$C:$C,'custody %'!$B$43,'caseload data'!$D:$D,"PO",'caseload data'!$B:$B,"custody")/SUMIFS('caseload data'!I:I,'caseload data'!$B:$B,"custody",'caseload data'!$C:$C,'custody %'!$B$43),"")</f>
        <v/>
      </c>
      <c r="H45" s="167" t="str">
        <f>IFERROR(SUMIFS('caseload data'!J:J,'caseload data'!$C:$C,'custody %'!$B$43,'caseload data'!$D:$D,"PO",'caseload data'!$B:$B,"custody")/SUMIFS('caseload data'!J:J,'caseload data'!$B:$B,"custody",'caseload data'!$C:$C,'custody %'!$B$43),"")</f>
        <v/>
      </c>
      <c r="I45" s="167" t="str">
        <f>IFERROR(SUMIFS('caseload data'!K:K,'caseload data'!$C:$C,'custody %'!$B$43,'caseload data'!$D:$D,"PO",'caseload data'!$B:$B,"custody")/SUMIFS('caseload data'!K:K,'caseload data'!$B:$B,"custody",'caseload data'!$C:$C,'custody %'!$B$43),"")</f>
        <v/>
      </c>
      <c r="J45" s="167" t="str">
        <f>IFERROR(SUMIFS('caseload data'!L:L,'caseload data'!$C:$C,'custody %'!$B$43,'caseload data'!$D:$D,"PO",'caseload data'!$B:$B,"custody")/SUMIFS('caseload data'!L:L,'caseload data'!$B:$B,"custody",'caseload data'!$C:$C,'custody %'!$B$43),"")</f>
        <v/>
      </c>
      <c r="K45" s="167" t="str">
        <f>IFERROR(SUMIFS('caseload data'!M:M,'caseload data'!$C:$C,'custody %'!$B$43,'caseload data'!$D:$D,"PO",'caseload data'!$B:$B,"custody")/SUMIFS('caseload data'!M:M,'caseload data'!$B:$B,"custody",'caseload data'!$C:$C,'custody %'!$B$43),"")</f>
        <v/>
      </c>
      <c r="L45" s="167" t="str">
        <f>IFERROR(SUMIFS('caseload data'!N:N,'caseload data'!$C:$C,'custody %'!$B$43,'caseload data'!$D:$D,"PO",'caseload data'!$B:$B,"custody")/SUMIFS('caseload data'!N:N,'caseload data'!$B:$B,"custody",'caseload data'!$C:$C,'custody %'!$B$43),"")</f>
        <v/>
      </c>
      <c r="M45" s="167" t="str">
        <f>IFERROR(SUMIFS('caseload data'!O:O,'caseload data'!$C:$C,'custody %'!$B$43,'caseload data'!$D:$D,"PO",'caseload data'!$B:$B,"custody")/SUMIFS('caseload data'!O:O,'caseload data'!$B:$B,"custody",'caseload data'!$C:$C,'custody %'!$B$43),"")</f>
        <v/>
      </c>
      <c r="N45" s="167" t="str">
        <f>IFERROR(SUMIFS('caseload data'!P:P,'caseload data'!$C:$C,'custody %'!$B$43,'caseload data'!$D:$D,"PO",'caseload data'!$B:$B,"custody")/SUMIFS('caseload data'!P:P,'caseload data'!$B:$B,"custody",'caseload data'!$C:$C,'custody %'!$B$43),"")</f>
        <v/>
      </c>
      <c r="O45" s="167" t="str">
        <f>IFERROR(SUMIFS('caseload data'!Q:Q,'caseload data'!$C:$C,'custody %'!$B$43,'caseload data'!$D:$D,"PO",'caseload data'!$B:$B,"custody")/SUMIFS('caseload data'!Q:Q,'caseload data'!$B:$B,"custody",'caseload data'!$C:$C,'custody %'!$B$43),"")</f>
        <v/>
      </c>
      <c r="P45" s="167" t="str">
        <f>IFERROR(SUMIFS('caseload data'!R:R,'caseload data'!$C:$C,'custody %'!$B$43,'caseload data'!$D:$D,"PO",'caseload data'!$B:$B,"custody")/SUMIFS('caseload data'!R:R,'caseload data'!$B:$B,"custody",'caseload data'!$C:$C,'custody %'!$B$43),"")</f>
        <v/>
      </c>
      <c r="Q45" s="167" t="str">
        <f>IFERROR(SUMIFS('caseload data'!S:S,'caseload data'!$C:$C,'custody %'!$B$43,'caseload data'!$D:$D,"PO",'caseload data'!$B:$B,"custody")/SUMIFS('caseload data'!S:S,'caseload data'!$B:$B,"custody",'caseload data'!$C:$C,'custody %'!$B$43),"")</f>
        <v/>
      </c>
      <c r="R45" s="167" t="str">
        <f>IFERROR(SUMIFS('caseload data'!T:T,'caseload data'!$C:$C,'custody %'!$B$43,'caseload data'!$D:$D,"PO",'caseload data'!$B:$B,"custody")/SUMIFS('caseload data'!T:T,'caseload data'!$B:$B,"custody",'caseload data'!$C:$C,'custody %'!$B$43),"")</f>
        <v/>
      </c>
      <c r="S45" s="64"/>
      <c r="T45" s="96" t="s">
        <v>1002</v>
      </c>
      <c r="U45" s="167" t="str">
        <f>IFERROR(SUMIFS('caseload data'!E:E,'caseload data'!$C:$C,'custody %'!$T$43,'caseload data'!$D:$D,"PO",'caseload data'!$B:$B,"custody")/SUMIFS('caseload data'!E:E,'caseload data'!$B:$B,"custody",'caseload data'!$C:$C,'custody %'!$T$43),"")</f>
        <v/>
      </c>
      <c r="V45" s="167" t="str">
        <f>IFERROR(SUMIFS('caseload data'!F:F,'caseload data'!$C:$C,'custody %'!$T$43,'caseload data'!$D:$D,"PO",'caseload data'!$B:$B,"custody")/SUMIFS('caseload data'!F:F,'caseload data'!$B:$B,"custody",'caseload data'!$C:$C,'custody %'!$T$43),"")</f>
        <v/>
      </c>
      <c r="W45" s="167" t="str">
        <f>IFERROR(SUMIFS('caseload data'!G:G,'caseload data'!$C:$C,'custody %'!$T$43,'caseload data'!$D:$D,"PO",'caseload data'!$B:$B,"custody")/SUMIFS('caseload data'!G:G,'caseload data'!$B:$B,"custody",'caseload data'!$C:$C,'custody %'!$T$43),"")</f>
        <v/>
      </c>
      <c r="X45" s="167" t="str">
        <f>IFERROR(SUMIFS('caseload data'!H:H,'caseload data'!$C:$C,'custody %'!$T$43,'caseload data'!$D:$D,"PO",'caseload data'!$B:$B,"custody")/SUMIFS('caseload data'!H:H,'caseload data'!$B:$B,"custody",'caseload data'!$C:$C,'custody %'!$T$43),"")</f>
        <v/>
      </c>
      <c r="Y45" s="167" t="str">
        <f>IFERROR(SUMIFS('caseload data'!I:I,'caseload data'!$C:$C,'custody %'!$T$43,'caseload data'!$D:$D,"PO",'caseload data'!$B:$B,"custody")/SUMIFS('caseload data'!I:I,'caseload data'!$B:$B,"custody",'caseload data'!$C:$C,'custody %'!$T$43),"")</f>
        <v/>
      </c>
      <c r="Z45" s="167" t="str">
        <f>IFERROR(SUMIFS('caseload data'!J:J,'caseload data'!$C:$C,'custody %'!$T$43,'caseload data'!$D:$D,"PO",'caseload data'!$B:$B,"custody")/SUMIFS('caseload data'!J:J,'caseload data'!$B:$B,"custody",'caseload data'!$C:$C,'custody %'!$T$43),"")</f>
        <v/>
      </c>
      <c r="AA45" s="167" t="str">
        <f>IFERROR(SUMIFS('caseload data'!K:K,'caseload data'!$C:$C,'custody %'!$T$43,'caseload data'!$D:$D,"PO",'caseload data'!$B:$B,"custody")/SUMIFS('caseload data'!K:K,'caseload data'!$B:$B,"custody",'caseload data'!$C:$C,'custody %'!$T$43),"")</f>
        <v/>
      </c>
      <c r="AB45" s="167" t="str">
        <f>IFERROR(SUMIFS('caseload data'!L:L,'caseload data'!$C:$C,'custody %'!$T$43,'caseload data'!$D:$D,"PO",'caseload data'!$B:$B,"custody")/SUMIFS('caseload data'!L:L,'caseload data'!$B:$B,"custody",'caseload data'!$C:$C,'custody %'!$T$43),"")</f>
        <v/>
      </c>
      <c r="AC45" s="167" t="str">
        <f>IFERROR(SUMIFS('caseload data'!M:M,'caseload data'!$C:$C,'custody %'!$T$43,'caseload data'!$D:$D,"PO",'caseload data'!$B:$B,"custody")/SUMIFS('caseload data'!M:M,'caseload data'!$B:$B,"custody",'caseload data'!$C:$C,'custody %'!$T$43),"")</f>
        <v/>
      </c>
      <c r="AD45" s="167" t="str">
        <f>IFERROR(SUMIFS('caseload data'!N:N,'caseload data'!$C:$C,'custody %'!$T$43,'caseload data'!$D:$D,"PO",'caseload data'!$B:$B,"custody")/SUMIFS('caseload data'!N:N,'caseload data'!$B:$B,"custody",'caseload data'!$C:$C,'custody %'!$T$43),"")</f>
        <v/>
      </c>
      <c r="AE45" s="167" t="str">
        <f>IFERROR(SUMIFS('caseload data'!O:O,'caseload data'!$C:$C,'custody %'!$T$43,'caseload data'!$D:$D,"PO",'caseload data'!$B:$B,"custody")/SUMIFS('caseload data'!O:O,'caseload data'!$B:$B,"custody",'caseload data'!$C:$C,'custody %'!$T$43),"")</f>
        <v/>
      </c>
      <c r="AF45" s="167" t="str">
        <f>IFERROR(SUMIFS('caseload data'!P:P,'caseload data'!$C:$C,'custody %'!$T$43,'caseload data'!$D:$D,"PO",'caseload data'!$B:$B,"custody")/SUMIFS('caseload data'!P:P,'caseload data'!$B:$B,"custody",'caseload data'!$C:$C,'custody %'!$T$43),"")</f>
        <v/>
      </c>
      <c r="AG45" s="167" t="str">
        <f>IFERROR(SUMIFS('caseload data'!Q:Q,'caseload data'!$C:$C,'custody %'!$T$43,'caseload data'!$D:$D,"PO",'caseload data'!$B:$B,"custody")/SUMIFS('caseload data'!Q:Q,'caseload data'!$B:$B,"custody",'caseload data'!$C:$C,'custody %'!$T$43),"")</f>
        <v/>
      </c>
      <c r="AH45" s="167" t="str">
        <f>IFERROR(SUMIFS('caseload data'!R:R,'caseload data'!$C:$C,'custody %'!$T$43,'caseload data'!$D:$D,"PO",'caseload data'!$B:$B,"custody")/SUMIFS('caseload data'!R:R,'caseload data'!$B:$B,"custody",'caseload data'!$C:$C,'custody %'!$T$43),"")</f>
        <v/>
      </c>
      <c r="AI45" s="167"/>
      <c r="AJ45" s="167"/>
    </row>
    <row r="46" spans="2:36" x14ac:dyDescent="0.15">
      <c r="B46" s="97" t="s">
        <v>1007</v>
      </c>
      <c r="C46" s="167" t="str">
        <f>IFERROR(SUMIFS('caseload data'!E:E,'caseload data'!$C:$C,'custody %'!$B$43,'caseload data'!$D:$D,"PSO",'caseload data'!$B:$B,"custody")/SUMIFS('caseload data'!E:E,'caseload data'!$B:$B,"custody",'caseload data'!$C:$C,'custody %'!$B$43),"")</f>
        <v/>
      </c>
      <c r="D46" s="167" t="str">
        <f>IFERROR(SUMIFS('caseload data'!F:F,'caseload data'!$C:$C,'custody %'!$B$43,'caseload data'!$D:$D,"PSO",'caseload data'!$B:$B,"custody")/SUMIFS('caseload data'!F:F,'caseload data'!$B:$B,"custody",'caseload data'!$C:$C,'custody %'!$B$43),"")</f>
        <v/>
      </c>
      <c r="E46" s="167" t="str">
        <f>IFERROR(SUMIFS('caseload data'!G:G,'caseload data'!$C:$C,'custody %'!$B$43,'caseload data'!$D:$D,"PSO",'caseload data'!$B:$B,"custody")/SUMIFS('caseload data'!G:G,'caseload data'!$B:$B,"custody",'caseload data'!$C:$C,'custody %'!$B$43),"")</f>
        <v/>
      </c>
      <c r="F46" s="167" t="str">
        <f>IFERROR(SUMIFS('caseload data'!H:H,'caseload data'!$C:$C,'custody %'!$B$43,'caseload data'!$D:$D,"PSO",'caseload data'!$B:$B,"custody")/SUMIFS('caseload data'!H:H,'caseload data'!$B:$B,"custody",'caseload data'!$C:$C,'custody %'!$B$43),"")</f>
        <v/>
      </c>
      <c r="G46" s="167" t="str">
        <f>IFERROR(SUMIFS('caseload data'!I:I,'caseload data'!$C:$C,'custody %'!$B$43,'caseload data'!$D:$D,"PSO",'caseload data'!$B:$B,"custody")/SUMIFS('caseload data'!I:I,'caseload data'!$B:$B,"custody",'caseload data'!$C:$C,'custody %'!$B$43),"")</f>
        <v/>
      </c>
      <c r="H46" s="167" t="str">
        <f>IFERROR(SUMIFS('caseload data'!J:J,'caseload data'!$C:$C,'custody %'!$B$43,'caseload data'!$D:$D,"PSO",'caseload data'!$B:$B,"custody")/SUMIFS('caseload data'!J:J,'caseload data'!$B:$B,"custody",'caseload data'!$C:$C,'custody %'!$B$43),"")</f>
        <v/>
      </c>
      <c r="I46" s="167" t="str">
        <f>IFERROR(SUMIFS('caseload data'!K:K,'caseload data'!$C:$C,'custody %'!$B$43,'caseload data'!$D:$D,"PSO",'caseload data'!$B:$B,"custody")/SUMIFS('caseload data'!K:K,'caseload data'!$B:$B,"custody",'caseload data'!$C:$C,'custody %'!$B$43),"")</f>
        <v/>
      </c>
      <c r="J46" s="167" t="str">
        <f>IFERROR(SUMIFS('caseload data'!L:L,'caseload data'!$C:$C,'custody %'!$B$43,'caseload data'!$D:$D,"PSO",'caseload data'!$B:$B,"custody")/SUMIFS('caseload data'!L:L,'caseload data'!$B:$B,"custody",'caseload data'!$C:$C,'custody %'!$B$43),"")</f>
        <v/>
      </c>
      <c r="K46" s="167" t="str">
        <f>IFERROR(SUMIFS('caseload data'!M:M,'caseload data'!$C:$C,'custody %'!$B$43,'caseload data'!$D:$D,"PSO",'caseload data'!$B:$B,"custody")/SUMIFS('caseload data'!M:M,'caseload data'!$B:$B,"custody",'caseload data'!$C:$C,'custody %'!$B$43),"")</f>
        <v/>
      </c>
      <c r="L46" s="167" t="str">
        <f>IFERROR(SUMIFS('caseload data'!N:N,'caseload data'!$C:$C,'custody %'!$B$43,'caseload data'!$D:$D,"PSO",'caseload data'!$B:$B,"custody")/SUMIFS('caseload data'!N:N,'caseload data'!$B:$B,"custody",'caseload data'!$C:$C,'custody %'!$B$43),"")</f>
        <v/>
      </c>
      <c r="M46" s="167" t="str">
        <f>IFERROR(SUMIFS('caseload data'!O:O,'caseload data'!$C:$C,'custody %'!$B$43,'caseload data'!$D:$D,"PSO",'caseload data'!$B:$B,"custody")/SUMIFS('caseload data'!O:O,'caseload data'!$B:$B,"custody",'caseload data'!$C:$C,'custody %'!$B$43),"")</f>
        <v/>
      </c>
      <c r="N46" s="167" t="str">
        <f>IFERROR(SUMIFS('caseload data'!P:P,'caseload data'!$C:$C,'custody %'!$B$43,'caseload data'!$D:$D,"PSO",'caseload data'!$B:$B,"custody")/SUMIFS('caseload data'!P:P,'caseload data'!$B:$B,"custody",'caseload data'!$C:$C,'custody %'!$B$43),"")</f>
        <v/>
      </c>
      <c r="O46" s="167" t="str">
        <f>IFERROR(SUMIFS('caseload data'!Q:Q,'caseload data'!$C:$C,'custody %'!$B$43,'caseload data'!$D:$D,"PSO",'caseload data'!$B:$B,"custody")/SUMIFS('caseload data'!Q:Q,'caseload data'!$B:$B,"custody",'caseload data'!$C:$C,'custody %'!$B$43),"")</f>
        <v/>
      </c>
      <c r="P46" s="167" t="str">
        <f>IFERROR(SUMIFS('caseload data'!R:R,'caseload data'!$C:$C,'custody %'!$B$43,'caseload data'!$D:$D,"PSO",'caseload data'!$B:$B,"custody")/SUMIFS('caseload data'!R:R,'caseload data'!$B:$B,"custody",'caseload data'!$C:$C,'custody %'!$B$43),"")</f>
        <v/>
      </c>
      <c r="Q46" s="167" t="str">
        <f>IFERROR(SUMIFS('caseload data'!S:S,'caseload data'!$C:$C,'custody %'!$B$43,'caseload data'!$D:$D,"PSO",'caseload data'!$B:$B,"custody")/SUMIFS('caseload data'!S:S,'caseload data'!$B:$B,"custody",'caseload data'!$C:$C,'custody %'!$B$43),"")</f>
        <v/>
      </c>
      <c r="R46" s="167" t="str">
        <f>IFERROR(SUMIFS('caseload data'!T:T,'caseload data'!$C:$C,'custody %'!$B$43,'caseload data'!$D:$D,"PSO",'caseload data'!$B:$B,"custody")/SUMIFS('caseload data'!T:T,'caseload data'!$B:$B,"custody",'caseload data'!$C:$C,'custody %'!$B$43),"")</f>
        <v/>
      </c>
      <c r="S46" s="64"/>
      <c r="T46" s="97" t="s">
        <v>1007</v>
      </c>
      <c r="U46" s="167" t="str">
        <f>IFERROR(SUMIFS('caseload data'!E:E,'caseload data'!$C:$C,'custody %'!$T$43,'caseload data'!$D:$D,"PSO",'caseload data'!$B:$B,"custody")/SUMIFS('caseload data'!E:E,'caseload data'!$B:$B,"custody",'caseload data'!$C:$C,'custody %'!$T$43),"")</f>
        <v/>
      </c>
      <c r="V46" s="167" t="str">
        <f>IFERROR(SUMIFS('caseload data'!F:F,'caseload data'!$C:$C,'custody %'!$T$43,'caseload data'!$D:$D,"PSO",'caseload data'!$B:$B,"custody")/SUMIFS('caseload data'!F:F,'caseload data'!$B:$B,"custody",'caseload data'!$C:$C,'custody %'!$T$43),"")</f>
        <v/>
      </c>
      <c r="W46" s="167" t="str">
        <f>IFERROR(SUMIFS('caseload data'!G:G,'caseload data'!$C:$C,'custody %'!$T$43,'caseload data'!$D:$D,"PSO",'caseload data'!$B:$B,"custody")/SUMIFS('caseload data'!G:G,'caseload data'!$B:$B,"custody",'caseload data'!$C:$C,'custody %'!$T$43),"")</f>
        <v/>
      </c>
      <c r="X46" s="167" t="str">
        <f>IFERROR(SUMIFS('caseload data'!H:H,'caseload data'!$C:$C,'custody %'!$T$43,'caseload data'!$D:$D,"PSO",'caseload data'!$B:$B,"custody")/SUMIFS('caseload data'!H:H,'caseload data'!$B:$B,"custody",'caseload data'!$C:$C,'custody %'!$T$43),"")</f>
        <v/>
      </c>
      <c r="Y46" s="167" t="str">
        <f>IFERROR(SUMIFS('caseload data'!I:I,'caseload data'!$C:$C,'custody %'!$T$43,'caseload data'!$D:$D,"PSO",'caseload data'!$B:$B,"custody")/SUMIFS('caseload data'!I:I,'caseload data'!$B:$B,"custody",'caseload data'!$C:$C,'custody %'!$T$43),"")</f>
        <v/>
      </c>
      <c r="Z46" s="167" t="str">
        <f>IFERROR(SUMIFS('caseload data'!J:J,'caseload data'!$C:$C,'custody %'!$T$43,'caseload data'!$D:$D,"PSO",'caseload data'!$B:$B,"custody")/SUMIFS('caseload data'!J:J,'caseload data'!$B:$B,"custody",'caseload data'!$C:$C,'custody %'!$T$43),"")</f>
        <v/>
      </c>
      <c r="AA46" s="167" t="str">
        <f>IFERROR(SUMIFS('caseload data'!K:K,'caseload data'!$C:$C,'custody %'!$T$43,'caseload data'!$D:$D,"PSO",'caseload data'!$B:$B,"custody")/SUMIFS('caseload data'!K:K,'caseload data'!$B:$B,"custody",'caseload data'!$C:$C,'custody %'!$T$43),"")</f>
        <v/>
      </c>
      <c r="AB46" s="167" t="str">
        <f>IFERROR(SUMIFS('caseload data'!L:L,'caseload data'!$C:$C,'custody %'!$T$43,'caseload data'!$D:$D,"PSO",'caseload data'!$B:$B,"custody")/SUMIFS('caseload data'!L:L,'caseload data'!$B:$B,"custody",'caseload data'!$C:$C,'custody %'!$T$43),"")</f>
        <v/>
      </c>
      <c r="AC46" s="167" t="str">
        <f>IFERROR(SUMIFS('caseload data'!M:M,'caseload data'!$C:$C,'custody %'!$T$43,'caseload data'!$D:$D,"PSO",'caseload data'!$B:$B,"custody")/SUMIFS('caseload data'!M:M,'caseload data'!$B:$B,"custody",'caseload data'!$C:$C,'custody %'!$T$43),"")</f>
        <v/>
      </c>
      <c r="AD46" s="167" t="str">
        <f>IFERROR(SUMIFS('caseload data'!N:N,'caseload data'!$C:$C,'custody %'!$T$43,'caseload data'!$D:$D,"PSO",'caseload data'!$B:$B,"custody")/SUMIFS('caseload data'!N:N,'caseload data'!$B:$B,"custody",'caseload data'!$C:$C,'custody %'!$T$43),"")</f>
        <v/>
      </c>
      <c r="AE46" s="167" t="str">
        <f>IFERROR(SUMIFS('caseload data'!O:O,'caseload data'!$C:$C,'custody %'!$T$43,'caseload data'!$D:$D,"PSO",'caseload data'!$B:$B,"custody")/SUMIFS('caseload data'!O:O,'caseload data'!$B:$B,"custody",'caseload data'!$C:$C,'custody %'!$T$43),"")</f>
        <v/>
      </c>
      <c r="AF46" s="167" t="str">
        <f>IFERROR(SUMIFS('caseload data'!P:P,'caseload data'!$C:$C,'custody %'!$T$43,'caseload data'!$D:$D,"PSO",'caseload data'!$B:$B,"custody")/SUMIFS('caseload data'!P:P,'caseload data'!$B:$B,"custody",'caseload data'!$C:$C,'custody %'!$T$43),"")</f>
        <v/>
      </c>
      <c r="AG46" s="167" t="str">
        <f>IFERROR(SUMIFS('caseload data'!Q:Q,'caseload data'!$C:$C,'custody %'!$T$43,'caseload data'!$D:$D,"PSO",'caseload data'!$B:$B,"custody")/SUMIFS('caseload data'!Q:Q,'caseload data'!$B:$B,"custody",'caseload data'!$C:$C,'custody %'!$T$43),"")</f>
        <v/>
      </c>
      <c r="AH46" s="167" t="str">
        <f>IFERROR(SUMIFS('caseload data'!R:R,'caseload data'!$C:$C,'custody %'!$T$43,'caseload data'!$D:$D,"PSO",'caseload data'!$B:$B,"custody")/SUMIFS('caseload data'!R:R,'caseload data'!$B:$B,"custody",'caseload data'!$C:$C,'custody %'!$T$43),"")</f>
        <v/>
      </c>
      <c r="AI46" s="167"/>
      <c r="AJ46" s="167"/>
    </row>
    <row r="47" spans="2:36" x14ac:dyDescent="0.15">
      <c r="B47" s="97" t="s">
        <v>1008</v>
      </c>
      <c r="C47" s="167" t="str">
        <f>IFERROR(SUMIFS('caseload data'!E:E,'caseload data'!$C:$C,'custody %'!$B$43,'caseload data'!$D:$D,"TPO",'caseload data'!$B:$B,"custody")/SUMIFS('caseload data'!E:E,'caseload data'!$B:$B,"custody",'caseload data'!$C:$C,'custody %'!$B$43),"")</f>
        <v/>
      </c>
      <c r="D47" s="167" t="str">
        <f>IFERROR(SUMIFS('caseload data'!F:F,'caseload data'!$C:$C,'custody %'!$B$43,'caseload data'!$D:$D,"TPO",'caseload data'!$B:$B,"custody")/SUMIFS('caseload data'!F:F,'caseload data'!$B:$B,"custody",'caseload data'!$C:$C,'custody %'!$B$43),"")</f>
        <v/>
      </c>
      <c r="E47" s="167" t="str">
        <f>IFERROR(SUMIFS('caseload data'!G:G,'caseload data'!$C:$C,'custody %'!$B$43,'caseload data'!$D:$D,"TPO",'caseload data'!$B:$B,"custody")/SUMIFS('caseload data'!G:G,'caseload data'!$B:$B,"custody",'caseload data'!$C:$C,'custody %'!$B$43),"")</f>
        <v/>
      </c>
      <c r="F47" s="167" t="str">
        <f>IFERROR(SUMIFS('caseload data'!H:H,'caseload data'!$C:$C,'custody %'!$B$43,'caseload data'!$D:$D,"TPO",'caseload data'!$B:$B,"custody")/SUMIFS('caseload data'!H:H,'caseload data'!$B:$B,"custody",'caseload data'!$C:$C,'custody %'!$B$43),"")</f>
        <v/>
      </c>
      <c r="G47" s="167" t="str">
        <f>IFERROR(SUMIFS('caseload data'!I:I,'caseload data'!$C:$C,'custody %'!$B$43,'caseload data'!$D:$D,"TPO",'caseload data'!$B:$B,"custody")/SUMIFS('caseload data'!I:I,'caseload data'!$B:$B,"custody",'caseload data'!$C:$C,'custody %'!$B$43),"")</f>
        <v/>
      </c>
      <c r="H47" s="167" t="str">
        <f>IFERROR(SUMIFS('caseload data'!J:J,'caseload data'!$C:$C,'custody %'!$B$43,'caseload data'!$D:$D,"TPO",'caseload data'!$B:$B,"custody")/SUMIFS('caseload data'!J:J,'caseload data'!$B:$B,"custody",'caseload data'!$C:$C,'custody %'!$B$43),"")</f>
        <v/>
      </c>
      <c r="I47" s="167" t="str">
        <f>IFERROR(SUMIFS('caseload data'!K:K,'caseload data'!$C:$C,'custody %'!$B$43,'caseload data'!$D:$D,"TPO",'caseload data'!$B:$B,"custody")/SUMIFS('caseload data'!K:K,'caseload data'!$B:$B,"custody",'caseload data'!$C:$C,'custody %'!$B$43),"")</f>
        <v/>
      </c>
      <c r="J47" s="167" t="str">
        <f>IFERROR(SUMIFS('caseload data'!L:L,'caseload data'!$C:$C,'custody %'!$B$43,'caseload data'!$D:$D,"TPO",'caseload data'!$B:$B,"custody")/SUMIFS('caseload data'!L:L,'caseload data'!$B:$B,"custody",'caseload data'!$C:$C,'custody %'!$B$43),"")</f>
        <v/>
      </c>
      <c r="K47" s="167" t="str">
        <f>IFERROR(SUMIFS('caseload data'!M:M,'caseload data'!$C:$C,'custody %'!$B$43,'caseload data'!$D:$D,"TPO",'caseload data'!$B:$B,"custody")/SUMIFS('caseload data'!M:M,'caseload data'!$B:$B,"custody",'caseload data'!$C:$C,'custody %'!$B$43),"")</f>
        <v/>
      </c>
      <c r="L47" s="167" t="str">
        <f>IFERROR(SUMIFS('caseload data'!N:N,'caseload data'!$C:$C,'custody %'!$B$43,'caseload data'!$D:$D,"TPO",'caseload data'!$B:$B,"custody")/SUMIFS('caseload data'!N:N,'caseload data'!$B:$B,"custody",'caseload data'!$C:$C,'custody %'!$B$43),"")</f>
        <v/>
      </c>
      <c r="M47" s="167" t="str">
        <f>IFERROR(SUMIFS('caseload data'!O:O,'caseload data'!$C:$C,'custody %'!$B$43,'caseload data'!$D:$D,"TPO",'caseload data'!$B:$B,"custody")/SUMIFS('caseload data'!O:O,'caseload data'!$B:$B,"custody",'caseload data'!$C:$C,'custody %'!$B$43),"")</f>
        <v/>
      </c>
      <c r="N47" s="167" t="str">
        <f>IFERROR(SUMIFS('caseload data'!P:P,'caseload data'!$C:$C,'custody %'!$B$43,'caseload data'!$D:$D,"TPO",'caseload data'!$B:$B,"custody")/SUMIFS('caseload data'!P:P,'caseload data'!$B:$B,"custody",'caseload data'!$C:$C,'custody %'!$B$43),"")</f>
        <v/>
      </c>
      <c r="O47" s="167" t="str">
        <f>IFERROR(SUMIFS('caseload data'!Q:Q,'caseload data'!$C:$C,'custody %'!$B$43,'caseload data'!$D:$D,"TPO",'caseload data'!$B:$B,"custody")/SUMIFS('caseload data'!Q:Q,'caseload data'!$B:$B,"custody",'caseload data'!$C:$C,'custody %'!$B$43),"")</f>
        <v/>
      </c>
      <c r="P47" s="167" t="str">
        <f>IFERROR(SUMIFS('caseload data'!R:R,'caseload data'!$C:$C,'custody %'!$B$43,'caseload data'!$D:$D,"TPO",'caseload data'!$B:$B,"custody")/SUMIFS('caseload data'!R:R,'caseload data'!$B:$B,"custody",'caseload data'!$C:$C,'custody %'!$B$43),"")</f>
        <v/>
      </c>
      <c r="Q47" s="167" t="str">
        <f>IFERROR(SUMIFS('caseload data'!S:S,'caseload data'!$C:$C,'custody %'!$B$43,'caseload data'!$D:$D,"TPO",'caseload data'!$B:$B,"custody")/SUMIFS('caseload data'!S:S,'caseload data'!$B:$B,"custody",'caseload data'!$C:$C,'custody %'!$B$43),"")</f>
        <v/>
      </c>
      <c r="R47" s="167" t="str">
        <f>IFERROR(SUMIFS('caseload data'!T:T,'caseload data'!$C:$C,'custody %'!$B$43,'caseload data'!$D:$D,"TPO",'caseload data'!$B:$B,"custody")/SUMIFS('caseload data'!T:T,'caseload data'!$B:$B,"custody",'caseload data'!$C:$C,'custody %'!$B$43),"")</f>
        <v/>
      </c>
      <c r="S47" s="64"/>
      <c r="T47" s="97" t="s">
        <v>1008</v>
      </c>
      <c r="U47" s="167" t="str">
        <f>IFERROR(SUMIFS('caseload data'!E:E,'caseload data'!$C:$C,'custody %'!$T$43,'caseload data'!$D:$D,"TPO",'caseload data'!$B:$B,"custody")/SUMIFS('caseload data'!E:E,'caseload data'!$B:$B,"custody",'caseload data'!$C:$C,'custody %'!$T$43),"")</f>
        <v/>
      </c>
      <c r="V47" s="167" t="str">
        <f>IFERROR(SUMIFS('caseload data'!F:F,'caseload data'!$C:$C,'custody %'!$T$43,'caseload data'!$D:$D,"TPO",'caseload data'!$B:$B,"custody")/SUMIFS('caseload data'!F:F,'caseload data'!$B:$B,"custody",'caseload data'!$C:$C,'custody %'!$T$43),"")</f>
        <v/>
      </c>
      <c r="W47" s="167" t="str">
        <f>IFERROR(SUMIFS('caseload data'!G:G,'caseload data'!$C:$C,'custody %'!$T$43,'caseload data'!$D:$D,"TPO",'caseload data'!$B:$B,"custody")/SUMIFS('caseload data'!G:G,'caseload data'!$B:$B,"custody",'caseload data'!$C:$C,'custody %'!$T$43),"")</f>
        <v/>
      </c>
      <c r="X47" s="167" t="str">
        <f>IFERROR(SUMIFS('caseload data'!H:H,'caseload data'!$C:$C,'custody %'!$T$43,'caseload data'!$D:$D,"TPO",'caseload data'!$B:$B,"custody")/SUMIFS('caseload data'!H:H,'caseload data'!$B:$B,"custody",'caseload data'!$C:$C,'custody %'!$T$43),"")</f>
        <v/>
      </c>
      <c r="Y47" s="167" t="str">
        <f>IFERROR(SUMIFS('caseload data'!I:I,'caseload data'!$C:$C,'custody %'!$T$43,'caseload data'!$D:$D,"TPO",'caseload data'!$B:$B,"custody")/SUMIFS('caseload data'!I:I,'caseload data'!$B:$B,"custody",'caseload data'!$C:$C,'custody %'!$T$43),"")</f>
        <v/>
      </c>
      <c r="Z47" s="167" t="str">
        <f>IFERROR(SUMIFS('caseload data'!J:J,'caseload data'!$C:$C,'custody %'!$T$43,'caseload data'!$D:$D,"TPO",'caseload data'!$B:$B,"custody")/SUMIFS('caseload data'!J:J,'caseload data'!$B:$B,"custody",'caseload data'!$C:$C,'custody %'!$T$43),"")</f>
        <v/>
      </c>
      <c r="AA47" s="167" t="str">
        <f>IFERROR(SUMIFS('caseload data'!K:K,'caseload data'!$C:$C,'custody %'!$T$43,'caseload data'!$D:$D,"TPO",'caseload data'!$B:$B,"custody")/SUMIFS('caseload data'!K:K,'caseload data'!$B:$B,"custody",'caseload data'!$C:$C,'custody %'!$T$43),"")</f>
        <v/>
      </c>
      <c r="AB47" s="167" t="str">
        <f>IFERROR(SUMIFS('caseload data'!L:L,'caseload data'!$C:$C,'custody %'!$T$43,'caseload data'!$D:$D,"TPO",'caseload data'!$B:$B,"custody")/SUMIFS('caseload data'!L:L,'caseload data'!$B:$B,"custody",'caseload data'!$C:$C,'custody %'!$T$43),"")</f>
        <v/>
      </c>
      <c r="AC47" s="167" t="str">
        <f>IFERROR(SUMIFS('caseload data'!M:M,'caseload data'!$C:$C,'custody %'!$T$43,'caseload data'!$D:$D,"TPO",'caseload data'!$B:$B,"custody")/SUMIFS('caseload data'!M:M,'caseload data'!$B:$B,"custody",'caseload data'!$C:$C,'custody %'!$T$43),"")</f>
        <v/>
      </c>
      <c r="AD47" s="167" t="str">
        <f>IFERROR(SUMIFS('caseload data'!N:N,'caseload data'!$C:$C,'custody %'!$T$43,'caseload data'!$D:$D,"TPO",'caseload data'!$B:$B,"custody")/SUMIFS('caseload data'!N:N,'caseload data'!$B:$B,"custody",'caseload data'!$C:$C,'custody %'!$T$43),"")</f>
        <v/>
      </c>
      <c r="AE47" s="167" t="str">
        <f>IFERROR(SUMIFS('caseload data'!O:O,'caseload data'!$C:$C,'custody %'!$T$43,'caseload data'!$D:$D,"TPO",'caseload data'!$B:$B,"custody")/SUMIFS('caseload data'!O:O,'caseload data'!$B:$B,"custody",'caseload data'!$C:$C,'custody %'!$T$43),"")</f>
        <v/>
      </c>
      <c r="AF47" s="167" t="str">
        <f>IFERROR(SUMIFS('caseload data'!P:P,'caseload data'!$C:$C,'custody %'!$T$43,'caseload data'!$D:$D,"TPO",'caseload data'!$B:$B,"custody")/SUMIFS('caseload data'!P:P,'caseload data'!$B:$B,"custody",'caseload data'!$C:$C,'custody %'!$T$43),"")</f>
        <v/>
      </c>
      <c r="AG47" s="167" t="str">
        <f>IFERROR(SUMIFS('caseload data'!Q:Q,'caseload data'!$C:$C,'custody %'!$T$43,'caseload data'!$D:$D,"TPO",'caseload data'!$B:$B,"custody")/SUMIFS('caseload data'!Q:Q,'caseload data'!$B:$B,"custody",'caseload data'!$C:$C,'custody %'!$T$43),"")</f>
        <v/>
      </c>
      <c r="AH47" s="167" t="str">
        <f>IFERROR(SUMIFS('caseload data'!R:R,'caseload data'!$C:$C,'custody %'!$T$43,'caseload data'!$D:$D,"TPO",'caseload data'!$B:$B,"custody")/SUMIFS('caseload data'!R:R,'caseload data'!$B:$B,"custody",'caseload data'!$C:$C,'custody %'!$T$43),"")</f>
        <v/>
      </c>
      <c r="AI47" s="167"/>
      <c r="AJ47" s="167"/>
    </row>
    <row r="48" spans="2:36" x14ac:dyDescent="0.15">
      <c r="B48" s="98" t="s">
        <v>1009</v>
      </c>
      <c r="C48" s="167" t="str">
        <f>IFERROR(SUMIFS('caseload data'!E:E,'caseload data'!$C:$C,'custody %'!$B$43,'caseload data'!$D:$D,"SPO",'caseload data'!$B:$B,"custody")/SUMIFS('caseload data'!E:E,'caseload data'!$B:$B,"custody",'caseload data'!$C:$C,'custody %'!$B$43),"")</f>
        <v/>
      </c>
      <c r="D48" s="167" t="str">
        <f>IFERROR(SUMIFS('caseload data'!F:F,'caseload data'!$C:$C,'custody %'!$B$43,'caseload data'!$D:$D,"SPO",'caseload data'!$B:$B,"custody")/SUMIFS('caseload data'!F:F,'caseload data'!$B:$B,"custody",'caseload data'!$C:$C,'custody %'!$B$43),"")</f>
        <v/>
      </c>
      <c r="E48" s="167" t="str">
        <f>IFERROR(SUMIFS('caseload data'!G:G,'caseload data'!$C:$C,'custody %'!$B$43,'caseload data'!$D:$D,"SPO",'caseload data'!$B:$B,"custody")/SUMIFS('caseload data'!G:G,'caseload data'!$B:$B,"custody",'caseload data'!$C:$C,'custody %'!$B$43),"")</f>
        <v/>
      </c>
      <c r="F48" s="167" t="str">
        <f>IFERROR(SUMIFS('caseload data'!H:H,'caseload data'!$C:$C,'custody %'!$B$43,'caseload data'!$D:$D,"SPO",'caseload data'!$B:$B,"custody")/SUMIFS('caseload data'!H:H,'caseload data'!$B:$B,"custody",'caseload data'!$C:$C,'custody %'!$B$43),"")</f>
        <v/>
      </c>
      <c r="G48" s="167" t="str">
        <f>IFERROR(SUMIFS('caseload data'!I:I,'caseload data'!$C:$C,'custody %'!$B$43,'caseload data'!$D:$D,"SPO",'caseload data'!$B:$B,"custody")/SUMIFS('caseload data'!I:I,'caseload data'!$B:$B,"custody",'caseload data'!$C:$C,'custody %'!$B$43),"")</f>
        <v/>
      </c>
      <c r="H48" s="167" t="str">
        <f>IFERROR(SUMIFS('caseload data'!J:J,'caseload data'!$C:$C,'custody %'!$B$43,'caseload data'!$D:$D,"SPO",'caseload data'!$B:$B,"custody")/SUMIFS('caseload data'!J:J,'caseload data'!$B:$B,"custody",'caseload data'!$C:$C,'custody %'!$B$43),"")</f>
        <v/>
      </c>
      <c r="I48" s="167" t="str">
        <f>IFERROR(SUMIFS('caseload data'!K:K,'caseload data'!$C:$C,'custody %'!$B$43,'caseload data'!$D:$D,"SPO",'caseload data'!$B:$B,"custody")/SUMIFS('caseload data'!K:K,'caseload data'!$B:$B,"custody",'caseload data'!$C:$C,'custody %'!$B$43),"")</f>
        <v/>
      </c>
      <c r="J48" s="167" t="str">
        <f>IFERROR(SUMIFS('caseload data'!L:L,'caseload data'!$C:$C,'custody %'!$B$43,'caseload data'!$D:$D,"SPO",'caseload data'!$B:$B,"custody")/SUMIFS('caseload data'!L:L,'caseload data'!$B:$B,"custody",'caseload data'!$C:$C,'custody %'!$B$43),"")</f>
        <v/>
      </c>
      <c r="K48" s="167" t="str">
        <f>IFERROR(SUMIFS('caseload data'!M:M,'caseload data'!$C:$C,'custody %'!$B$43,'caseload data'!$D:$D,"SPO",'caseload data'!$B:$B,"custody")/SUMIFS('caseload data'!M:M,'caseload data'!$B:$B,"custody",'caseload data'!$C:$C,'custody %'!$B$43),"")</f>
        <v/>
      </c>
      <c r="L48" s="167" t="str">
        <f>IFERROR(SUMIFS('caseload data'!N:N,'caseload data'!$C:$C,'custody %'!$B$43,'caseload data'!$D:$D,"SPO",'caseload data'!$B:$B,"custody")/SUMIFS('caseload data'!N:N,'caseload data'!$B:$B,"custody",'caseload data'!$C:$C,'custody %'!$B$43),"")</f>
        <v/>
      </c>
      <c r="M48" s="167" t="str">
        <f>IFERROR(SUMIFS('caseload data'!O:O,'caseload data'!$C:$C,'custody %'!$B$43,'caseload data'!$D:$D,"SPO",'caseload data'!$B:$B,"custody")/SUMIFS('caseload data'!O:O,'caseload data'!$B:$B,"custody",'caseload data'!$C:$C,'custody %'!$B$43),"")</f>
        <v/>
      </c>
      <c r="N48" s="167" t="str">
        <f>IFERROR(SUMIFS('caseload data'!P:P,'caseload data'!$C:$C,'custody %'!$B$43,'caseload data'!$D:$D,"SPO",'caseload data'!$B:$B,"custody")/SUMIFS('caseload data'!P:P,'caseload data'!$B:$B,"custody",'caseload data'!$C:$C,'custody %'!$B$43),"")</f>
        <v/>
      </c>
      <c r="O48" s="167" t="str">
        <f>IFERROR(SUMIFS('caseload data'!Q:Q,'caseload data'!$C:$C,'custody %'!$B$43,'caseload data'!$D:$D,"SPO",'caseload data'!$B:$B,"custody")/SUMIFS('caseload data'!Q:Q,'caseload data'!$B:$B,"custody",'caseload data'!$C:$C,'custody %'!$B$43),"")</f>
        <v/>
      </c>
      <c r="P48" s="167" t="str">
        <f>IFERROR(SUMIFS('caseload data'!R:R,'caseload data'!$C:$C,'custody %'!$B$43,'caseload data'!$D:$D,"SPO",'caseload data'!$B:$B,"custody")/SUMIFS('caseload data'!R:R,'caseload data'!$B:$B,"custody",'caseload data'!$C:$C,'custody %'!$B$43),"")</f>
        <v/>
      </c>
      <c r="Q48" s="167" t="str">
        <f>IFERROR(SUMIFS('caseload data'!S:S,'caseload data'!$C:$C,'custody %'!$B$43,'caseload data'!$D:$D,"SPO",'caseload data'!$B:$B,"custody")/SUMIFS('caseload data'!S:S,'caseload data'!$B:$B,"custody",'caseload data'!$C:$C,'custody %'!$B$43),"")</f>
        <v/>
      </c>
      <c r="R48" s="167" t="str">
        <f>IFERROR(SUMIFS('caseload data'!T:T,'caseload data'!$C:$C,'custody %'!$B$43,'caseload data'!$D:$D,"SPO",'caseload data'!$B:$B,"custody")/SUMIFS('caseload data'!T:T,'caseload data'!$B:$B,"custody",'caseload data'!$C:$C,'custody %'!$B$43),"")</f>
        <v/>
      </c>
      <c r="S48" s="64"/>
      <c r="T48" s="98" t="s">
        <v>1009</v>
      </c>
      <c r="U48" s="167" t="str">
        <f>IFERROR(SUMIFS('caseload data'!E:E,'caseload data'!$C:$C,'custody %'!$T$43,'caseload data'!$D:$D,"SPO",'caseload data'!$B:$B,"custody")/SUMIFS('caseload data'!E:E,'caseload data'!$B:$B,"custody",'caseload data'!$C:$C,'custody %'!$T$43),"")</f>
        <v/>
      </c>
      <c r="V48" s="167" t="str">
        <f>IFERROR(SUMIFS('caseload data'!F:F,'caseload data'!$C:$C,'custody %'!$T$43,'caseload data'!$D:$D,"SPO",'caseload data'!$B:$B,"custody")/SUMIFS('caseload data'!F:F,'caseload data'!$B:$B,"custody",'caseload data'!$C:$C,'custody %'!$T$43),"")</f>
        <v/>
      </c>
      <c r="W48" s="167" t="str">
        <f>IFERROR(SUMIFS('caseload data'!G:G,'caseload data'!$C:$C,'custody %'!$T$43,'caseload data'!$D:$D,"SPO",'caseload data'!$B:$B,"custody")/SUMIFS('caseload data'!G:G,'caseload data'!$B:$B,"custody",'caseload data'!$C:$C,'custody %'!$T$43),"")</f>
        <v/>
      </c>
      <c r="X48" s="167" t="str">
        <f>IFERROR(SUMIFS('caseload data'!H:H,'caseload data'!$C:$C,'custody %'!$T$43,'caseload data'!$D:$D,"SPO",'caseload data'!$B:$B,"custody")/SUMIFS('caseload data'!H:H,'caseload data'!$B:$B,"custody",'caseload data'!$C:$C,'custody %'!$T$43),"")</f>
        <v/>
      </c>
      <c r="Y48" s="167" t="str">
        <f>IFERROR(SUMIFS('caseload data'!I:I,'caseload data'!$C:$C,'custody %'!$T$43,'caseload data'!$D:$D,"SPO",'caseload data'!$B:$B,"custody")/SUMIFS('caseload data'!I:I,'caseload data'!$B:$B,"custody",'caseload data'!$C:$C,'custody %'!$T$43),"")</f>
        <v/>
      </c>
      <c r="Z48" s="167" t="str">
        <f>IFERROR(SUMIFS('caseload data'!J:J,'caseload data'!$C:$C,'custody %'!$T$43,'caseload data'!$D:$D,"SPO",'caseload data'!$B:$B,"custody")/SUMIFS('caseload data'!J:J,'caseload data'!$B:$B,"custody",'caseload data'!$C:$C,'custody %'!$T$43),"")</f>
        <v/>
      </c>
      <c r="AA48" s="167" t="str">
        <f>IFERROR(SUMIFS('caseload data'!K:K,'caseload data'!$C:$C,'custody %'!$T$43,'caseload data'!$D:$D,"SPO",'caseload data'!$B:$B,"custody")/SUMIFS('caseload data'!K:K,'caseload data'!$B:$B,"custody",'caseload data'!$C:$C,'custody %'!$T$43),"")</f>
        <v/>
      </c>
      <c r="AB48" s="167" t="str">
        <f>IFERROR(SUMIFS('caseload data'!L:L,'caseload data'!$C:$C,'custody %'!$T$43,'caseload data'!$D:$D,"SPO",'caseload data'!$B:$B,"custody")/SUMIFS('caseload data'!L:L,'caseload data'!$B:$B,"custody",'caseload data'!$C:$C,'custody %'!$T$43),"")</f>
        <v/>
      </c>
      <c r="AC48" s="167" t="str">
        <f>IFERROR(SUMIFS('caseload data'!M:M,'caseload data'!$C:$C,'custody %'!$T$43,'caseload data'!$D:$D,"SPO",'caseload data'!$B:$B,"custody")/SUMIFS('caseload data'!M:M,'caseload data'!$B:$B,"custody",'caseload data'!$C:$C,'custody %'!$T$43),"")</f>
        <v/>
      </c>
      <c r="AD48" s="167" t="str">
        <f>IFERROR(SUMIFS('caseload data'!N:N,'caseload data'!$C:$C,'custody %'!$T$43,'caseload data'!$D:$D,"SPO",'caseload data'!$B:$B,"custody")/SUMIFS('caseload data'!N:N,'caseload data'!$B:$B,"custody",'caseload data'!$C:$C,'custody %'!$T$43),"")</f>
        <v/>
      </c>
      <c r="AE48" s="167" t="str">
        <f>IFERROR(SUMIFS('caseload data'!O:O,'caseload data'!$C:$C,'custody %'!$T$43,'caseload data'!$D:$D,"SPO",'caseload data'!$B:$B,"custody")/SUMIFS('caseload data'!O:O,'caseload data'!$B:$B,"custody",'caseload data'!$C:$C,'custody %'!$T$43),"")</f>
        <v/>
      </c>
      <c r="AF48" s="167" t="str">
        <f>IFERROR(SUMIFS('caseload data'!P:P,'caseload data'!$C:$C,'custody %'!$T$43,'caseload data'!$D:$D,"SPO",'caseload data'!$B:$B,"custody")/SUMIFS('caseload data'!P:P,'caseload data'!$B:$B,"custody",'caseload data'!$C:$C,'custody %'!$T$43),"")</f>
        <v/>
      </c>
      <c r="AG48" s="167" t="str">
        <f>IFERROR(SUMIFS('caseload data'!Q:Q,'caseload data'!$C:$C,'custody %'!$T$43,'caseload data'!$D:$D,"SPO",'caseload data'!$B:$B,"custody")/SUMIFS('caseload data'!Q:Q,'caseload data'!$B:$B,"custody",'caseload data'!$C:$C,'custody %'!$T$43),"")</f>
        <v/>
      </c>
      <c r="AH48" s="167" t="str">
        <f>IFERROR(SUMIFS('caseload data'!R:R,'caseload data'!$C:$C,'custody %'!$T$43,'caseload data'!$D:$D,"SPO",'caseload data'!$B:$B,"custody")/SUMIFS('caseload data'!R:R,'caseload data'!$B:$B,"custody",'caseload data'!$C:$C,'custody %'!$T$43),"")</f>
        <v/>
      </c>
      <c r="AI48" s="167"/>
      <c r="AJ48" s="167"/>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row>
    <row r="50" spans="2:36" ht="30" customHeight="1" x14ac:dyDescent="0.15">
      <c r="B50" s="289">
        <f>HLOOKUP($B$5,Region_Table,14,0)</f>
        <v>0</v>
      </c>
      <c r="C50" s="515" t="s">
        <v>1131</v>
      </c>
      <c r="D50" s="516"/>
      <c r="E50" s="516"/>
      <c r="F50" s="516"/>
      <c r="G50" s="516"/>
      <c r="H50" s="516"/>
      <c r="I50" s="516"/>
      <c r="J50" s="516"/>
      <c r="K50" s="516"/>
      <c r="L50" s="516"/>
      <c r="M50" s="535"/>
      <c r="N50" s="535"/>
      <c r="O50" s="536"/>
      <c r="P50" s="510">
        <f>SUMIF('caseload data'!$C:$C,'custody %'!B50,'caseload data'!V:V)</f>
        <v>0</v>
      </c>
      <c r="Q50" s="527"/>
      <c r="R50" s="528"/>
      <c r="S50" s="64"/>
      <c r="T50" s="289">
        <f>HLOOKUP($B$5,Region_Table,15,0)</f>
        <v>0</v>
      </c>
      <c r="U50" s="515" t="s">
        <v>1131</v>
      </c>
      <c r="V50" s="516"/>
      <c r="W50" s="516"/>
      <c r="X50" s="516"/>
      <c r="Y50" s="516"/>
      <c r="Z50" s="516"/>
      <c r="AA50" s="516"/>
      <c r="AB50" s="516"/>
      <c r="AC50" s="535"/>
      <c r="AD50" s="535"/>
      <c r="AE50" s="536"/>
      <c r="AF50" s="510">
        <f>SUMIF('caseload data'!$C:$C,'custody %'!T50,'caseload data'!V:V)</f>
        <v>0</v>
      </c>
      <c r="AG50" s="527"/>
      <c r="AH50" s="528"/>
    </row>
    <row r="51" spans="2:36" x14ac:dyDescent="0.15">
      <c r="B51" s="95" t="s">
        <v>1005</v>
      </c>
      <c r="C51" s="38" t="s">
        <v>869</v>
      </c>
      <c r="D51" s="38" t="s">
        <v>870</v>
      </c>
      <c r="E51" s="38" t="s">
        <v>871</v>
      </c>
      <c r="F51" s="38" t="s">
        <v>872</v>
      </c>
      <c r="G51" s="38" t="s">
        <v>873</v>
      </c>
      <c r="H51" s="38" t="s">
        <v>874</v>
      </c>
      <c r="I51" s="38" t="s">
        <v>875</v>
      </c>
      <c r="J51" s="38" t="s">
        <v>876</v>
      </c>
      <c r="K51" s="38" t="s">
        <v>877</v>
      </c>
      <c r="L51" s="38" t="s">
        <v>878</v>
      </c>
      <c r="M51" s="38" t="s">
        <v>879</v>
      </c>
      <c r="N51" s="38" t="s">
        <v>880</v>
      </c>
      <c r="O51" s="38" t="s">
        <v>881</v>
      </c>
      <c r="P51" s="38" t="s">
        <v>882</v>
      </c>
      <c r="Q51" s="38" t="s">
        <v>883</v>
      </c>
      <c r="R51" s="38" t="s">
        <v>884</v>
      </c>
      <c r="S51" s="64"/>
      <c r="T51" s="95" t="s">
        <v>1005</v>
      </c>
      <c r="U51" s="38" t="s">
        <v>869</v>
      </c>
      <c r="V51" s="38" t="s">
        <v>870</v>
      </c>
      <c r="W51" s="38" t="s">
        <v>871</v>
      </c>
      <c r="X51" s="38" t="s">
        <v>872</v>
      </c>
      <c r="Y51" s="38" t="s">
        <v>873</v>
      </c>
      <c r="Z51" s="38" t="s">
        <v>874</v>
      </c>
      <c r="AA51" s="38" t="s">
        <v>875</v>
      </c>
      <c r="AB51" s="38" t="s">
        <v>876</v>
      </c>
      <c r="AC51" s="38" t="s">
        <v>877</v>
      </c>
      <c r="AD51" s="38" t="s">
        <v>878</v>
      </c>
      <c r="AE51" s="38" t="s">
        <v>879</v>
      </c>
      <c r="AF51" s="38" t="s">
        <v>880</v>
      </c>
      <c r="AG51" s="38" t="s">
        <v>881</v>
      </c>
      <c r="AH51" s="38" t="s">
        <v>882</v>
      </c>
      <c r="AI51" s="38" t="s">
        <v>883</v>
      </c>
      <c r="AJ51" s="38" t="s">
        <v>884</v>
      </c>
    </row>
    <row r="52" spans="2:36" x14ac:dyDescent="0.15">
      <c r="B52" s="96" t="s">
        <v>1002</v>
      </c>
      <c r="C52" s="167" t="str">
        <f>IFERROR(SUMIFS('caseload data'!E:E,'caseload data'!$C:$C,'custody %'!$B$50,'caseload data'!$D:$D,"PO",'caseload data'!$B:$B,"custody")/SUMIFS('caseload data'!E:E,'caseload data'!$B:$B,"custody",'caseload data'!$C:$C,'custody %'!$B$50),"")</f>
        <v/>
      </c>
      <c r="D52" s="167" t="str">
        <f>IFERROR(SUMIFS('caseload data'!F:F,'caseload data'!$C:$C,'custody %'!$B$50,'caseload data'!$D:$D,"PO",'caseload data'!$B:$B,"custody")/SUMIFS('caseload data'!F:F,'caseload data'!$B:$B,"custody",'caseload data'!$C:$C,'custody %'!$B$50),"")</f>
        <v/>
      </c>
      <c r="E52" s="167" t="str">
        <f>IFERROR(SUMIFS('caseload data'!G:G,'caseload data'!$C:$C,'custody %'!$B$50,'caseload data'!$D:$D,"PO",'caseload data'!$B:$B,"custody")/SUMIFS('caseload data'!G:G,'caseload data'!$B:$B,"custody",'caseload data'!$C:$C,'custody %'!$B$50),"")</f>
        <v/>
      </c>
      <c r="F52" s="167" t="str">
        <f>IFERROR(SUMIFS('caseload data'!H:H,'caseload data'!$C:$C,'custody %'!$B$50,'caseload data'!$D:$D,"PO",'caseload data'!$B:$B,"custody")/SUMIFS('caseload data'!H:H,'caseload data'!$B:$B,"custody",'caseload data'!$C:$C,'custody %'!$B$50),"")</f>
        <v/>
      </c>
      <c r="G52" s="167" t="str">
        <f>IFERROR(SUMIFS('caseload data'!I:I,'caseload data'!$C:$C,'custody %'!$B$50,'caseload data'!$D:$D,"PO",'caseload data'!$B:$B,"custody")/SUMIFS('caseload data'!I:I,'caseload data'!$B:$B,"custody",'caseload data'!$C:$C,'custody %'!$B$50),"")</f>
        <v/>
      </c>
      <c r="H52" s="167" t="str">
        <f>IFERROR(SUMIFS('caseload data'!J:J,'caseload data'!$C:$C,'custody %'!$B$50,'caseload data'!$D:$D,"PO",'caseload data'!$B:$B,"custody")/SUMIFS('caseload data'!J:J,'caseload data'!$B:$B,"custody",'caseload data'!$C:$C,'custody %'!$B$50),"")</f>
        <v/>
      </c>
      <c r="I52" s="167" t="str">
        <f>IFERROR(SUMIFS('caseload data'!K:K,'caseload data'!$C:$C,'custody %'!$B$50,'caseload data'!$D:$D,"PO",'caseload data'!$B:$B,"custody")/SUMIFS('caseload data'!K:K,'caseload data'!$B:$B,"custody",'caseload data'!$C:$C,'custody %'!$B$50),"")</f>
        <v/>
      </c>
      <c r="J52" s="167" t="str">
        <f>IFERROR(SUMIFS('caseload data'!L:L,'caseload data'!$C:$C,'custody %'!$B$50,'caseload data'!$D:$D,"PO",'caseload data'!$B:$B,"custody")/SUMIFS('caseload data'!L:L,'caseload data'!$B:$B,"custody",'caseload data'!$C:$C,'custody %'!$B$50),"")</f>
        <v/>
      </c>
      <c r="K52" s="167" t="str">
        <f>IFERROR(SUMIFS('caseload data'!M:M,'caseload data'!$C:$C,'custody %'!$B$50,'caseload data'!$D:$D,"PO",'caseload data'!$B:$B,"custody")/SUMIFS('caseload data'!M:M,'caseload data'!$B:$B,"custody",'caseload data'!$C:$C,'custody %'!$B$50),"")</f>
        <v/>
      </c>
      <c r="L52" s="167" t="str">
        <f>IFERROR(SUMIFS('caseload data'!N:N,'caseload data'!$C:$C,'custody %'!$B$50,'caseload data'!$D:$D,"PO",'caseload data'!$B:$B,"custody")/SUMIFS('caseload data'!N:N,'caseload data'!$B:$B,"custody",'caseload data'!$C:$C,'custody %'!$B$50),"")</f>
        <v/>
      </c>
      <c r="M52" s="167" t="str">
        <f>IFERROR(SUMIFS('caseload data'!O:O,'caseload data'!$C:$C,'custody %'!$B$50,'caseload data'!$D:$D,"PO",'caseload data'!$B:$B,"custody")/SUMIFS('caseload data'!O:O,'caseload data'!$B:$B,"custody",'caseload data'!$C:$C,'custody %'!$B$50),"")</f>
        <v/>
      </c>
      <c r="N52" s="167" t="str">
        <f>IFERROR(SUMIFS('caseload data'!P:P,'caseload data'!$C:$C,'custody %'!$B$50,'caseload data'!$D:$D,"PO",'caseload data'!$B:$B,"custody")/SUMIFS('caseload data'!P:P,'caseload data'!$B:$B,"custody",'caseload data'!$C:$C,'custody %'!$B$50),"")</f>
        <v/>
      </c>
      <c r="O52" s="167" t="str">
        <f>IFERROR(SUMIFS('caseload data'!Q:Q,'caseload data'!$C:$C,'custody %'!$B$50,'caseload data'!$D:$D,"PO",'caseload data'!$B:$B,"custody")/SUMIFS('caseload data'!Q:Q,'caseload data'!$B:$B,"custody",'caseload data'!$C:$C,'custody %'!$B$50),"")</f>
        <v/>
      </c>
      <c r="P52" s="167" t="str">
        <f>IFERROR(SUMIFS('caseload data'!R:R,'caseload data'!$C:$C,'custody %'!$B$50,'caseload data'!$D:$D,"PO",'caseload data'!$B:$B,"custody")/SUMIFS('caseload data'!R:R,'caseload data'!$B:$B,"custody",'caseload data'!$C:$C,'custody %'!$B$50),"")</f>
        <v/>
      </c>
      <c r="Q52" s="167" t="str">
        <f>IFERROR(SUMIFS('caseload data'!S:S,'caseload data'!$C:$C,'custody %'!$B$50,'caseload data'!$D:$D,"PO",'caseload data'!$B:$B,"custody")/SUMIFS('caseload data'!S:S,'caseload data'!$B:$B,"custody",'caseload data'!$C:$C,'custody %'!$B$50),"")</f>
        <v/>
      </c>
      <c r="R52" s="167" t="str">
        <f>IFERROR(SUMIFS('caseload data'!T:T,'caseload data'!$C:$C,'custody %'!$B$50,'caseload data'!$D:$D,"PO",'caseload data'!$B:$B,"custody")/SUMIFS('caseload data'!T:T,'caseload data'!$B:$B,"custody",'caseload data'!$C:$C,'custody %'!$B$50),"")</f>
        <v/>
      </c>
      <c r="S52" s="64"/>
      <c r="T52" s="96" t="s">
        <v>1002</v>
      </c>
      <c r="U52" s="167" t="str">
        <f>IFERROR(SUMIFS('caseload data'!E:E,'caseload data'!$C:$C,'custody %'!$T$50,'caseload data'!$D:$D,"PO",'caseload data'!$B:$B,"custody")/SUMIFS('caseload data'!E:E,'caseload data'!$B:$B,"custody",'caseload data'!$C:$C,'custody %'!$T$50),"")</f>
        <v/>
      </c>
      <c r="V52" s="167" t="str">
        <f>IFERROR(SUMIFS('caseload data'!F:F,'caseload data'!$C:$C,'custody %'!$T$50,'caseload data'!$D:$D,"PO",'caseload data'!$B:$B,"custody")/SUMIFS('caseload data'!F:F,'caseload data'!$B:$B,"custody",'caseload data'!$C:$C,'custody %'!$T$50),"")</f>
        <v/>
      </c>
      <c r="W52" s="167" t="str">
        <f>IFERROR(SUMIFS('caseload data'!G:G,'caseload data'!$C:$C,'custody %'!$T$50,'caseload data'!$D:$D,"PO",'caseload data'!$B:$B,"custody")/SUMIFS('caseload data'!G:G,'caseload data'!$B:$B,"custody",'caseload data'!$C:$C,'custody %'!$T$50),"")</f>
        <v/>
      </c>
      <c r="X52" s="167" t="str">
        <f>IFERROR(SUMIFS('caseload data'!H:H,'caseload data'!$C:$C,'custody %'!$T$50,'caseload data'!$D:$D,"PO",'caseload data'!$B:$B,"custody")/SUMIFS('caseload data'!H:H,'caseload data'!$B:$B,"custody",'caseload data'!$C:$C,'custody %'!$T$50),"")</f>
        <v/>
      </c>
      <c r="Y52" s="167" t="str">
        <f>IFERROR(SUMIFS('caseload data'!I:I,'caseload data'!$C:$C,'custody %'!$T$50,'caseload data'!$D:$D,"PO",'caseload data'!$B:$B,"custody")/SUMIFS('caseload data'!I:I,'caseload data'!$B:$B,"custody",'caseload data'!$C:$C,'custody %'!$T$50),"")</f>
        <v/>
      </c>
      <c r="Z52" s="167" t="str">
        <f>IFERROR(SUMIFS('caseload data'!J:J,'caseload data'!$C:$C,'custody %'!$T$50,'caseload data'!$D:$D,"PO",'caseload data'!$B:$B,"custody")/SUMIFS('caseload data'!J:J,'caseload data'!$B:$B,"custody",'caseload data'!$C:$C,'custody %'!$T$50),"")</f>
        <v/>
      </c>
      <c r="AA52" s="167" t="str">
        <f>IFERROR(SUMIFS('caseload data'!K:K,'caseload data'!$C:$C,'custody %'!$T$50,'caseload data'!$D:$D,"PO",'caseload data'!$B:$B,"custody")/SUMIFS('caseload data'!K:K,'caseload data'!$B:$B,"custody",'caseload data'!$C:$C,'custody %'!$T$50),"")</f>
        <v/>
      </c>
      <c r="AB52" s="167" t="str">
        <f>IFERROR(SUMIFS('caseload data'!L:L,'caseload data'!$C:$C,'custody %'!$T$50,'caseload data'!$D:$D,"PO",'caseload data'!$B:$B,"custody")/SUMIFS('caseload data'!L:L,'caseload data'!$B:$B,"custody",'caseload data'!$C:$C,'custody %'!$T$50),"")</f>
        <v/>
      </c>
      <c r="AC52" s="167" t="str">
        <f>IFERROR(SUMIFS('caseload data'!M:M,'caseload data'!$C:$C,'custody %'!$T$50,'caseload data'!$D:$D,"PO",'caseload data'!$B:$B,"custody")/SUMIFS('caseload data'!M:M,'caseload data'!$B:$B,"custody",'caseload data'!$C:$C,'custody %'!$T$50),"")</f>
        <v/>
      </c>
      <c r="AD52" s="167" t="str">
        <f>IFERROR(SUMIFS('caseload data'!N:N,'caseload data'!$C:$C,'custody %'!$T$50,'caseload data'!$D:$D,"PO",'caseload data'!$B:$B,"custody")/SUMIFS('caseload data'!N:N,'caseload data'!$B:$B,"custody",'caseload data'!$C:$C,'custody %'!$T$50),"")</f>
        <v/>
      </c>
      <c r="AE52" s="167" t="str">
        <f>IFERROR(SUMIFS('caseload data'!O:O,'caseload data'!$C:$C,'custody %'!$T$50,'caseload data'!$D:$D,"PO",'caseload data'!$B:$B,"custody")/SUMIFS('caseload data'!O:O,'caseload data'!$B:$B,"custody",'caseload data'!$C:$C,'custody %'!$T$50),"")</f>
        <v/>
      </c>
      <c r="AF52" s="167" t="str">
        <f>IFERROR(SUMIFS('caseload data'!P:P,'caseload data'!$C:$C,'custody %'!$T$50,'caseload data'!$D:$D,"PO",'caseload data'!$B:$B,"custody")/SUMIFS('caseload data'!P:P,'caseload data'!$B:$B,"custody",'caseload data'!$C:$C,'custody %'!$T$50),"")</f>
        <v/>
      </c>
      <c r="AG52" s="167" t="str">
        <f>IFERROR(SUMIFS('caseload data'!Q:Q,'caseload data'!$C:$C,'custody %'!$T$50,'caseload data'!$D:$D,"PO",'caseload data'!$B:$B,"custody")/SUMIFS('caseload data'!Q:Q,'caseload data'!$B:$B,"custody",'caseload data'!$C:$C,'custody %'!$T$50),"")</f>
        <v/>
      </c>
      <c r="AH52" s="167" t="str">
        <f>IFERROR(SUMIFS('caseload data'!R:R,'caseload data'!$C:$C,'custody %'!$T$50,'caseload data'!$D:$D,"PO",'caseload data'!$B:$B,"custody")/SUMIFS('caseload data'!R:R,'caseload data'!$B:$B,"custody",'caseload data'!$C:$C,'custody %'!$T$50),"")</f>
        <v/>
      </c>
      <c r="AI52" s="167"/>
      <c r="AJ52" s="167"/>
    </row>
    <row r="53" spans="2:36" x14ac:dyDescent="0.15">
      <c r="B53" s="97" t="s">
        <v>1007</v>
      </c>
      <c r="C53" s="167" t="str">
        <f>IFERROR(SUMIFS('caseload data'!E:E,'caseload data'!$C:$C,'custody %'!$B$50,'caseload data'!$D:$D,"PSO",'caseload data'!$B:$B,"custody")/SUMIFS('caseload data'!E:E,'caseload data'!$B:$B,"custody",'caseload data'!$C:$C,'custody %'!$B$50),"")</f>
        <v/>
      </c>
      <c r="D53" s="167" t="str">
        <f>IFERROR(SUMIFS('caseload data'!F:F,'caseload data'!$C:$C,'custody %'!$B$50,'caseload data'!$D:$D,"PSO",'caseload data'!$B:$B,"custody")/SUMIFS('caseload data'!F:F,'caseload data'!$B:$B,"custody",'caseload data'!$C:$C,'custody %'!$B$50),"")</f>
        <v/>
      </c>
      <c r="E53" s="167" t="str">
        <f>IFERROR(SUMIFS('caseload data'!G:G,'caseload data'!$C:$C,'custody %'!$B$50,'caseload data'!$D:$D,"PSO",'caseload data'!$B:$B,"custody")/SUMIFS('caseload data'!G:G,'caseload data'!$B:$B,"custody",'caseload data'!$C:$C,'custody %'!$B$50),"")</f>
        <v/>
      </c>
      <c r="F53" s="167" t="str">
        <f>IFERROR(SUMIFS('caseload data'!H:H,'caseload data'!$C:$C,'custody %'!$B$50,'caseload data'!$D:$D,"PSO",'caseload data'!$B:$B,"custody")/SUMIFS('caseload data'!H:H,'caseload data'!$B:$B,"custody",'caseload data'!$C:$C,'custody %'!$B$50),"")</f>
        <v/>
      </c>
      <c r="G53" s="167" t="str">
        <f>IFERROR(SUMIFS('caseload data'!I:I,'caseload data'!$C:$C,'custody %'!$B$50,'caseload data'!$D:$D,"PSO",'caseload data'!$B:$B,"custody")/SUMIFS('caseload data'!I:I,'caseload data'!$B:$B,"custody",'caseload data'!$C:$C,'custody %'!$B$50),"")</f>
        <v/>
      </c>
      <c r="H53" s="167" t="str">
        <f>IFERROR(SUMIFS('caseload data'!J:J,'caseload data'!$C:$C,'custody %'!$B$50,'caseload data'!$D:$D,"PSO",'caseload data'!$B:$B,"custody")/SUMIFS('caseload data'!J:J,'caseload data'!$B:$B,"custody",'caseload data'!$C:$C,'custody %'!$B$50),"")</f>
        <v/>
      </c>
      <c r="I53" s="167" t="str">
        <f>IFERROR(SUMIFS('caseload data'!K:K,'caseload data'!$C:$C,'custody %'!$B$50,'caseload data'!$D:$D,"PSO",'caseload data'!$B:$B,"custody")/SUMIFS('caseload data'!K:K,'caseload data'!$B:$B,"custody",'caseload data'!$C:$C,'custody %'!$B$50),"")</f>
        <v/>
      </c>
      <c r="J53" s="167" t="str">
        <f>IFERROR(SUMIFS('caseload data'!L:L,'caseload data'!$C:$C,'custody %'!$B$50,'caseload data'!$D:$D,"PSO",'caseload data'!$B:$B,"custody")/SUMIFS('caseload data'!L:L,'caseload data'!$B:$B,"custody",'caseload data'!$C:$C,'custody %'!$B$50),"")</f>
        <v/>
      </c>
      <c r="K53" s="167" t="str">
        <f>IFERROR(SUMIFS('caseload data'!M:M,'caseload data'!$C:$C,'custody %'!$B$50,'caseload data'!$D:$D,"PSO",'caseload data'!$B:$B,"custody")/SUMIFS('caseload data'!M:M,'caseload data'!$B:$B,"custody",'caseload data'!$C:$C,'custody %'!$B$50),"")</f>
        <v/>
      </c>
      <c r="L53" s="167" t="str">
        <f>IFERROR(SUMIFS('caseload data'!N:N,'caseload data'!$C:$C,'custody %'!$B$50,'caseload data'!$D:$D,"PSO",'caseload data'!$B:$B,"custody")/SUMIFS('caseload data'!N:N,'caseload data'!$B:$B,"custody",'caseload data'!$C:$C,'custody %'!$B$50),"")</f>
        <v/>
      </c>
      <c r="M53" s="167" t="str">
        <f>IFERROR(SUMIFS('caseload data'!O:O,'caseload data'!$C:$C,'custody %'!$B$50,'caseload data'!$D:$D,"PSO",'caseload data'!$B:$B,"custody")/SUMIFS('caseload data'!O:O,'caseload data'!$B:$B,"custody",'caseload data'!$C:$C,'custody %'!$B$50),"")</f>
        <v/>
      </c>
      <c r="N53" s="167" t="str">
        <f>IFERROR(SUMIFS('caseload data'!P:P,'caseload data'!$C:$C,'custody %'!$B$50,'caseload data'!$D:$D,"PSO",'caseload data'!$B:$B,"custody")/SUMIFS('caseload data'!P:P,'caseload data'!$B:$B,"custody",'caseload data'!$C:$C,'custody %'!$B$50),"")</f>
        <v/>
      </c>
      <c r="O53" s="167" t="str">
        <f>IFERROR(SUMIFS('caseload data'!Q:Q,'caseload data'!$C:$C,'custody %'!$B$50,'caseload data'!$D:$D,"PSO",'caseload data'!$B:$B,"custody")/SUMIFS('caseload data'!Q:Q,'caseload data'!$B:$B,"custody",'caseload data'!$C:$C,'custody %'!$B$50),"")</f>
        <v/>
      </c>
      <c r="P53" s="167" t="str">
        <f>IFERROR(SUMIFS('caseload data'!R:R,'caseload data'!$C:$C,'custody %'!$B$50,'caseload data'!$D:$D,"PSO",'caseload data'!$B:$B,"custody")/SUMIFS('caseload data'!R:R,'caseload data'!$B:$B,"custody",'caseload data'!$C:$C,'custody %'!$B$50),"")</f>
        <v/>
      </c>
      <c r="Q53" s="167" t="str">
        <f>IFERROR(SUMIFS('caseload data'!S:S,'caseload data'!$C:$C,'custody %'!$B$50,'caseload data'!$D:$D,"PSO",'caseload data'!$B:$B,"custody")/SUMIFS('caseload data'!S:S,'caseload data'!$B:$B,"custody",'caseload data'!$C:$C,'custody %'!$B$50),"")</f>
        <v/>
      </c>
      <c r="R53" s="167" t="str">
        <f>IFERROR(SUMIFS('caseload data'!T:T,'caseload data'!$C:$C,'custody %'!$B$50,'caseload data'!$D:$D,"PSO",'caseload data'!$B:$B,"custody")/SUMIFS('caseload data'!T:T,'caseload data'!$B:$B,"custody",'caseload data'!$C:$C,'custody %'!$B$50),"")</f>
        <v/>
      </c>
      <c r="S53" s="64"/>
      <c r="T53" s="97" t="s">
        <v>1007</v>
      </c>
      <c r="U53" s="167" t="str">
        <f>IFERROR(SUMIFS('caseload data'!E:E,'caseload data'!$C:$C,'custody %'!$T$50,'caseload data'!$D:$D,"PSO",'caseload data'!$B:$B,"custody")/SUMIFS('caseload data'!E:E,'caseload data'!$B:$B,"custody",'caseload data'!$C:$C,'custody %'!$T$50),"")</f>
        <v/>
      </c>
      <c r="V53" s="167" t="str">
        <f>IFERROR(SUMIFS('caseload data'!F:F,'caseload data'!$C:$C,'custody %'!$T$50,'caseload data'!$D:$D,"PSO",'caseload data'!$B:$B,"custody")/SUMIFS('caseload data'!F:F,'caseload data'!$B:$B,"custody",'caseload data'!$C:$C,'custody %'!$T$50),"")</f>
        <v/>
      </c>
      <c r="W53" s="167" t="str">
        <f>IFERROR(SUMIFS('caseload data'!G:G,'caseload data'!$C:$C,'custody %'!$T$50,'caseload data'!$D:$D,"PSO",'caseload data'!$B:$B,"custody")/SUMIFS('caseload data'!G:G,'caseload data'!$B:$B,"custody",'caseload data'!$C:$C,'custody %'!$T$50),"")</f>
        <v/>
      </c>
      <c r="X53" s="167" t="str">
        <f>IFERROR(SUMIFS('caseload data'!H:H,'caseload data'!$C:$C,'custody %'!$T$50,'caseload data'!$D:$D,"PSO",'caseload data'!$B:$B,"custody")/SUMIFS('caseload data'!H:H,'caseload data'!$B:$B,"custody",'caseload data'!$C:$C,'custody %'!$T$50),"")</f>
        <v/>
      </c>
      <c r="Y53" s="167" t="str">
        <f>IFERROR(SUMIFS('caseload data'!I:I,'caseload data'!$C:$C,'custody %'!$T$50,'caseload data'!$D:$D,"PSO",'caseload data'!$B:$B,"custody")/SUMIFS('caseload data'!I:I,'caseload data'!$B:$B,"custody",'caseload data'!$C:$C,'custody %'!$T$50),"")</f>
        <v/>
      </c>
      <c r="Z53" s="167" t="str">
        <f>IFERROR(SUMIFS('caseload data'!J:J,'caseload data'!$C:$C,'custody %'!$T$50,'caseload data'!$D:$D,"PSO",'caseload data'!$B:$B,"custody")/SUMIFS('caseload data'!J:J,'caseload data'!$B:$B,"custody",'caseload data'!$C:$C,'custody %'!$T$50),"")</f>
        <v/>
      </c>
      <c r="AA53" s="167" t="str">
        <f>IFERROR(SUMIFS('caseload data'!K:K,'caseload data'!$C:$C,'custody %'!$T$50,'caseload data'!$D:$D,"PSO",'caseload data'!$B:$B,"custody")/SUMIFS('caseload data'!K:K,'caseload data'!$B:$B,"custody",'caseload data'!$C:$C,'custody %'!$T$50),"")</f>
        <v/>
      </c>
      <c r="AB53" s="167" t="str">
        <f>IFERROR(SUMIFS('caseload data'!L:L,'caseload data'!$C:$C,'custody %'!$T$50,'caseload data'!$D:$D,"PSO",'caseload data'!$B:$B,"custody")/SUMIFS('caseload data'!L:L,'caseload data'!$B:$B,"custody",'caseload data'!$C:$C,'custody %'!$T$50),"")</f>
        <v/>
      </c>
      <c r="AC53" s="167" t="str">
        <f>IFERROR(SUMIFS('caseload data'!M:M,'caseload data'!$C:$C,'custody %'!$T$50,'caseload data'!$D:$D,"PSO",'caseload data'!$B:$B,"custody")/SUMIFS('caseload data'!M:M,'caseload data'!$B:$B,"custody",'caseload data'!$C:$C,'custody %'!$T$50),"")</f>
        <v/>
      </c>
      <c r="AD53" s="167" t="str">
        <f>IFERROR(SUMIFS('caseload data'!N:N,'caseload data'!$C:$C,'custody %'!$T$50,'caseload data'!$D:$D,"PSO",'caseload data'!$B:$B,"custody")/SUMIFS('caseload data'!N:N,'caseload data'!$B:$B,"custody",'caseload data'!$C:$C,'custody %'!$T$50),"")</f>
        <v/>
      </c>
      <c r="AE53" s="167" t="str">
        <f>IFERROR(SUMIFS('caseload data'!O:O,'caseload data'!$C:$C,'custody %'!$T$50,'caseload data'!$D:$D,"PSO",'caseload data'!$B:$B,"custody")/SUMIFS('caseload data'!O:O,'caseload data'!$B:$B,"custody",'caseload data'!$C:$C,'custody %'!$T$50),"")</f>
        <v/>
      </c>
      <c r="AF53" s="167" t="str">
        <f>IFERROR(SUMIFS('caseload data'!P:P,'caseload data'!$C:$C,'custody %'!$T$50,'caseload data'!$D:$D,"PSO",'caseload data'!$B:$B,"custody")/SUMIFS('caseload data'!P:P,'caseload data'!$B:$B,"custody",'caseload data'!$C:$C,'custody %'!$T$50),"")</f>
        <v/>
      </c>
      <c r="AG53" s="167" t="str">
        <f>IFERROR(SUMIFS('caseload data'!Q:Q,'caseload data'!$C:$C,'custody %'!$T$50,'caseload data'!$D:$D,"PSO",'caseload data'!$B:$B,"custody")/SUMIFS('caseload data'!Q:Q,'caseload data'!$B:$B,"custody",'caseload data'!$C:$C,'custody %'!$T$50),"")</f>
        <v/>
      </c>
      <c r="AH53" s="167" t="str">
        <f>IFERROR(SUMIFS('caseload data'!R:R,'caseload data'!$C:$C,'custody %'!$T$50,'caseload data'!$D:$D,"PSO",'caseload data'!$B:$B,"custody")/SUMIFS('caseload data'!R:R,'caseload data'!$B:$B,"custody",'caseload data'!$C:$C,'custody %'!$T$50),"")</f>
        <v/>
      </c>
      <c r="AI53" s="167"/>
      <c r="AJ53" s="167"/>
    </row>
    <row r="54" spans="2:36" x14ac:dyDescent="0.15">
      <c r="B54" s="97" t="s">
        <v>1008</v>
      </c>
      <c r="C54" s="167" t="str">
        <f>IFERROR(SUMIFS('caseload data'!E:E,'caseload data'!$C:$C,'custody %'!$B$50,'caseload data'!$D:$D,"TPO",'caseload data'!$B:$B,"custody")/SUMIFS('caseload data'!E:E,'caseload data'!$B:$B,"custody",'caseload data'!$C:$C,'custody %'!$B$50),"")</f>
        <v/>
      </c>
      <c r="D54" s="167" t="str">
        <f>IFERROR(SUMIFS('caseload data'!F:F,'caseload data'!$C:$C,'custody %'!$B$50,'caseload data'!$D:$D,"TPO",'caseload data'!$B:$B,"custody")/SUMIFS('caseload data'!F:F,'caseload data'!$B:$B,"custody",'caseload data'!$C:$C,'custody %'!$B$50),"")</f>
        <v/>
      </c>
      <c r="E54" s="167" t="str">
        <f>IFERROR(SUMIFS('caseload data'!G:G,'caseload data'!$C:$C,'custody %'!$B$50,'caseload data'!$D:$D,"TPO",'caseload data'!$B:$B,"custody")/SUMIFS('caseload data'!G:G,'caseload data'!$B:$B,"custody",'caseload data'!$C:$C,'custody %'!$B$50),"")</f>
        <v/>
      </c>
      <c r="F54" s="167" t="str">
        <f>IFERROR(SUMIFS('caseload data'!H:H,'caseload data'!$C:$C,'custody %'!$B$50,'caseload data'!$D:$D,"TPO",'caseload data'!$B:$B,"custody")/SUMIFS('caseload data'!H:H,'caseload data'!$B:$B,"custody",'caseload data'!$C:$C,'custody %'!$B$50),"")</f>
        <v/>
      </c>
      <c r="G54" s="167" t="str">
        <f>IFERROR(SUMIFS('caseload data'!I:I,'caseload data'!$C:$C,'custody %'!$B$50,'caseload data'!$D:$D,"TPO",'caseload data'!$B:$B,"custody")/SUMIFS('caseload data'!I:I,'caseload data'!$B:$B,"custody",'caseload data'!$C:$C,'custody %'!$B$50),"")</f>
        <v/>
      </c>
      <c r="H54" s="167" t="str">
        <f>IFERROR(SUMIFS('caseload data'!J:J,'caseload data'!$C:$C,'custody %'!$B$50,'caseload data'!$D:$D,"TPO",'caseload data'!$B:$B,"custody")/SUMIFS('caseload data'!J:J,'caseload data'!$B:$B,"custody",'caseload data'!$C:$C,'custody %'!$B$50),"")</f>
        <v/>
      </c>
      <c r="I54" s="167" t="str">
        <f>IFERROR(SUMIFS('caseload data'!K:K,'caseload data'!$C:$C,'custody %'!$B$50,'caseload data'!$D:$D,"TPO",'caseload data'!$B:$B,"custody")/SUMIFS('caseload data'!K:K,'caseload data'!$B:$B,"custody",'caseload data'!$C:$C,'custody %'!$B$50),"")</f>
        <v/>
      </c>
      <c r="J54" s="167" t="str">
        <f>IFERROR(SUMIFS('caseload data'!L:L,'caseload data'!$C:$C,'custody %'!$B$50,'caseload data'!$D:$D,"TPO",'caseload data'!$B:$B,"custody")/SUMIFS('caseload data'!L:L,'caseload data'!$B:$B,"custody",'caseload data'!$C:$C,'custody %'!$B$50),"")</f>
        <v/>
      </c>
      <c r="K54" s="167" t="str">
        <f>IFERROR(SUMIFS('caseload data'!M:M,'caseload data'!$C:$C,'custody %'!$B$50,'caseload data'!$D:$D,"TPO",'caseload data'!$B:$B,"custody")/SUMIFS('caseload data'!M:M,'caseload data'!$B:$B,"custody",'caseload data'!$C:$C,'custody %'!$B$50),"")</f>
        <v/>
      </c>
      <c r="L54" s="167" t="str">
        <f>IFERROR(SUMIFS('caseload data'!N:N,'caseload data'!$C:$C,'custody %'!$B$50,'caseload data'!$D:$D,"TPO",'caseload data'!$B:$B,"custody")/SUMIFS('caseload data'!N:N,'caseload data'!$B:$B,"custody",'caseload data'!$C:$C,'custody %'!$B$50),"")</f>
        <v/>
      </c>
      <c r="M54" s="167" t="str">
        <f>IFERROR(SUMIFS('caseload data'!O:O,'caseload data'!$C:$C,'custody %'!$B$50,'caseload data'!$D:$D,"TPO",'caseload data'!$B:$B,"custody")/SUMIFS('caseload data'!O:O,'caseload data'!$B:$B,"custody",'caseload data'!$C:$C,'custody %'!$B$50),"")</f>
        <v/>
      </c>
      <c r="N54" s="167" t="str">
        <f>IFERROR(SUMIFS('caseload data'!P:P,'caseload data'!$C:$C,'custody %'!$B$50,'caseload data'!$D:$D,"TPO",'caseload data'!$B:$B,"custody")/SUMIFS('caseload data'!P:P,'caseload data'!$B:$B,"custody",'caseload data'!$C:$C,'custody %'!$B$50),"")</f>
        <v/>
      </c>
      <c r="O54" s="167" t="str">
        <f>IFERROR(SUMIFS('caseload data'!Q:Q,'caseload data'!$C:$C,'custody %'!$B$50,'caseload data'!$D:$D,"TPO",'caseload data'!$B:$B,"custody")/SUMIFS('caseload data'!Q:Q,'caseload data'!$B:$B,"custody",'caseload data'!$C:$C,'custody %'!$B$50),"")</f>
        <v/>
      </c>
      <c r="P54" s="167" t="str">
        <f>IFERROR(SUMIFS('caseload data'!R:R,'caseload data'!$C:$C,'custody %'!$B$50,'caseload data'!$D:$D,"TPO",'caseload data'!$B:$B,"custody")/SUMIFS('caseload data'!R:R,'caseload data'!$B:$B,"custody",'caseload data'!$C:$C,'custody %'!$B$50),"")</f>
        <v/>
      </c>
      <c r="Q54" s="167" t="str">
        <f>IFERROR(SUMIFS('caseload data'!S:S,'caseload data'!$C:$C,'custody %'!$B$50,'caseload data'!$D:$D,"TPO",'caseload data'!$B:$B,"custody")/SUMIFS('caseload data'!S:S,'caseload data'!$B:$B,"custody",'caseload data'!$C:$C,'custody %'!$B$50),"")</f>
        <v/>
      </c>
      <c r="R54" s="167" t="str">
        <f>IFERROR(SUMIFS('caseload data'!T:T,'caseload data'!$C:$C,'custody %'!$B$50,'caseload data'!$D:$D,"TPO",'caseload data'!$B:$B,"custody")/SUMIFS('caseload data'!T:T,'caseload data'!$B:$B,"custody",'caseload data'!$C:$C,'custody %'!$B$50),"")</f>
        <v/>
      </c>
      <c r="S54" s="64"/>
      <c r="T54" s="97" t="s">
        <v>1008</v>
      </c>
      <c r="U54" s="167" t="str">
        <f>IFERROR(SUMIFS('caseload data'!E:E,'caseload data'!$C:$C,'custody %'!$T$50,'caseload data'!$D:$D,"TPO",'caseload data'!$B:$B,"custody")/SUMIFS('caseload data'!E:E,'caseload data'!$B:$B,"custody",'caseload data'!$C:$C,'custody %'!$T$50),"")</f>
        <v/>
      </c>
      <c r="V54" s="167" t="str">
        <f>IFERROR(SUMIFS('caseload data'!F:F,'caseload data'!$C:$C,'custody %'!$T$50,'caseload data'!$D:$D,"TPO",'caseload data'!$B:$B,"custody")/SUMIFS('caseload data'!F:F,'caseload data'!$B:$B,"custody",'caseload data'!$C:$C,'custody %'!$T$50),"")</f>
        <v/>
      </c>
      <c r="W54" s="167" t="str">
        <f>IFERROR(SUMIFS('caseload data'!G:G,'caseload data'!$C:$C,'custody %'!$T$50,'caseload data'!$D:$D,"TPO",'caseload data'!$B:$B,"custody")/SUMIFS('caseload data'!G:G,'caseload data'!$B:$B,"custody",'caseload data'!$C:$C,'custody %'!$T$50),"")</f>
        <v/>
      </c>
      <c r="X54" s="167" t="str">
        <f>IFERROR(SUMIFS('caseload data'!H:H,'caseload data'!$C:$C,'custody %'!$T$50,'caseload data'!$D:$D,"TPO",'caseload data'!$B:$B,"custody")/SUMIFS('caseload data'!H:H,'caseload data'!$B:$B,"custody",'caseload data'!$C:$C,'custody %'!$T$50),"")</f>
        <v/>
      </c>
      <c r="Y54" s="167" t="str">
        <f>IFERROR(SUMIFS('caseload data'!I:I,'caseload data'!$C:$C,'custody %'!$T$50,'caseload data'!$D:$D,"TPO",'caseload data'!$B:$B,"custody")/SUMIFS('caseload data'!I:I,'caseload data'!$B:$B,"custody",'caseload data'!$C:$C,'custody %'!$T$50),"")</f>
        <v/>
      </c>
      <c r="Z54" s="167" t="str">
        <f>IFERROR(SUMIFS('caseload data'!J:J,'caseload data'!$C:$C,'custody %'!$T$50,'caseload data'!$D:$D,"TPO",'caseload data'!$B:$B,"custody")/SUMIFS('caseload data'!J:J,'caseload data'!$B:$B,"custody",'caseload data'!$C:$C,'custody %'!$T$50),"")</f>
        <v/>
      </c>
      <c r="AA54" s="167" t="str">
        <f>IFERROR(SUMIFS('caseload data'!K:K,'caseload data'!$C:$C,'custody %'!$T$50,'caseload data'!$D:$D,"TPO",'caseload data'!$B:$B,"custody")/SUMIFS('caseload data'!K:K,'caseload data'!$B:$B,"custody",'caseload data'!$C:$C,'custody %'!$T$50),"")</f>
        <v/>
      </c>
      <c r="AB54" s="167" t="str">
        <f>IFERROR(SUMIFS('caseload data'!L:L,'caseload data'!$C:$C,'custody %'!$T$50,'caseload data'!$D:$D,"TPO",'caseload data'!$B:$B,"custody")/SUMIFS('caseload data'!L:L,'caseload data'!$B:$B,"custody",'caseload data'!$C:$C,'custody %'!$T$50),"")</f>
        <v/>
      </c>
      <c r="AC54" s="167" t="str">
        <f>IFERROR(SUMIFS('caseload data'!M:M,'caseload data'!$C:$C,'custody %'!$T$50,'caseload data'!$D:$D,"TPO",'caseload data'!$B:$B,"custody")/SUMIFS('caseload data'!M:M,'caseload data'!$B:$B,"custody",'caseload data'!$C:$C,'custody %'!$T$50),"")</f>
        <v/>
      </c>
      <c r="AD54" s="167" t="str">
        <f>IFERROR(SUMIFS('caseload data'!N:N,'caseload data'!$C:$C,'custody %'!$T$50,'caseload data'!$D:$D,"TPO",'caseload data'!$B:$B,"custody")/SUMIFS('caseload data'!N:N,'caseload data'!$B:$B,"custody",'caseload data'!$C:$C,'custody %'!$T$50),"")</f>
        <v/>
      </c>
      <c r="AE54" s="167" t="str">
        <f>IFERROR(SUMIFS('caseload data'!O:O,'caseload data'!$C:$C,'custody %'!$T$50,'caseload data'!$D:$D,"TPO",'caseload data'!$B:$B,"custody")/SUMIFS('caseload data'!O:O,'caseload data'!$B:$B,"custody",'caseload data'!$C:$C,'custody %'!$T$50),"")</f>
        <v/>
      </c>
      <c r="AF54" s="167" t="str">
        <f>IFERROR(SUMIFS('caseload data'!P:P,'caseload data'!$C:$C,'custody %'!$T$50,'caseload data'!$D:$D,"TPO",'caseload data'!$B:$B,"custody")/SUMIFS('caseload data'!P:P,'caseload data'!$B:$B,"custody",'caseload data'!$C:$C,'custody %'!$T$50),"")</f>
        <v/>
      </c>
      <c r="AG54" s="167" t="str">
        <f>IFERROR(SUMIFS('caseload data'!Q:Q,'caseload data'!$C:$C,'custody %'!$T$50,'caseload data'!$D:$D,"TPO",'caseload data'!$B:$B,"custody")/SUMIFS('caseload data'!Q:Q,'caseload data'!$B:$B,"custody",'caseload data'!$C:$C,'custody %'!$T$50),"")</f>
        <v/>
      </c>
      <c r="AH54" s="167" t="str">
        <f>IFERROR(SUMIFS('caseload data'!R:R,'caseload data'!$C:$C,'custody %'!$T$50,'caseload data'!$D:$D,"TPO",'caseload data'!$B:$B,"custody")/SUMIFS('caseload data'!R:R,'caseload data'!$B:$B,"custody",'caseload data'!$C:$C,'custody %'!$T$50),"")</f>
        <v/>
      </c>
      <c r="AI54" s="167"/>
      <c r="AJ54" s="167"/>
    </row>
    <row r="55" spans="2:36" x14ac:dyDescent="0.15">
      <c r="B55" s="98" t="s">
        <v>1009</v>
      </c>
      <c r="C55" s="167" t="str">
        <f>IFERROR(SUMIFS('caseload data'!E:E,'caseload data'!$C:$C,'custody %'!$B$50,'caseload data'!$D:$D,"SPO",'caseload data'!$B:$B,"custody")/SUMIFS('caseload data'!E:E,'caseload data'!$B:$B,"custody",'caseload data'!$C:$C,'custody %'!$B$50),"")</f>
        <v/>
      </c>
      <c r="D55" s="167" t="str">
        <f>IFERROR(SUMIFS('caseload data'!F:F,'caseload data'!$C:$C,'custody %'!$B$50,'caseload data'!$D:$D,"SPO",'caseload data'!$B:$B,"custody")/SUMIFS('caseload data'!F:F,'caseload data'!$B:$B,"custody",'caseload data'!$C:$C,'custody %'!$B$50),"")</f>
        <v/>
      </c>
      <c r="E55" s="167" t="str">
        <f>IFERROR(SUMIFS('caseload data'!G:G,'caseload data'!$C:$C,'custody %'!$B$50,'caseload data'!$D:$D,"SPO",'caseload data'!$B:$B,"custody")/SUMIFS('caseload data'!G:G,'caseload data'!$B:$B,"custody",'caseload data'!$C:$C,'custody %'!$B$50),"")</f>
        <v/>
      </c>
      <c r="F55" s="167" t="str">
        <f>IFERROR(SUMIFS('caseload data'!H:H,'caseload data'!$C:$C,'custody %'!$B$50,'caseload data'!$D:$D,"SPO",'caseload data'!$B:$B,"custody")/SUMIFS('caseload data'!H:H,'caseload data'!$B:$B,"custody",'caseload data'!$C:$C,'custody %'!$B$50),"")</f>
        <v/>
      </c>
      <c r="G55" s="167" t="str">
        <f>IFERROR(SUMIFS('caseload data'!I:I,'caseload data'!$C:$C,'custody %'!$B$50,'caseload data'!$D:$D,"SPO",'caseload data'!$B:$B,"custody")/SUMIFS('caseload data'!I:I,'caseload data'!$B:$B,"custody",'caseload data'!$C:$C,'custody %'!$B$50),"")</f>
        <v/>
      </c>
      <c r="H55" s="167" t="str">
        <f>IFERROR(SUMIFS('caseload data'!J:J,'caseload data'!$C:$C,'custody %'!$B$50,'caseload data'!$D:$D,"SPO",'caseload data'!$B:$B,"custody")/SUMIFS('caseload data'!J:J,'caseload data'!$B:$B,"custody",'caseload data'!$C:$C,'custody %'!$B$50),"")</f>
        <v/>
      </c>
      <c r="I55" s="167" t="str">
        <f>IFERROR(SUMIFS('caseload data'!K:K,'caseload data'!$C:$C,'custody %'!$B$50,'caseload data'!$D:$D,"SPO",'caseload data'!$B:$B,"custody")/SUMIFS('caseload data'!K:K,'caseload data'!$B:$B,"custody",'caseload data'!$C:$C,'custody %'!$B$50),"")</f>
        <v/>
      </c>
      <c r="J55" s="167" t="str">
        <f>IFERROR(SUMIFS('caseload data'!L:L,'caseload data'!$C:$C,'custody %'!$B$50,'caseload data'!$D:$D,"SPO",'caseload data'!$B:$B,"custody")/SUMIFS('caseload data'!L:L,'caseload data'!$B:$B,"custody",'caseload data'!$C:$C,'custody %'!$B$50),"")</f>
        <v/>
      </c>
      <c r="K55" s="167" t="str">
        <f>IFERROR(SUMIFS('caseload data'!M:M,'caseload data'!$C:$C,'custody %'!$B$50,'caseload data'!$D:$D,"SPO",'caseload data'!$B:$B,"custody")/SUMIFS('caseload data'!M:M,'caseload data'!$B:$B,"custody",'caseload data'!$C:$C,'custody %'!$B$50),"")</f>
        <v/>
      </c>
      <c r="L55" s="167" t="str">
        <f>IFERROR(SUMIFS('caseload data'!N:N,'caseload data'!$C:$C,'custody %'!$B$50,'caseload data'!$D:$D,"SPO",'caseload data'!$B:$B,"custody")/SUMIFS('caseload data'!N:N,'caseload data'!$B:$B,"custody",'caseload data'!$C:$C,'custody %'!$B$50),"")</f>
        <v/>
      </c>
      <c r="M55" s="167" t="str">
        <f>IFERROR(SUMIFS('caseload data'!O:O,'caseload data'!$C:$C,'custody %'!$B$50,'caseload data'!$D:$D,"SPO",'caseload data'!$B:$B,"custody")/SUMIFS('caseload data'!O:O,'caseload data'!$B:$B,"custody",'caseload data'!$C:$C,'custody %'!$B$50),"")</f>
        <v/>
      </c>
      <c r="N55" s="167" t="str">
        <f>IFERROR(SUMIFS('caseload data'!P:P,'caseload data'!$C:$C,'custody %'!$B$50,'caseload data'!$D:$D,"SPO",'caseload data'!$B:$B,"custody")/SUMIFS('caseload data'!P:P,'caseload data'!$B:$B,"custody",'caseload data'!$C:$C,'custody %'!$B$50),"")</f>
        <v/>
      </c>
      <c r="O55" s="167" t="str">
        <f>IFERROR(SUMIFS('caseload data'!Q:Q,'caseload data'!$C:$C,'custody %'!$B$50,'caseload data'!$D:$D,"SPO",'caseload data'!$B:$B,"custody")/SUMIFS('caseload data'!Q:Q,'caseload data'!$B:$B,"custody",'caseload data'!$C:$C,'custody %'!$B$50),"")</f>
        <v/>
      </c>
      <c r="P55" s="167" t="str">
        <f>IFERROR(SUMIFS('caseload data'!R:R,'caseload data'!$C:$C,'custody %'!$B$50,'caseload data'!$D:$D,"SPO",'caseload data'!$B:$B,"custody")/SUMIFS('caseload data'!R:R,'caseload data'!$B:$B,"custody",'caseload data'!$C:$C,'custody %'!$B$50),"")</f>
        <v/>
      </c>
      <c r="Q55" s="167" t="str">
        <f>IFERROR(SUMIFS('caseload data'!S:S,'caseload data'!$C:$C,'custody %'!$B$50,'caseload data'!$D:$D,"SPO",'caseload data'!$B:$B,"custody")/SUMIFS('caseload data'!S:S,'caseload data'!$B:$B,"custody",'caseload data'!$C:$C,'custody %'!$B$50),"")</f>
        <v/>
      </c>
      <c r="R55" s="167" t="str">
        <f>IFERROR(SUMIFS('caseload data'!T:T,'caseload data'!$C:$C,'custody %'!$B$50,'caseload data'!$D:$D,"SPO",'caseload data'!$B:$B,"custody")/SUMIFS('caseload data'!T:T,'caseload data'!$B:$B,"custody",'caseload data'!$C:$C,'custody %'!$B$50),"")</f>
        <v/>
      </c>
      <c r="S55" s="64"/>
      <c r="T55" s="98" t="s">
        <v>1009</v>
      </c>
      <c r="U55" s="167" t="str">
        <f>IFERROR(SUMIFS('caseload data'!E:E,'caseload data'!$C:$C,'custody %'!$T$50,'caseload data'!$D:$D,"SPO",'caseload data'!$B:$B,"custody")/SUMIFS('caseload data'!E:E,'caseload data'!$B:$B,"custody",'caseload data'!$C:$C,'custody %'!$T$50),"")</f>
        <v/>
      </c>
      <c r="V55" s="167" t="str">
        <f>IFERROR(SUMIFS('caseload data'!F:F,'caseload data'!$C:$C,'custody %'!$T$50,'caseload data'!$D:$D,"SPO",'caseload data'!$B:$B,"custody")/SUMIFS('caseload data'!F:F,'caseload data'!$B:$B,"custody",'caseload data'!$C:$C,'custody %'!$T$50),"")</f>
        <v/>
      </c>
      <c r="W55" s="167" t="str">
        <f>IFERROR(SUMIFS('caseload data'!G:G,'caseload data'!$C:$C,'custody %'!$T$50,'caseload data'!$D:$D,"SPO",'caseload data'!$B:$B,"custody")/SUMIFS('caseload data'!G:G,'caseload data'!$B:$B,"custody",'caseload data'!$C:$C,'custody %'!$T$50),"")</f>
        <v/>
      </c>
      <c r="X55" s="167" t="str">
        <f>IFERROR(SUMIFS('caseload data'!H:H,'caseload data'!$C:$C,'custody %'!$T$50,'caseload data'!$D:$D,"SPO",'caseload data'!$B:$B,"custody")/SUMIFS('caseload data'!H:H,'caseload data'!$B:$B,"custody",'caseload data'!$C:$C,'custody %'!$T$50),"")</f>
        <v/>
      </c>
      <c r="Y55" s="167" t="str">
        <f>IFERROR(SUMIFS('caseload data'!I:I,'caseload data'!$C:$C,'custody %'!$T$50,'caseload data'!$D:$D,"SPO",'caseload data'!$B:$B,"custody")/SUMIFS('caseload data'!I:I,'caseload data'!$B:$B,"custody",'caseload data'!$C:$C,'custody %'!$T$50),"")</f>
        <v/>
      </c>
      <c r="Z55" s="167" t="str">
        <f>IFERROR(SUMIFS('caseload data'!J:J,'caseload data'!$C:$C,'custody %'!$T$50,'caseload data'!$D:$D,"SPO",'caseload data'!$B:$B,"custody")/SUMIFS('caseload data'!J:J,'caseload data'!$B:$B,"custody",'caseload data'!$C:$C,'custody %'!$T$50),"")</f>
        <v/>
      </c>
      <c r="AA55" s="167" t="str">
        <f>IFERROR(SUMIFS('caseload data'!K:K,'caseload data'!$C:$C,'custody %'!$T$50,'caseload data'!$D:$D,"SPO",'caseload data'!$B:$B,"custody")/SUMIFS('caseload data'!K:K,'caseload data'!$B:$B,"custody",'caseload data'!$C:$C,'custody %'!$T$50),"")</f>
        <v/>
      </c>
      <c r="AB55" s="167" t="str">
        <f>IFERROR(SUMIFS('caseload data'!L:L,'caseload data'!$C:$C,'custody %'!$T$50,'caseload data'!$D:$D,"SPO",'caseload data'!$B:$B,"custody")/SUMIFS('caseload data'!L:L,'caseload data'!$B:$B,"custody",'caseload data'!$C:$C,'custody %'!$T$50),"")</f>
        <v/>
      </c>
      <c r="AC55" s="167" t="str">
        <f>IFERROR(SUMIFS('caseload data'!M:M,'caseload data'!$C:$C,'custody %'!$T$50,'caseload data'!$D:$D,"SPO",'caseload data'!$B:$B,"custody")/SUMIFS('caseload data'!M:M,'caseload data'!$B:$B,"custody",'caseload data'!$C:$C,'custody %'!$T$50),"")</f>
        <v/>
      </c>
      <c r="AD55" s="167" t="str">
        <f>IFERROR(SUMIFS('caseload data'!N:N,'caseload data'!$C:$C,'custody %'!$T$50,'caseload data'!$D:$D,"SPO",'caseload data'!$B:$B,"custody")/SUMIFS('caseload data'!N:N,'caseload data'!$B:$B,"custody",'caseload data'!$C:$C,'custody %'!$T$50),"")</f>
        <v/>
      </c>
      <c r="AE55" s="167" t="str">
        <f>IFERROR(SUMIFS('caseload data'!O:O,'caseload data'!$C:$C,'custody %'!$T$50,'caseload data'!$D:$D,"SPO",'caseload data'!$B:$B,"custody")/SUMIFS('caseload data'!O:O,'caseload data'!$B:$B,"custody",'caseload data'!$C:$C,'custody %'!$T$50),"")</f>
        <v/>
      </c>
      <c r="AF55" s="167" t="str">
        <f>IFERROR(SUMIFS('caseload data'!P:P,'caseload data'!$C:$C,'custody %'!$T$50,'caseload data'!$D:$D,"SPO",'caseload data'!$B:$B,"custody")/SUMIFS('caseload data'!P:P,'caseload data'!$B:$B,"custody",'caseload data'!$C:$C,'custody %'!$T$50),"")</f>
        <v/>
      </c>
      <c r="AG55" s="167" t="str">
        <f>IFERROR(SUMIFS('caseload data'!Q:Q,'caseload data'!$C:$C,'custody %'!$T$50,'caseload data'!$D:$D,"SPO",'caseload data'!$B:$B,"custody")/SUMIFS('caseload data'!Q:Q,'caseload data'!$B:$B,"custody",'caseload data'!$C:$C,'custody %'!$T$50),"")</f>
        <v/>
      </c>
      <c r="AH55" s="167" t="str">
        <f>IFERROR(SUMIFS('caseload data'!R:R,'caseload data'!$C:$C,'custody %'!$T$50,'caseload data'!$D:$D,"SPO",'caseload data'!$B:$B,"custody")/SUMIFS('caseload data'!R:R,'caseload data'!$B:$B,"custody",'caseload data'!$C:$C,'custody %'!$T$50),"")</f>
        <v/>
      </c>
      <c r="AI55" s="167"/>
      <c r="AJ55" s="167"/>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row>
    <row r="57" spans="2:36" ht="28.5" customHeight="1" x14ac:dyDescent="0.15">
      <c r="B57" s="289">
        <f>HLOOKUP($B$5,Region_Table,16,0)</f>
        <v>0</v>
      </c>
      <c r="C57" s="515" t="s">
        <v>1131</v>
      </c>
      <c r="D57" s="516"/>
      <c r="E57" s="516"/>
      <c r="F57" s="516"/>
      <c r="G57" s="516"/>
      <c r="H57" s="516"/>
      <c r="I57" s="516"/>
      <c r="J57" s="516"/>
      <c r="K57" s="516"/>
      <c r="L57" s="516"/>
      <c r="M57" s="535"/>
      <c r="N57" s="535"/>
      <c r="O57" s="536"/>
      <c r="P57" s="510">
        <f>SUMIF('caseload data'!$C:$C,'custody %'!B57,'caseload data'!V:V)</f>
        <v>0</v>
      </c>
      <c r="Q57" s="527"/>
      <c r="R57" s="528"/>
      <c r="S57" s="64"/>
      <c r="T57" s="289">
        <f>HLOOKUP($B$5,Region_Table,17,0)</f>
        <v>0</v>
      </c>
      <c r="U57" s="515" t="s">
        <v>1131</v>
      </c>
      <c r="V57" s="516"/>
      <c r="W57" s="516"/>
      <c r="X57" s="516"/>
      <c r="Y57" s="516"/>
      <c r="Z57" s="516"/>
      <c r="AA57" s="516"/>
      <c r="AB57" s="516"/>
      <c r="AC57" s="535"/>
      <c r="AD57" s="535"/>
      <c r="AE57" s="536"/>
      <c r="AF57" s="510">
        <f>SUMIF('caseload data'!$C:$C,'custody %'!T57,'caseload data'!V:V)</f>
        <v>0</v>
      </c>
      <c r="AG57" s="527"/>
      <c r="AH57" s="528"/>
    </row>
    <row r="58" spans="2:36" x14ac:dyDescent="0.15">
      <c r="B58" s="95" t="s">
        <v>1005</v>
      </c>
      <c r="C58" s="38" t="s">
        <v>869</v>
      </c>
      <c r="D58" s="38" t="s">
        <v>870</v>
      </c>
      <c r="E58" s="38" t="s">
        <v>871</v>
      </c>
      <c r="F58" s="38" t="s">
        <v>872</v>
      </c>
      <c r="G58" s="38" t="s">
        <v>873</v>
      </c>
      <c r="H58" s="38" t="s">
        <v>874</v>
      </c>
      <c r="I58" s="38" t="s">
        <v>875</v>
      </c>
      <c r="J58" s="38" t="s">
        <v>876</v>
      </c>
      <c r="K58" s="38" t="s">
        <v>877</v>
      </c>
      <c r="L58" s="38" t="s">
        <v>878</v>
      </c>
      <c r="M58" s="38" t="s">
        <v>879</v>
      </c>
      <c r="N58" s="38" t="s">
        <v>880</v>
      </c>
      <c r="O58" s="38" t="s">
        <v>881</v>
      </c>
      <c r="P58" s="38" t="s">
        <v>882</v>
      </c>
      <c r="Q58" s="38" t="s">
        <v>883</v>
      </c>
      <c r="R58" s="38" t="s">
        <v>884</v>
      </c>
      <c r="S58" s="64"/>
      <c r="T58" s="95" t="s">
        <v>1005</v>
      </c>
      <c r="U58" s="38" t="s">
        <v>869</v>
      </c>
      <c r="V58" s="38" t="s">
        <v>870</v>
      </c>
      <c r="W58" s="38" t="s">
        <v>871</v>
      </c>
      <c r="X58" s="38" t="s">
        <v>872</v>
      </c>
      <c r="Y58" s="38" t="s">
        <v>873</v>
      </c>
      <c r="Z58" s="38" t="s">
        <v>874</v>
      </c>
      <c r="AA58" s="38" t="s">
        <v>875</v>
      </c>
      <c r="AB58" s="38" t="s">
        <v>876</v>
      </c>
      <c r="AC58" s="38" t="s">
        <v>877</v>
      </c>
      <c r="AD58" s="38" t="s">
        <v>878</v>
      </c>
      <c r="AE58" s="38" t="s">
        <v>879</v>
      </c>
      <c r="AF58" s="38" t="s">
        <v>880</v>
      </c>
      <c r="AG58" s="38" t="s">
        <v>881</v>
      </c>
      <c r="AH58" s="38" t="s">
        <v>882</v>
      </c>
      <c r="AI58" s="38" t="s">
        <v>883</v>
      </c>
      <c r="AJ58" s="38" t="s">
        <v>884</v>
      </c>
    </row>
    <row r="59" spans="2:36" x14ac:dyDescent="0.15">
      <c r="B59" s="96" t="s">
        <v>1002</v>
      </c>
      <c r="C59" s="167" t="str">
        <f>IFERROR(SUMIFS('caseload data'!E:E,'caseload data'!$C:$C,'custody %'!$B$57,'caseload data'!$D:$D,"PO",'caseload data'!$B:$B,"custody")/SUMIFS('caseload data'!E:E,'caseload data'!$B:$B,"custody",'caseload data'!$C:$C,'custody %'!$B$57),"")</f>
        <v/>
      </c>
      <c r="D59" s="167" t="str">
        <f>IFERROR(SUMIFS('caseload data'!F:F,'caseload data'!$C:$C,'custody %'!$B$57,'caseload data'!$D:$D,"PO",'caseload data'!$B:$B,"custody")/SUMIFS('caseload data'!F:F,'caseload data'!$B:$B,"custody",'caseload data'!$C:$C,'custody %'!$B$57),"")</f>
        <v/>
      </c>
      <c r="E59" s="167" t="str">
        <f>IFERROR(SUMIFS('caseload data'!G:G,'caseload data'!$C:$C,'custody %'!$B$57,'caseload data'!$D:$D,"PO",'caseload data'!$B:$B,"custody")/SUMIFS('caseload data'!G:G,'caseload data'!$B:$B,"custody",'caseload data'!$C:$C,'custody %'!$B$57),"")</f>
        <v/>
      </c>
      <c r="F59" s="167" t="str">
        <f>IFERROR(SUMIFS('caseload data'!H:H,'caseload data'!$C:$C,'custody %'!$B$57,'caseload data'!$D:$D,"PO",'caseload data'!$B:$B,"custody")/SUMIFS('caseload data'!H:H,'caseload data'!$B:$B,"custody",'caseload data'!$C:$C,'custody %'!$B$57),"")</f>
        <v/>
      </c>
      <c r="G59" s="167" t="str">
        <f>IFERROR(SUMIFS('caseload data'!I:I,'caseload data'!$C:$C,'custody %'!$B$57,'caseload data'!$D:$D,"PO",'caseload data'!$B:$B,"custody")/SUMIFS('caseload data'!I:I,'caseload data'!$B:$B,"custody",'caseload data'!$C:$C,'custody %'!$B$57),"")</f>
        <v/>
      </c>
      <c r="H59" s="167" t="str">
        <f>IFERROR(SUMIFS('caseload data'!J:J,'caseload data'!$C:$C,'custody %'!$B$57,'caseload data'!$D:$D,"PO",'caseload data'!$B:$B,"custody")/SUMIFS('caseload data'!J:J,'caseload data'!$B:$B,"custody",'caseload data'!$C:$C,'custody %'!$B$57),"")</f>
        <v/>
      </c>
      <c r="I59" s="167" t="str">
        <f>IFERROR(SUMIFS('caseload data'!K:K,'caseload data'!$C:$C,'custody %'!$B$57,'caseload data'!$D:$D,"PO",'caseload data'!$B:$B,"custody")/SUMIFS('caseload data'!K:K,'caseload data'!$B:$B,"custody",'caseload data'!$C:$C,'custody %'!$B$57),"")</f>
        <v/>
      </c>
      <c r="J59" s="167" t="str">
        <f>IFERROR(SUMIFS('caseload data'!L:L,'caseload data'!$C:$C,'custody %'!$B$57,'caseload data'!$D:$D,"PO",'caseload data'!$B:$B,"custody")/SUMIFS('caseload data'!L:L,'caseload data'!$B:$B,"custody",'caseload data'!$C:$C,'custody %'!$B$57),"")</f>
        <v/>
      </c>
      <c r="K59" s="167" t="str">
        <f>IFERROR(SUMIFS('caseload data'!M:M,'caseload data'!$C:$C,'custody %'!$B$57,'caseload data'!$D:$D,"PO",'caseload data'!$B:$B,"custody")/SUMIFS('caseload data'!M:M,'caseload data'!$B:$B,"custody",'caseload data'!$C:$C,'custody %'!$B$57),"")</f>
        <v/>
      </c>
      <c r="L59" s="167" t="str">
        <f>IFERROR(SUMIFS('caseload data'!N:N,'caseload data'!$C:$C,'custody %'!$B$57,'caseload data'!$D:$D,"PO",'caseload data'!$B:$B,"custody")/SUMIFS('caseload data'!N:N,'caseload data'!$B:$B,"custody",'caseload data'!$C:$C,'custody %'!$B$57),"")</f>
        <v/>
      </c>
      <c r="M59" s="167" t="str">
        <f>IFERROR(SUMIFS('caseload data'!O:O,'caseload data'!$C:$C,'custody %'!$B$57,'caseload data'!$D:$D,"PO",'caseload data'!$B:$B,"custody")/SUMIFS('caseload data'!O:O,'caseload data'!$B:$B,"custody",'caseload data'!$C:$C,'custody %'!$B$57),"")</f>
        <v/>
      </c>
      <c r="N59" s="167" t="str">
        <f>IFERROR(SUMIFS('caseload data'!P:P,'caseload data'!$C:$C,'custody %'!$B$57,'caseload data'!$D:$D,"PO",'caseload data'!$B:$B,"custody")/SUMIFS('caseload data'!P:P,'caseload data'!$B:$B,"custody",'caseload data'!$C:$C,'custody %'!$B$57),"")</f>
        <v/>
      </c>
      <c r="O59" s="167" t="str">
        <f>IFERROR(SUMIFS('caseload data'!Q:Q,'caseload data'!$C:$C,'custody %'!$B$57,'caseload data'!$D:$D,"PO",'caseload data'!$B:$B,"custody")/SUMIFS('caseload data'!Q:Q,'caseload data'!$B:$B,"custody",'caseload data'!$C:$C,'custody %'!$B$57),"")</f>
        <v/>
      </c>
      <c r="P59" s="167" t="str">
        <f>IFERROR(SUMIFS('caseload data'!R:R,'caseload data'!$C:$C,'custody %'!$B$57,'caseload data'!$D:$D,"PO",'caseload data'!$B:$B,"custody")/SUMIFS('caseload data'!R:R,'caseload data'!$B:$B,"custody",'caseload data'!$C:$C,'custody %'!$B$57),"")</f>
        <v/>
      </c>
      <c r="Q59" s="167" t="str">
        <f>IFERROR(SUMIFS('caseload data'!S:S,'caseload data'!$C:$C,'custody %'!$B$57,'caseload data'!$D:$D,"PO",'caseload data'!$B:$B,"custody")/SUMIFS('caseload data'!S:S,'caseload data'!$B:$B,"custody",'caseload data'!$C:$C,'custody %'!$B$57),"")</f>
        <v/>
      </c>
      <c r="R59" s="167" t="str">
        <f>IFERROR(SUMIFS('caseload data'!T:T,'caseload data'!$C:$C,'custody %'!$B$57,'caseload data'!$D:$D,"PO",'caseload data'!$B:$B,"custody")/SUMIFS('caseload data'!T:T,'caseload data'!$B:$B,"custody",'caseload data'!$C:$C,'custody %'!$B$57),"")</f>
        <v/>
      </c>
      <c r="S59" s="64"/>
      <c r="T59" s="96" t="s">
        <v>1002</v>
      </c>
      <c r="U59" s="167" t="str">
        <f>IFERROR(SUMIFS('caseload data'!E:E,'caseload data'!$C:$C,'custody %'!$T$57,'caseload data'!$D:$D,"PO",'caseload data'!$B:$B,"custody")/SUMIFS('caseload data'!E:E,'caseload data'!$B:$B,"custody",'caseload data'!$C:$C,'custody %'!$T$57),"")</f>
        <v/>
      </c>
      <c r="V59" s="167" t="str">
        <f>IFERROR(SUMIFS('caseload data'!F:F,'caseload data'!$C:$C,'custody %'!$T$57,'caseload data'!$D:$D,"PO",'caseload data'!$B:$B,"custody")/SUMIFS('caseload data'!F:F,'caseload data'!$B:$B,"custody",'caseload data'!$C:$C,'custody %'!$T$57),"")</f>
        <v/>
      </c>
      <c r="W59" s="167" t="str">
        <f>IFERROR(SUMIFS('caseload data'!G:G,'caseload data'!$C:$C,'custody %'!$T$57,'caseload data'!$D:$D,"PO",'caseload data'!$B:$B,"custody")/SUMIFS('caseload data'!G:G,'caseload data'!$B:$B,"custody",'caseload data'!$C:$C,'custody %'!$T$57),"")</f>
        <v/>
      </c>
      <c r="X59" s="167" t="str">
        <f>IFERROR(SUMIFS('caseload data'!H:H,'caseload data'!$C:$C,'custody %'!$T$57,'caseload data'!$D:$D,"PO",'caseload data'!$B:$B,"custody")/SUMIFS('caseload data'!H:H,'caseload data'!$B:$B,"custody",'caseload data'!$C:$C,'custody %'!$T$57),"")</f>
        <v/>
      </c>
      <c r="Y59" s="167" t="str">
        <f>IFERROR(SUMIFS('caseload data'!I:I,'caseload data'!$C:$C,'custody %'!$T$57,'caseload data'!$D:$D,"PO",'caseload data'!$B:$B,"custody")/SUMIFS('caseload data'!I:I,'caseload data'!$B:$B,"custody",'caseload data'!$C:$C,'custody %'!$T$57),"")</f>
        <v/>
      </c>
      <c r="Z59" s="167" t="str">
        <f>IFERROR(SUMIFS('caseload data'!J:J,'caseload data'!$C:$C,'custody %'!$T$57,'caseload data'!$D:$D,"PO",'caseload data'!$B:$B,"custody")/SUMIFS('caseload data'!J:J,'caseload data'!$B:$B,"custody",'caseload data'!$C:$C,'custody %'!$T$57),"")</f>
        <v/>
      </c>
      <c r="AA59" s="167" t="str">
        <f>IFERROR(SUMIFS('caseload data'!K:K,'caseload data'!$C:$C,'custody %'!$T$57,'caseload data'!$D:$D,"PO",'caseload data'!$B:$B,"custody")/SUMIFS('caseload data'!K:K,'caseload data'!$B:$B,"custody",'caseload data'!$C:$C,'custody %'!$T$57),"")</f>
        <v/>
      </c>
      <c r="AB59" s="167" t="str">
        <f>IFERROR(SUMIFS('caseload data'!L:L,'caseload data'!$C:$C,'custody %'!$T$57,'caseload data'!$D:$D,"PO",'caseload data'!$B:$B,"custody")/SUMIFS('caseload data'!L:L,'caseload data'!$B:$B,"custody",'caseload data'!$C:$C,'custody %'!$T$57),"")</f>
        <v/>
      </c>
      <c r="AC59" s="167" t="str">
        <f>IFERROR(SUMIFS('caseload data'!M:M,'caseload data'!$C:$C,'custody %'!$T$57,'caseload data'!$D:$D,"PO",'caseload data'!$B:$B,"custody")/SUMIFS('caseload data'!M:M,'caseload data'!$B:$B,"custody",'caseload data'!$C:$C,'custody %'!$T$57),"")</f>
        <v/>
      </c>
      <c r="AD59" s="167" t="str">
        <f>IFERROR(SUMIFS('caseload data'!N:N,'caseload data'!$C:$C,'custody %'!$T$57,'caseload data'!$D:$D,"PO",'caseload data'!$B:$B,"custody")/SUMIFS('caseload data'!N:N,'caseload data'!$B:$B,"custody",'caseload data'!$C:$C,'custody %'!$T$57),"")</f>
        <v/>
      </c>
      <c r="AE59" s="167" t="str">
        <f>IFERROR(SUMIFS('caseload data'!O:O,'caseload data'!$C:$C,'custody %'!$T$57,'caseload data'!$D:$D,"PO",'caseload data'!$B:$B,"custody")/SUMIFS('caseload data'!O:O,'caseload data'!$B:$B,"custody",'caseload data'!$C:$C,'custody %'!$T$57),"")</f>
        <v/>
      </c>
      <c r="AF59" s="167" t="str">
        <f>IFERROR(SUMIFS('caseload data'!P:P,'caseload data'!$C:$C,'custody %'!$T$57,'caseload data'!$D:$D,"PO",'caseload data'!$B:$B,"custody")/SUMIFS('caseload data'!P:P,'caseload data'!$B:$B,"custody",'caseload data'!$C:$C,'custody %'!$T$57),"")</f>
        <v/>
      </c>
      <c r="AG59" s="167" t="str">
        <f>IFERROR(SUMIFS('caseload data'!Q:Q,'caseload data'!$C:$C,'custody %'!$T$57,'caseload data'!$D:$D,"PO",'caseload data'!$B:$B,"custody")/SUMIFS('caseload data'!Q:Q,'caseload data'!$B:$B,"custody",'caseload data'!$C:$C,'custody %'!$T$57),"")</f>
        <v/>
      </c>
      <c r="AH59" s="167" t="str">
        <f>IFERROR(SUMIFS('caseload data'!R:R,'caseload data'!$C:$C,'custody %'!$T$57,'caseload data'!$D:$D,"PO",'caseload data'!$B:$B,"custody")/SUMIFS('caseload data'!R:R,'caseload data'!$B:$B,"custody",'caseload data'!$C:$C,'custody %'!$T$57),"")</f>
        <v/>
      </c>
      <c r="AI59" s="167"/>
      <c r="AJ59" s="167"/>
    </row>
    <row r="60" spans="2:36" x14ac:dyDescent="0.15">
      <c r="B60" s="97" t="s">
        <v>1007</v>
      </c>
      <c r="C60" s="167" t="str">
        <f>IFERROR(SUMIFS('caseload data'!E:E,'caseload data'!$C:$C,'custody %'!$B$57,'caseload data'!$D:$D,"PSO",'caseload data'!$B:$B,"custody")/SUMIFS('caseload data'!E:E,'caseload data'!$B:$B,"custody",'caseload data'!$C:$C,'custody %'!$B$57),"")</f>
        <v/>
      </c>
      <c r="D60" s="167" t="str">
        <f>IFERROR(SUMIFS('caseload data'!F:F,'caseload data'!$C:$C,'custody %'!$B$57,'caseload data'!$D:$D,"PSO",'caseload data'!$B:$B,"custody")/SUMIFS('caseload data'!F:F,'caseload data'!$B:$B,"custody",'caseload data'!$C:$C,'custody %'!$B$57),"")</f>
        <v/>
      </c>
      <c r="E60" s="167" t="str">
        <f>IFERROR(SUMIFS('caseload data'!G:G,'caseload data'!$C:$C,'custody %'!$B$57,'caseload data'!$D:$D,"PSO",'caseload data'!$B:$B,"custody")/SUMIFS('caseload data'!G:G,'caseload data'!$B:$B,"custody",'caseload data'!$C:$C,'custody %'!$B$57),"")</f>
        <v/>
      </c>
      <c r="F60" s="167" t="str">
        <f>IFERROR(SUMIFS('caseload data'!H:H,'caseload data'!$C:$C,'custody %'!$B$57,'caseload data'!$D:$D,"PSO",'caseload data'!$B:$B,"custody")/SUMIFS('caseload data'!H:H,'caseload data'!$B:$B,"custody",'caseload data'!$C:$C,'custody %'!$B$57),"")</f>
        <v/>
      </c>
      <c r="G60" s="167" t="str">
        <f>IFERROR(SUMIFS('caseload data'!I:I,'caseload data'!$C:$C,'custody %'!$B$57,'caseload data'!$D:$D,"PSO",'caseload data'!$B:$B,"custody")/SUMIFS('caseload data'!I:I,'caseload data'!$B:$B,"custody",'caseload data'!$C:$C,'custody %'!$B$57),"")</f>
        <v/>
      </c>
      <c r="H60" s="167" t="str">
        <f>IFERROR(SUMIFS('caseload data'!J:J,'caseload data'!$C:$C,'custody %'!$B$57,'caseload data'!$D:$D,"PSO",'caseload data'!$B:$B,"custody")/SUMIFS('caseload data'!J:J,'caseload data'!$B:$B,"custody",'caseload data'!$C:$C,'custody %'!$B$57),"")</f>
        <v/>
      </c>
      <c r="I60" s="167" t="str">
        <f>IFERROR(SUMIFS('caseload data'!K:K,'caseload data'!$C:$C,'custody %'!$B$57,'caseload data'!$D:$D,"PSO",'caseload data'!$B:$B,"custody")/SUMIFS('caseload data'!K:K,'caseload data'!$B:$B,"custody",'caseload data'!$C:$C,'custody %'!$B$57),"")</f>
        <v/>
      </c>
      <c r="J60" s="167" t="str">
        <f>IFERROR(SUMIFS('caseload data'!L:L,'caseload data'!$C:$C,'custody %'!$B$57,'caseload data'!$D:$D,"PSO",'caseload data'!$B:$B,"custody")/SUMIFS('caseload data'!L:L,'caseload data'!$B:$B,"custody",'caseload data'!$C:$C,'custody %'!$B$57),"")</f>
        <v/>
      </c>
      <c r="K60" s="167" t="str">
        <f>IFERROR(SUMIFS('caseload data'!M:M,'caseload data'!$C:$C,'custody %'!$B$57,'caseload data'!$D:$D,"PSO",'caseload data'!$B:$B,"custody")/SUMIFS('caseload data'!M:M,'caseload data'!$B:$B,"custody",'caseload data'!$C:$C,'custody %'!$B$57),"")</f>
        <v/>
      </c>
      <c r="L60" s="167" t="str">
        <f>IFERROR(SUMIFS('caseload data'!N:N,'caseload data'!$C:$C,'custody %'!$B$57,'caseload data'!$D:$D,"PSO",'caseload data'!$B:$B,"custody")/SUMIFS('caseload data'!N:N,'caseload data'!$B:$B,"custody",'caseload data'!$C:$C,'custody %'!$B$57),"")</f>
        <v/>
      </c>
      <c r="M60" s="167" t="str">
        <f>IFERROR(SUMIFS('caseload data'!O:O,'caseload data'!$C:$C,'custody %'!$B$57,'caseload data'!$D:$D,"PSO",'caseload data'!$B:$B,"custody")/SUMIFS('caseload data'!O:O,'caseload data'!$B:$B,"custody",'caseload data'!$C:$C,'custody %'!$B$57),"")</f>
        <v/>
      </c>
      <c r="N60" s="167" t="str">
        <f>IFERROR(SUMIFS('caseload data'!P:P,'caseload data'!$C:$C,'custody %'!$B$57,'caseload data'!$D:$D,"PSO",'caseload data'!$B:$B,"custody")/SUMIFS('caseload data'!P:P,'caseload data'!$B:$B,"custody",'caseload data'!$C:$C,'custody %'!$B$57),"")</f>
        <v/>
      </c>
      <c r="O60" s="167" t="str">
        <f>IFERROR(SUMIFS('caseload data'!Q:Q,'caseload data'!$C:$C,'custody %'!$B$57,'caseload data'!$D:$D,"PSO",'caseload data'!$B:$B,"custody")/SUMIFS('caseload data'!Q:Q,'caseload data'!$B:$B,"custody",'caseload data'!$C:$C,'custody %'!$B$57),"")</f>
        <v/>
      </c>
      <c r="P60" s="167" t="str">
        <f>IFERROR(SUMIFS('caseload data'!R:R,'caseload data'!$C:$C,'custody %'!$B$57,'caseload data'!$D:$D,"PSO",'caseload data'!$B:$B,"custody")/SUMIFS('caseload data'!R:R,'caseload data'!$B:$B,"custody",'caseload data'!$C:$C,'custody %'!$B$57),"")</f>
        <v/>
      </c>
      <c r="Q60" s="167" t="str">
        <f>IFERROR(SUMIFS('caseload data'!S:S,'caseload data'!$C:$C,'custody %'!$B$57,'caseload data'!$D:$D,"PSO",'caseload data'!$B:$B,"custody")/SUMIFS('caseload data'!S:S,'caseload data'!$B:$B,"custody",'caseload data'!$C:$C,'custody %'!$B$57),"")</f>
        <v/>
      </c>
      <c r="R60" s="167" t="str">
        <f>IFERROR(SUMIFS('caseload data'!T:T,'caseload data'!$C:$C,'custody %'!$B$57,'caseload data'!$D:$D,"PSO",'caseload data'!$B:$B,"custody")/SUMIFS('caseload data'!T:T,'caseload data'!$B:$B,"custody",'caseload data'!$C:$C,'custody %'!$B$57),"")</f>
        <v/>
      </c>
      <c r="S60" s="64"/>
      <c r="T60" s="97" t="s">
        <v>1007</v>
      </c>
      <c r="U60" s="167" t="str">
        <f>IFERROR(SUMIFS('caseload data'!E:E,'caseload data'!$C:$C,'custody %'!$T$57,'caseload data'!$D:$D,"PSO",'caseload data'!$B:$B,"custody")/SUMIFS('caseload data'!E:E,'caseload data'!$B:$B,"custody",'caseload data'!$C:$C,'custody %'!$T$57),"")</f>
        <v/>
      </c>
      <c r="V60" s="167" t="str">
        <f>IFERROR(SUMIFS('caseload data'!F:F,'caseload data'!$C:$C,'custody %'!$T$57,'caseload data'!$D:$D,"PSO",'caseload data'!$B:$B,"custody")/SUMIFS('caseload data'!F:F,'caseload data'!$B:$B,"custody",'caseload data'!$C:$C,'custody %'!$T$57),"")</f>
        <v/>
      </c>
      <c r="W60" s="167" t="str">
        <f>IFERROR(SUMIFS('caseload data'!G:G,'caseload data'!$C:$C,'custody %'!$T$57,'caseload data'!$D:$D,"PSO",'caseload data'!$B:$B,"custody")/SUMIFS('caseload data'!G:G,'caseload data'!$B:$B,"custody",'caseload data'!$C:$C,'custody %'!$T$57),"")</f>
        <v/>
      </c>
      <c r="X60" s="167" t="str">
        <f>IFERROR(SUMIFS('caseload data'!H:H,'caseload data'!$C:$C,'custody %'!$T$57,'caseload data'!$D:$D,"PSO",'caseload data'!$B:$B,"custody")/SUMIFS('caseload data'!H:H,'caseload data'!$B:$B,"custody",'caseload data'!$C:$C,'custody %'!$T$57),"")</f>
        <v/>
      </c>
      <c r="Y60" s="167" t="str">
        <f>IFERROR(SUMIFS('caseload data'!I:I,'caseload data'!$C:$C,'custody %'!$T$57,'caseload data'!$D:$D,"PSO",'caseload data'!$B:$B,"custody")/SUMIFS('caseload data'!I:I,'caseload data'!$B:$B,"custody",'caseload data'!$C:$C,'custody %'!$T$57),"")</f>
        <v/>
      </c>
      <c r="Z60" s="167" t="str">
        <f>IFERROR(SUMIFS('caseload data'!J:J,'caseload data'!$C:$C,'custody %'!$T$57,'caseload data'!$D:$D,"PSO",'caseload data'!$B:$B,"custody")/SUMIFS('caseload data'!J:J,'caseload data'!$B:$B,"custody",'caseload data'!$C:$C,'custody %'!$T$57),"")</f>
        <v/>
      </c>
      <c r="AA60" s="167" t="str">
        <f>IFERROR(SUMIFS('caseload data'!K:K,'caseload data'!$C:$C,'custody %'!$T$57,'caseload data'!$D:$D,"PSO",'caseload data'!$B:$B,"custody")/SUMIFS('caseload data'!K:K,'caseload data'!$B:$B,"custody",'caseload data'!$C:$C,'custody %'!$T$57),"")</f>
        <v/>
      </c>
      <c r="AB60" s="167" t="str">
        <f>IFERROR(SUMIFS('caseload data'!L:L,'caseload data'!$C:$C,'custody %'!$T$57,'caseload data'!$D:$D,"PSO",'caseload data'!$B:$B,"custody")/SUMIFS('caseload data'!L:L,'caseload data'!$B:$B,"custody",'caseload data'!$C:$C,'custody %'!$T$57),"")</f>
        <v/>
      </c>
      <c r="AC60" s="167" t="str">
        <f>IFERROR(SUMIFS('caseload data'!M:M,'caseload data'!$C:$C,'custody %'!$T$57,'caseload data'!$D:$D,"PSO",'caseload data'!$B:$B,"custody")/SUMIFS('caseload data'!M:M,'caseload data'!$B:$B,"custody",'caseload data'!$C:$C,'custody %'!$T$57),"")</f>
        <v/>
      </c>
      <c r="AD60" s="167" t="str">
        <f>IFERROR(SUMIFS('caseload data'!N:N,'caseload data'!$C:$C,'custody %'!$T$57,'caseload data'!$D:$D,"PSO",'caseload data'!$B:$B,"custody")/SUMIFS('caseload data'!N:N,'caseload data'!$B:$B,"custody",'caseload data'!$C:$C,'custody %'!$T$57),"")</f>
        <v/>
      </c>
      <c r="AE60" s="167" t="str">
        <f>IFERROR(SUMIFS('caseload data'!O:O,'caseload data'!$C:$C,'custody %'!$T$57,'caseload data'!$D:$D,"PSO",'caseload data'!$B:$B,"custody")/SUMIFS('caseload data'!O:O,'caseload data'!$B:$B,"custody",'caseload data'!$C:$C,'custody %'!$T$57),"")</f>
        <v/>
      </c>
      <c r="AF60" s="167" t="str">
        <f>IFERROR(SUMIFS('caseload data'!P:P,'caseload data'!$C:$C,'custody %'!$T$57,'caseload data'!$D:$D,"PSO",'caseload data'!$B:$B,"custody")/SUMIFS('caseload data'!P:P,'caseload data'!$B:$B,"custody",'caseload data'!$C:$C,'custody %'!$T$57),"")</f>
        <v/>
      </c>
      <c r="AG60" s="167" t="str">
        <f>IFERROR(SUMIFS('caseload data'!Q:Q,'caseload data'!$C:$C,'custody %'!$T$57,'caseload data'!$D:$D,"PSO",'caseload data'!$B:$B,"custody")/SUMIFS('caseload data'!Q:Q,'caseload data'!$B:$B,"custody",'caseload data'!$C:$C,'custody %'!$T$57),"")</f>
        <v/>
      </c>
      <c r="AH60" s="167" t="str">
        <f>IFERROR(SUMIFS('caseload data'!R:R,'caseload data'!$C:$C,'custody %'!$T$57,'caseload data'!$D:$D,"PSO",'caseload data'!$B:$B,"custody")/SUMIFS('caseload data'!R:R,'caseload data'!$B:$B,"custody",'caseload data'!$C:$C,'custody %'!$T$57),"")</f>
        <v/>
      </c>
      <c r="AI60" s="167"/>
      <c r="AJ60" s="167"/>
    </row>
    <row r="61" spans="2:36" x14ac:dyDescent="0.15">
      <c r="B61" s="97" t="s">
        <v>1008</v>
      </c>
      <c r="C61" s="167" t="str">
        <f>IFERROR(SUMIFS('caseload data'!E:E,'caseload data'!$C:$C,'custody %'!$B$57,'caseload data'!$D:$D,"TPO",'caseload data'!$B:$B,"custody")/SUMIFS('caseload data'!E:E,'caseload data'!$B:$B,"custody",'caseload data'!$C:$C,'custody %'!$B$57),"")</f>
        <v/>
      </c>
      <c r="D61" s="167" t="str">
        <f>IFERROR(SUMIFS('caseload data'!F:F,'caseload data'!$C:$C,'custody %'!$B$57,'caseload data'!$D:$D,"TPO",'caseload data'!$B:$B,"custody")/SUMIFS('caseload data'!F:F,'caseload data'!$B:$B,"custody",'caseload data'!$C:$C,'custody %'!$B$57),"")</f>
        <v/>
      </c>
      <c r="E61" s="167" t="str">
        <f>IFERROR(SUMIFS('caseload data'!G:G,'caseload data'!$C:$C,'custody %'!$B$57,'caseload data'!$D:$D,"TPO",'caseload data'!$B:$B,"custody")/SUMIFS('caseload data'!G:G,'caseload data'!$B:$B,"custody",'caseload data'!$C:$C,'custody %'!$B$57),"")</f>
        <v/>
      </c>
      <c r="F61" s="167" t="str">
        <f>IFERROR(SUMIFS('caseload data'!H:H,'caseload data'!$C:$C,'custody %'!$B$57,'caseload data'!$D:$D,"TPO",'caseload data'!$B:$B,"custody")/SUMIFS('caseload data'!H:H,'caseload data'!$B:$B,"custody",'caseload data'!$C:$C,'custody %'!$B$57),"")</f>
        <v/>
      </c>
      <c r="G61" s="167" t="str">
        <f>IFERROR(SUMIFS('caseload data'!I:I,'caseload data'!$C:$C,'custody %'!$B$57,'caseload data'!$D:$D,"TPO",'caseload data'!$B:$B,"custody")/SUMIFS('caseload data'!I:I,'caseload data'!$B:$B,"custody",'caseload data'!$C:$C,'custody %'!$B$57),"")</f>
        <v/>
      </c>
      <c r="H61" s="167" t="str">
        <f>IFERROR(SUMIFS('caseload data'!J:J,'caseload data'!$C:$C,'custody %'!$B$57,'caseload data'!$D:$D,"TPO",'caseload data'!$B:$B,"custody")/SUMIFS('caseload data'!J:J,'caseload data'!$B:$B,"custody",'caseload data'!$C:$C,'custody %'!$B$57),"")</f>
        <v/>
      </c>
      <c r="I61" s="167" t="str">
        <f>IFERROR(SUMIFS('caseload data'!K:K,'caseload data'!$C:$C,'custody %'!$B$57,'caseload data'!$D:$D,"TPO",'caseload data'!$B:$B,"custody")/SUMIFS('caseload data'!K:K,'caseload data'!$B:$B,"custody",'caseload data'!$C:$C,'custody %'!$B$57),"")</f>
        <v/>
      </c>
      <c r="J61" s="167" t="str">
        <f>IFERROR(SUMIFS('caseload data'!L:L,'caseload data'!$C:$C,'custody %'!$B$57,'caseload data'!$D:$D,"TPO",'caseload data'!$B:$B,"custody")/SUMIFS('caseload data'!L:L,'caseload data'!$B:$B,"custody",'caseload data'!$C:$C,'custody %'!$B$57),"")</f>
        <v/>
      </c>
      <c r="K61" s="167" t="str">
        <f>IFERROR(SUMIFS('caseload data'!M:M,'caseload data'!$C:$C,'custody %'!$B$57,'caseload data'!$D:$D,"TPO",'caseload data'!$B:$B,"custody")/SUMIFS('caseload data'!M:M,'caseload data'!$B:$B,"custody",'caseload data'!$C:$C,'custody %'!$B$57),"")</f>
        <v/>
      </c>
      <c r="L61" s="167" t="str">
        <f>IFERROR(SUMIFS('caseload data'!N:N,'caseload data'!$C:$C,'custody %'!$B$57,'caseload data'!$D:$D,"TPO",'caseload data'!$B:$B,"custody")/SUMIFS('caseload data'!N:N,'caseload data'!$B:$B,"custody",'caseload data'!$C:$C,'custody %'!$B$57),"")</f>
        <v/>
      </c>
      <c r="M61" s="167" t="str">
        <f>IFERROR(SUMIFS('caseload data'!O:O,'caseload data'!$C:$C,'custody %'!$B$57,'caseload data'!$D:$D,"TPO",'caseload data'!$B:$B,"custody")/SUMIFS('caseload data'!O:O,'caseload data'!$B:$B,"custody",'caseload data'!$C:$C,'custody %'!$B$57),"")</f>
        <v/>
      </c>
      <c r="N61" s="167" t="str">
        <f>IFERROR(SUMIFS('caseload data'!P:P,'caseload data'!$C:$C,'custody %'!$B$57,'caseload data'!$D:$D,"TPO",'caseload data'!$B:$B,"custody")/SUMIFS('caseload data'!P:P,'caseload data'!$B:$B,"custody",'caseload data'!$C:$C,'custody %'!$B$57),"")</f>
        <v/>
      </c>
      <c r="O61" s="167" t="str">
        <f>IFERROR(SUMIFS('caseload data'!Q:Q,'caseload data'!$C:$C,'custody %'!$B$57,'caseload data'!$D:$D,"TPO",'caseload data'!$B:$B,"custody")/SUMIFS('caseload data'!Q:Q,'caseload data'!$B:$B,"custody",'caseload data'!$C:$C,'custody %'!$B$57),"")</f>
        <v/>
      </c>
      <c r="P61" s="167" t="str">
        <f>IFERROR(SUMIFS('caseload data'!R:R,'caseload data'!$C:$C,'custody %'!$B$57,'caseload data'!$D:$D,"TPO",'caseload data'!$B:$B,"custody")/SUMIFS('caseload data'!R:R,'caseload data'!$B:$B,"custody",'caseload data'!$C:$C,'custody %'!$B$57),"")</f>
        <v/>
      </c>
      <c r="Q61" s="167" t="str">
        <f>IFERROR(SUMIFS('caseload data'!S:S,'caseload data'!$C:$C,'custody %'!$B$57,'caseload data'!$D:$D,"TPO",'caseload data'!$B:$B,"custody")/SUMIFS('caseload data'!S:S,'caseload data'!$B:$B,"custody",'caseload data'!$C:$C,'custody %'!$B$57),"")</f>
        <v/>
      </c>
      <c r="R61" s="167" t="str">
        <f>IFERROR(SUMIFS('caseload data'!T:T,'caseload data'!$C:$C,'custody %'!$B$57,'caseload data'!$D:$D,"TPO",'caseload data'!$B:$B,"custody")/SUMIFS('caseload data'!T:T,'caseload data'!$B:$B,"custody",'caseload data'!$C:$C,'custody %'!$B$57),"")</f>
        <v/>
      </c>
      <c r="S61" s="64"/>
      <c r="T61" s="97" t="s">
        <v>1008</v>
      </c>
      <c r="U61" s="167" t="str">
        <f>IFERROR(SUMIFS('caseload data'!E:E,'caseload data'!$C:$C,'custody %'!$T$57,'caseload data'!$D:$D,"TPO",'caseload data'!$B:$B,"custody")/SUMIFS('caseload data'!E:E,'caseload data'!$B:$B,"custody",'caseload data'!$C:$C,'custody %'!$T$57),"")</f>
        <v/>
      </c>
      <c r="V61" s="167" t="str">
        <f>IFERROR(SUMIFS('caseload data'!F:F,'caseload data'!$C:$C,'custody %'!$T$57,'caseload data'!$D:$D,"TPO",'caseload data'!$B:$B,"custody")/SUMIFS('caseload data'!F:F,'caseload data'!$B:$B,"custody",'caseload data'!$C:$C,'custody %'!$T$57),"")</f>
        <v/>
      </c>
      <c r="W61" s="167" t="str">
        <f>IFERROR(SUMIFS('caseload data'!G:G,'caseload data'!$C:$C,'custody %'!$T$57,'caseload data'!$D:$D,"TPO",'caseload data'!$B:$B,"custody")/SUMIFS('caseload data'!G:G,'caseload data'!$B:$B,"custody",'caseload data'!$C:$C,'custody %'!$T$57),"")</f>
        <v/>
      </c>
      <c r="X61" s="167" t="str">
        <f>IFERROR(SUMIFS('caseload data'!H:H,'caseload data'!$C:$C,'custody %'!$T$57,'caseload data'!$D:$D,"TPO",'caseload data'!$B:$B,"custody")/SUMIFS('caseload data'!H:H,'caseload data'!$B:$B,"custody",'caseload data'!$C:$C,'custody %'!$T$57),"")</f>
        <v/>
      </c>
      <c r="Y61" s="167" t="str">
        <f>IFERROR(SUMIFS('caseload data'!I:I,'caseload data'!$C:$C,'custody %'!$T$57,'caseload data'!$D:$D,"TPO",'caseload data'!$B:$B,"custody")/SUMIFS('caseload data'!I:I,'caseload data'!$B:$B,"custody",'caseload data'!$C:$C,'custody %'!$T$57),"")</f>
        <v/>
      </c>
      <c r="Z61" s="167" t="str">
        <f>IFERROR(SUMIFS('caseload data'!J:J,'caseload data'!$C:$C,'custody %'!$T$57,'caseload data'!$D:$D,"TPO",'caseload data'!$B:$B,"custody")/SUMIFS('caseload data'!J:J,'caseload data'!$B:$B,"custody",'caseload data'!$C:$C,'custody %'!$T$57),"")</f>
        <v/>
      </c>
      <c r="AA61" s="167" t="str">
        <f>IFERROR(SUMIFS('caseload data'!K:K,'caseload data'!$C:$C,'custody %'!$T$57,'caseload data'!$D:$D,"TPO",'caseload data'!$B:$B,"custody")/SUMIFS('caseload data'!K:K,'caseload data'!$B:$B,"custody",'caseload data'!$C:$C,'custody %'!$T$57),"")</f>
        <v/>
      </c>
      <c r="AB61" s="167" t="str">
        <f>IFERROR(SUMIFS('caseload data'!L:L,'caseload data'!$C:$C,'custody %'!$T$57,'caseload data'!$D:$D,"TPO",'caseload data'!$B:$B,"custody")/SUMIFS('caseload data'!L:L,'caseload data'!$B:$B,"custody",'caseload data'!$C:$C,'custody %'!$T$57),"")</f>
        <v/>
      </c>
      <c r="AC61" s="167" t="str">
        <f>IFERROR(SUMIFS('caseload data'!M:M,'caseload data'!$C:$C,'custody %'!$T$57,'caseload data'!$D:$D,"TPO",'caseload data'!$B:$B,"custody")/SUMIFS('caseload data'!M:M,'caseload data'!$B:$B,"custody",'caseload data'!$C:$C,'custody %'!$T$57),"")</f>
        <v/>
      </c>
      <c r="AD61" s="167" t="str">
        <f>IFERROR(SUMIFS('caseload data'!N:N,'caseload data'!$C:$C,'custody %'!$T$57,'caseload data'!$D:$D,"TPO",'caseload data'!$B:$B,"custody")/SUMIFS('caseload data'!N:N,'caseload data'!$B:$B,"custody",'caseload data'!$C:$C,'custody %'!$T$57),"")</f>
        <v/>
      </c>
      <c r="AE61" s="167" t="str">
        <f>IFERROR(SUMIFS('caseload data'!O:O,'caseload data'!$C:$C,'custody %'!$T$57,'caseload data'!$D:$D,"TPO",'caseload data'!$B:$B,"custody")/SUMIFS('caseload data'!O:O,'caseload data'!$B:$B,"custody",'caseload data'!$C:$C,'custody %'!$T$57),"")</f>
        <v/>
      </c>
      <c r="AF61" s="167" t="str">
        <f>IFERROR(SUMIFS('caseload data'!P:P,'caseload data'!$C:$C,'custody %'!$T$57,'caseload data'!$D:$D,"TPO",'caseload data'!$B:$B,"custody")/SUMIFS('caseload data'!P:P,'caseload data'!$B:$B,"custody",'caseload data'!$C:$C,'custody %'!$T$57),"")</f>
        <v/>
      </c>
      <c r="AG61" s="167" t="str">
        <f>IFERROR(SUMIFS('caseload data'!Q:Q,'caseload data'!$C:$C,'custody %'!$T$57,'caseload data'!$D:$D,"TPO",'caseload data'!$B:$B,"custody")/SUMIFS('caseload data'!Q:Q,'caseload data'!$B:$B,"custody",'caseload data'!$C:$C,'custody %'!$T$57),"")</f>
        <v/>
      </c>
      <c r="AH61" s="167" t="str">
        <f>IFERROR(SUMIFS('caseload data'!R:R,'caseload data'!$C:$C,'custody %'!$T$57,'caseload data'!$D:$D,"TPO",'caseload data'!$B:$B,"custody")/SUMIFS('caseload data'!R:R,'caseload data'!$B:$B,"custody",'caseload data'!$C:$C,'custody %'!$T$57),"")</f>
        <v/>
      </c>
      <c r="AI61" s="167"/>
      <c r="AJ61" s="167"/>
    </row>
    <row r="62" spans="2:36" x14ac:dyDescent="0.15">
      <c r="B62" s="98" t="s">
        <v>1009</v>
      </c>
      <c r="C62" s="167" t="str">
        <f>IFERROR(SUMIFS('caseload data'!E:E,'caseload data'!$C:$C,'custody %'!$B$57,'caseload data'!$D:$D,"SPO",'caseload data'!$B:$B,"custody")/SUMIFS('caseload data'!E:E,'caseload data'!$B:$B,"custody",'caseload data'!$C:$C,'custody %'!$B$57),"")</f>
        <v/>
      </c>
      <c r="D62" s="167" t="str">
        <f>IFERROR(SUMIFS('caseload data'!F:F,'caseload data'!$C:$C,'custody %'!$B$57,'caseload data'!$D:$D,"SPO",'caseload data'!$B:$B,"custody")/SUMIFS('caseload data'!F:F,'caseload data'!$B:$B,"custody",'caseload data'!$C:$C,'custody %'!$B$57),"")</f>
        <v/>
      </c>
      <c r="E62" s="167" t="str">
        <f>IFERROR(SUMIFS('caseload data'!G:G,'caseload data'!$C:$C,'custody %'!$B$57,'caseload data'!$D:$D,"SPO",'caseload data'!$B:$B,"custody")/SUMIFS('caseload data'!G:G,'caseload data'!$B:$B,"custody",'caseload data'!$C:$C,'custody %'!$B$57),"")</f>
        <v/>
      </c>
      <c r="F62" s="167" t="str">
        <f>IFERROR(SUMIFS('caseload data'!H:H,'caseload data'!$C:$C,'custody %'!$B$57,'caseload data'!$D:$D,"SPO",'caseload data'!$B:$B,"custody")/SUMIFS('caseload data'!H:H,'caseload data'!$B:$B,"custody",'caseload data'!$C:$C,'custody %'!$B$57),"")</f>
        <v/>
      </c>
      <c r="G62" s="167" t="str">
        <f>IFERROR(SUMIFS('caseload data'!I:I,'caseload data'!$C:$C,'custody %'!$B$57,'caseload data'!$D:$D,"SPO",'caseload data'!$B:$B,"custody")/SUMIFS('caseload data'!I:I,'caseload data'!$B:$B,"custody",'caseload data'!$C:$C,'custody %'!$B$57),"")</f>
        <v/>
      </c>
      <c r="H62" s="167" t="str">
        <f>IFERROR(SUMIFS('caseload data'!J:J,'caseload data'!$C:$C,'custody %'!$B$57,'caseload data'!$D:$D,"SPO",'caseload data'!$B:$B,"custody")/SUMIFS('caseload data'!J:J,'caseload data'!$B:$B,"custody",'caseload data'!$C:$C,'custody %'!$B$57),"")</f>
        <v/>
      </c>
      <c r="I62" s="167" t="str">
        <f>IFERROR(SUMIFS('caseload data'!K:K,'caseload data'!$C:$C,'custody %'!$B$57,'caseload data'!$D:$D,"SPO",'caseload data'!$B:$B,"custody")/SUMIFS('caseload data'!K:K,'caseload data'!$B:$B,"custody",'caseload data'!$C:$C,'custody %'!$B$57),"")</f>
        <v/>
      </c>
      <c r="J62" s="167" t="str">
        <f>IFERROR(SUMIFS('caseload data'!L:L,'caseload data'!$C:$C,'custody %'!$B$57,'caseload data'!$D:$D,"SPO",'caseload data'!$B:$B,"custody")/SUMIFS('caseload data'!L:L,'caseload data'!$B:$B,"custody",'caseload data'!$C:$C,'custody %'!$B$57),"")</f>
        <v/>
      </c>
      <c r="K62" s="167" t="str">
        <f>IFERROR(SUMIFS('caseload data'!M:M,'caseload data'!$C:$C,'custody %'!$B$57,'caseload data'!$D:$D,"SPO",'caseload data'!$B:$B,"custody")/SUMIFS('caseload data'!M:M,'caseload data'!$B:$B,"custody",'caseload data'!$C:$C,'custody %'!$B$57),"")</f>
        <v/>
      </c>
      <c r="L62" s="167" t="str">
        <f>IFERROR(SUMIFS('caseload data'!N:N,'caseload data'!$C:$C,'custody %'!$B$57,'caseload data'!$D:$D,"SPO",'caseload data'!$B:$B,"custody")/SUMIFS('caseload data'!N:N,'caseload data'!$B:$B,"custody",'caseload data'!$C:$C,'custody %'!$B$57),"")</f>
        <v/>
      </c>
      <c r="M62" s="167" t="str">
        <f>IFERROR(SUMIFS('caseload data'!O:O,'caseload data'!$C:$C,'custody %'!$B$57,'caseload data'!$D:$D,"SPO",'caseload data'!$B:$B,"custody")/SUMIFS('caseload data'!O:O,'caseload data'!$B:$B,"custody",'caseload data'!$C:$C,'custody %'!$B$57),"")</f>
        <v/>
      </c>
      <c r="N62" s="167" t="str">
        <f>IFERROR(SUMIFS('caseload data'!P:P,'caseload data'!$C:$C,'custody %'!$B$57,'caseload data'!$D:$D,"SPO",'caseload data'!$B:$B,"custody")/SUMIFS('caseload data'!P:P,'caseload data'!$B:$B,"custody",'caseload data'!$C:$C,'custody %'!$B$57),"")</f>
        <v/>
      </c>
      <c r="O62" s="167" t="str">
        <f>IFERROR(SUMIFS('caseload data'!Q:Q,'caseload data'!$C:$C,'custody %'!$B$57,'caseload data'!$D:$D,"SPO",'caseload data'!$B:$B,"custody")/SUMIFS('caseload data'!Q:Q,'caseload data'!$B:$B,"custody",'caseload data'!$C:$C,'custody %'!$B$57),"")</f>
        <v/>
      </c>
      <c r="P62" s="167" t="str">
        <f>IFERROR(SUMIFS('caseload data'!R:R,'caseload data'!$C:$C,'custody %'!$B$57,'caseload data'!$D:$D,"SPO",'caseload data'!$B:$B,"custody")/SUMIFS('caseload data'!R:R,'caseload data'!$B:$B,"custody",'caseload data'!$C:$C,'custody %'!$B$57),"")</f>
        <v/>
      </c>
      <c r="Q62" s="167" t="str">
        <f>IFERROR(SUMIFS('caseload data'!S:S,'caseload data'!$C:$C,'custody %'!$B$57,'caseload data'!$D:$D,"SPO",'caseload data'!$B:$B,"custody")/SUMIFS('caseload data'!S:S,'caseload data'!$B:$B,"custody",'caseload data'!$C:$C,'custody %'!$B$57),"")</f>
        <v/>
      </c>
      <c r="R62" s="167" t="str">
        <f>IFERROR(SUMIFS('caseload data'!T:T,'caseload data'!$C:$C,'custody %'!$B$57,'caseload data'!$D:$D,"SPO",'caseload data'!$B:$B,"custody")/SUMIFS('caseload data'!T:T,'caseload data'!$B:$B,"custody",'caseload data'!$C:$C,'custody %'!$B$57),"")</f>
        <v/>
      </c>
      <c r="S62" s="64"/>
      <c r="T62" s="98" t="s">
        <v>1009</v>
      </c>
      <c r="U62" s="167" t="str">
        <f>IFERROR(SUMIFS('caseload data'!E:E,'caseload data'!$C:$C,'custody %'!$T$57,'caseload data'!$D:$D,"SPO",'caseload data'!$B:$B,"custody")/SUMIFS('caseload data'!E:E,'caseload data'!$B:$B,"custody",'caseload data'!$C:$C,'custody %'!$T$57),"")</f>
        <v/>
      </c>
      <c r="V62" s="167" t="str">
        <f>IFERROR(SUMIFS('caseload data'!F:F,'caseload data'!$C:$C,'custody %'!$T$57,'caseload data'!$D:$D,"SPO",'caseload data'!$B:$B,"custody")/SUMIFS('caseload data'!F:F,'caseload data'!$B:$B,"custody",'caseload data'!$C:$C,'custody %'!$T$57),"")</f>
        <v/>
      </c>
      <c r="W62" s="167" t="str">
        <f>IFERROR(SUMIFS('caseload data'!G:G,'caseload data'!$C:$C,'custody %'!$T$57,'caseload data'!$D:$D,"SPO",'caseload data'!$B:$B,"custody")/SUMIFS('caseload data'!G:G,'caseload data'!$B:$B,"custody",'caseload data'!$C:$C,'custody %'!$T$57),"")</f>
        <v/>
      </c>
      <c r="X62" s="167" t="str">
        <f>IFERROR(SUMIFS('caseload data'!H:H,'caseload data'!$C:$C,'custody %'!$T$57,'caseload data'!$D:$D,"SPO",'caseload data'!$B:$B,"custody")/SUMIFS('caseload data'!H:H,'caseload data'!$B:$B,"custody",'caseload data'!$C:$C,'custody %'!$T$57),"")</f>
        <v/>
      </c>
      <c r="Y62" s="167" t="str">
        <f>IFERROR(SUMIFS('caseload data'!I:I,'caseload data'!$C:$C,'custody %'!$T$57,'caseload data'!$D:$D,"SPO",'caseload data'!$B:$B,"custody")/SUMIFS('caseload data'!I:I,'caseload data'!$B:$B,"custody",'caseload data'!$C:$C,'custody %'!$T$57),"")</f>
        <v/>
      </c>
      <c r="Z62" s="167" t="str">
        <f>IFERROR(SUMIFS('caseload data'!J:J,'caseload data'!$C:$C,'custody %'!$T$57,'caseload data'!$D:$D,"SPO",'caseload data'!$B:$B,"custody")/SUMIFS('caseload data'!J:J,'caseload data'!$B:$B,"custody",'caseload data'!$C:$C,'custody %'!$T$57),"")</f>
        <v/>
      </c>
      <c r="AA62" s="167" t="str">
        <f>IFERROR(SUMIFS('caseload data'!K:K,'caseload data'!$C:$C,'custody %'!$T$57,'caseload data'!$D:$D,"SPO",'caseload data'!$B:$B,"custody")/SUMIFS('caseload data'!K:K,'caseload data'!$B:$B,"custody",'caseload data'!$C:$C,'custody %'!$T$57),"")</f>
        <v/>
      </c>
      <c r="AB62" s="167" t="str">
        <f>IFERROR(SUMIFS('caseload data'!L:L,'caseload data'!$C:$C,'custody %'!$T$57,'caseload data'!$D:$D,"SPO",'caseload data'!$B:$B,"custody")/SUMIFS('caseload data'!L:L,'caseload data'!$B:$B,"custody",'caseload data'!$C:$C,'custody %'!$T$57),"")</f>
        <v/>
      </c>
      <c r="AC62" s="167" t="str">
        <f>IFERROR(SUMIFS('caseload data'!M:M,'caseload data'!$C:$C,'custody %'!$T$57,'caseload data'!$D:$D,"SPO",'caseload data'!$B:$B,"custody")/SUMIFS('caseload data'!M:M,'caseload data'!$B:$B,"custody",'caseload data'!$C:$C,'custody %'!$T$57),"")</f>
        <v/>
      </c>
      <c r="AD62" s="167" t="str">
        <f>IFERROR(SUMIFS('caseload data'!N:N,'caseload data'!$C:$C,'custody %'!$T$57,'caseload data'!$D:$D,"SPO",'caseload data'!$B:$B,"custody")/SUMIFS('caseload data'!N:N,'caseload data'!$B:$B,"custody",'caseload data'!$C:$C,'custody %'!$T$57),"")</f>
        <v/>
      </c>
      <c r="AE62" s="167" t="str">
        <f>IFERROR(SUMIFS('caseload data'!O:O,'caseload data'!$C:$C,'custody %'!$T$57,'caseload data'!$D:$D,"SPO",'caseload data'!$B:$B,"custody")/SUMIFS('caseload data'!O:O,'caseload data'!$B:$B,"custody",'caseload data'!$C:$C,'custody %'!$T$57),"")</f>
        <v/>
      </c>
      <c r="AF62" s="167" t="str">
        <f>IFERROR(SUMIFS('caseload data'!P:P,'caseload data'!$C:$C,'custody %'!$T$57,'caseload data'!$D:$D,"SPO",'caseload data'!$B:$B,"custody")/SUMIFS('caseload data'!P:P,'caseload data'!$B:$B,"custody",'caseload data'!$C:$C,'custody %'!$T$57),"")</f>
        <v/>
      </c>
      <c r="AG62" s="167" t="str">
        <f>IFERROR(SUMIFS('caseload data'!Q:Q,'caseload data'!$C:$C,'custody %'!$T$57,'caseload data'!$D:$D,"SPO",'caseload data'!$B:$B,"custody")/SUMIFS('caseload data'!Q:Q,'caseload data'!$B:$B,"custody",'caseload data'!$C:$C,'custody %'!$T$57),"")</f>
        <v/>
      </c>
      <c r="AH62" s="167" t="str">
        <f>IFERROR(SUMIFS('caseload data'!R:R,'caseload data'!$C:$C,'custody %'!$T$57,'caseload data'!$D:$D,"SPO",'caseload data'!$B:$B,"custody")/SUMIFS('caseload data'!R:R,'caseload data'!$B:$B,"custody",'caseload data'!$C:$C,'custody %'!$T$57),"")</f>
        <v/>
      </c>
      <c r="AI62" s="167"/>
      <c r="AJ62" s="167"/>
    </row>
    <row r="64" spans="2:36" ht="23.25" customHeight="1" x14ac:dyDescent="0.15">
      <c r="B64" s="142">
        <f>HLOOKUP($B$5,Region_Table,18,0)</f>
        <v>0</v>
      </c>
      <c r="C64" s="515" t="s">
        <v>1131</v>
      </c>
      <c r="D64" s="516"/>
      <c r="E64" s="516"/>
      <c r="F64" s="516"/>
      <c r="G64" s="516"/>
      <c r="H64" s="516"/>
      <c r="I64" s="516"/>
      <c r="J64" s="516"/>
      <c r="K64" s="516"/>
      <c r="L64" s="516"/>
      <c r="M64" s="535"/>
      <c r="N64" s="535"/>
      <c r="O64" s="536"/>
      <c r="P64" s="510">
        <f>SUMIF('caseload data'!$C:$C,'custody %'!B64,'caseload data'!V:V)</f>
        <v>0</v>
      </c>
      <c r="Q64" s="527"/>
      <c r="R64" s="528"/>
      <c r="S64" s="64"/>
      <c r="T64" s="142">
        <f>HLOOKUP($B$5,Region_Table,19,0)</f>
        <v>0</v>
      </c>
      <c r="U64" s="515" t="s">
        <v>1131</v>
      </c>
      <c r="V64" s="516"/>
      <c r="W64" s="516"/>
      <c r="X64" s="516"/>
      <c r="Y64" s="516"/>
      <c r="Z64" s="516"/>
      <c r="AA64" s="516"/>
      <c r="AB64" s="516"/>
      <c r="AC64" s="535"/>
      <c r="AD64" s="535"/>
      <c r="AE64" s="536"/>
      <c r="AF64" s="510">
        <f>SUMIF('caseload data'!$C:$C,'custody %'!T64,'caseload data'!V:V)</f>
        <v>0</v>
      </c>
      <c r="AG64" s="527"/>
      <c r="AH64" s="528"/>
    </row>
    <row r="65" spans="2:36" x14ac:dyDescent="0.15">
      <c r="B65" s="95" t="s">
        <v>1005</v>
      </c>
      <c r="C65" s="38" t="s">
        <v>869</v>
      </c>
      <c r="D65" s="38" t="s">
        <v>870</v>
      </c>
      <c r="E65" s="38" t="s">
        <v>871</v>
      </c>
      <c r="F65" s="38" t="s">
        <v>872</v>
      </c>
      <c r="G65" s="38" t="s">
        <v>873</v>
      </c>
      <c r="H65" s="38" t="s">
        <v>874</v>
      </c>
      <c r="I65" s="38" t="s">
        <v>875</v>
      </c>
      <c r="J65" s="38" t="s">
        <v>876</v>
      </c>
      <c r="K65" s="38" t="s">
        <v>877</v>
      </c>
      <c r="L65" s="38" t="s">
        <v>878</v>
      </c>
      <c r="M65" s="38" t="s">
        <v>879</v>
      </c>
      <c r="N65" s="38" t="s">
        <v>880</v>
      </c>
      <c r="O65" s="38" t="s">
        <v>881</v>
      </c>
      <c r="P65" s="38" t="s">
        <v>882</v>
      </c>
      <c r="Q65" s="38" t="s">
        <v>883</v>
      </c>
      <c r="R65" s="38" t="s">
        <v>884</v>
      </c>
      <c r="S65" s="64"/>
      <c r="T65" s="95" t="s">
        <v>1005</v>
      </c>
      <c r="U65" s="38" t="s">
        <v>869</v>
      </c>
      <c r="V65" s="38" t="s">
        <v>870</v>
      </c>
      <c r="W65" s="38" t="s">
        <v>871</v>
      </c>
      <c r="X65" s="38" t="s">
        <v>872</v>
      </c>
      <c r="Y65" s="38" t="s">
        <v>873</v>
      </c>
      <c r="Z65" s="38" t="s">
        <v>874</v>
      </c>
      <c r="AA65" s="38" t="s">
        <v>875</v>
      </c>
      <c r="AB65" s="38" t="s">
        <v>876</v>
      </c>
      <c r="AC65" s="38" t="s">
        <v>877</v>
      </c>
      <c r="AD65" s="38" t="s">
        <v>878</v>
      </c>
      <c r="AE65" s="38" t="s">
        <v>879</v>
      </c>
      <c r="AF65" s="38" t="s">
        <v>880</v>
      </c>
      <c r="AG65" s="38" t="s">
        <v>881</v>
      </c>
      <c r="AH65" s="38" t="s">
        <v>882</v>
      </c>
      <c r="AI65" s="38" t="s">
        <v>883</v>
      </c>
      <c r="AJ65" s="38" t="s">
        <v>884</v>
      </c>
    </row>
    <row r="66" spans="2:36" x14ac:dyDescent="0.15">
      <c r="B66" s="96" t="s">
        <v>1002</v>
      </c>
      <c r="C66" s="167" t="str">
        <f>IFERROR(SUMIFS('caseload data'!E:E,'caseload data'!$C:$C,'custody %'!$B$64,'caseload data'!$D:$D,"PO",'caseload data'!$B:$B,"custody")/SUMIFS('caseload data'!E:E,'caseload data'!$B:$B,"custody",'caseload data'!$C:$C,'custody %'!$B$64),"")</f>
        <v/>
      </c>
      <c r="D66" s="167" t="str">
        <f>IFERROR(SUMIFS('caseload data'!F:F,'caseload data'!$C:$C,'custody %'!$B$64,'caseload data'!$D:$D,"PO",'caseload data'!$B:$B,"custody")/SUMIFS('caseload data'!F:F,'caseload data'!$B:$B,"custody",'caseload data'!$C:$C,'custody %'!$B$64),"")</f>
        <v/>
      </c>
      <c r="E66" s="167" t="str">
        <f>IFERROR(SUMIFS('caseload data'!G:G,'caseload data'!$C:$C,'custody %'!$B$64,'caseload data'!$D:$D,"PO",'caseload data'!$B:$B,"custody")/SUMIFS('caseload data'!G:G,'caseload data'!$B:$B,"custody",'caseload data'!$C:$C,'custody %'!$B$64),"")</f>
        <v/>
      </c>
      <c r="F66" s="167" t="str">
        <f>IFERROR(SUMIFS('caseload data'!H:H,'caseload data'!$C:$C,'custody %'!$B$64,'caseload data'!$D:$D,"PO",'caseload data'!$B:$B,"custody")/SUMIFS('caseload data'!H:H,'caseload data'!$B:$B,"custody",'caseload data'!$C:$C,'custody %'!$B$64),"")</f>
        <v/>
      </c>
      <c r="G66" s="167" t="str">
        <f>IFERROR(SUMIFS('caseload data'!I:I,'caseload data'!$C:$C,'custody %'!$B$64,'caseload data'!$D:$D,"PO",'caseload data'!$B:$B,"custody")/SUMIFS('caseload data'!I:I,'caseload data'!$B:$B,"custody",'caseload data'!$C:$C,'custody %'!$B$64),"")</f>
        <v/>
      </c>
      <c r="H66" s="167" t="str">
        <f>IFERROR(SUMIFS('caseload data'!J:J,'caseload data'!$C:$C,'custody %'!$B$64,'caseload data'!$D:$D,"PO",'caseload data'!$B:$B,"custody")/SUMIFS('caseload data'!J:J,'caseload data'!$B:$B,"custody",'caseload data'!$C:$C,'custody %'!$B$64),"")</f>
        <v/>
      </c>
      <c r="I66" s="167" t="str">
        <f>IFERROR(SUMIFS('caseload data'!K:K,'caseload data'!$C:$C,'custody %'!$B$64,'caseload data'!$D:$D,"PO",'caseload data'!$B:$B,"custody")/SUMIFS('caseload data'!K:K,'caseload data'!$B:$B,"custody",'caseload data'!$C:$C,'custody %'!$B$64),"")</f>
        <v/>
      </c>
      <c r="J66" s="167" t="str">
        <f>IFERROR(SUMIFS('caseload data'!L:L,'caseload data'!$C:$C,'custody %'!$B$64,'caseload data'!$D:$D,"PO",'caseload data'!$B:$B,"custody")/SUMIFS('caseload data'!L:L,'caseload data'!$B:$B,"custody",'caseload data'!$C:$C,'custody %'!$B$64),"")</f>
        <v/>
      </c>
      <c r="K66" s="167" t="str">
        <f>IFERROR(SUMIFS('caseload data'!M:M,'caseload data'!$C:$C,'custody %'!$B$64,'caseload data'!$D:$D,"PO",'caseload data'!$B:$B,"custody")/SUMIFS('caseload data'!M:M,'caseload data'!$B:$B,"custody",'caseload data'!$C:$C,'custody %'!$B$64),"")</f>
        <v/>
      </c>
      <c r="L66" s="167" t="str">
        <f>IFERROR(SUMIFS('caseload data'!N:N,'caseload data'!$C:$C,'custody %'!$B$64,'caseload data'!$D:$D,"PO",'caseload data'!$B:$B,"custody")/SUMIFS('caseload data'!N:N,'caseload data'!$B:$B,"custody",'caseload data'!$C:$C,'custody %'!$B$64),"")</f>
        <v/>
      </c>
      <c r="M66" s="167" t="str">
        <f>IFERROR(SUMIFS('caseload data'!O:O,'caseload data'!$C:$C,'custody %'!$B$64,'caseload data'!$D:$D,"PO",'caseload data'!$B:$B,"custody")/SUMIFS('caseload data'!O:O,'caseload data'!$B:$B,"custody",'caseload data'!$C:$C,'custody %'!$B$64),"")</f>
        <v/>
      </c>
      <c r="N66" s="167" t="str">
        <f>IFERROR(SUMIFS('caseload data'!P:P,'caseload data'!$C:$C,'custody %'!$B$64,'caseload data'!$D:$D,"PO",'caseload data'!$B:$B,"custody")/SUMIFS('caseload data'!P:P,'caseload data'!$B:$B,"custody",'caseload data'!$C:$C,'custody %'!$B$64),"")</f>
        <v/>
      </c>
      <c r="O66" s="167" t="str">
        <f>IFERROR(SUMIFS('caseload data'!Q:Q,'caseload data'!$C:$C,'custody %'!$B$64,'caseload data'!$D:$D,"PO",'caseload data'!$B:$B,"custody")/SUMIFS('caseload data'!Q:Q,'caseload data'!$B:$B,"custody",'caseload data'!$C:$C,'custody %'!$B$64),"")</f>
        <v/>
      </c>
      <c r="P66" s="167" t="str">
        <f>IFERROR(SUMIFS('caseload data'!R:R,'caseload data'!$C:$C,'custody %'!$B$64,'caseload data'!$D:$D,"PO",'caseload data'!$B:$B,"custody")/SUMIFS('caseload data'!R:R,'caseload data'!$B:$B,"custody",'caseload data'!$C:$C,'custody %'!$B$64),"")</f>
        <v/>
      </c>
      <c r="Q66" s="167" t="str">
        <f>IFERROR(SUMIFS('caseload data'!S:S,'caseload data'!$C:$C,'custody %'!$B$64,'caseload data'!$D:$D,"PO",'caseload data'!$B:$B,"custody")/SUMIFS('caseload data'!S:S,'caseload data'!$B:$B,"custody",'caseload data'!$C:$C,'custody %'!$B$64),"")</f>
        <v/>
      </c>
      <c r="R66" s="167" t="str">
        <f>IFERROR(SUMIFS('caseload data'!T:T,'caseload data'!$C:$C,'custody %'!$B$64,'caseload data'!$D:$D,"PO",'caseload data'!$B:$B,"custody")/SUMIFS('caseload data'!T:T,'caseload data'!$B:$B,"custody",'caseload data'!$C:$C,'custody %'!$B$64),"")</f>
        <v/>
      </c>
      <c r="S66" s="64"/>
      <c r="T66" s="96" t="s">
        <v>1002</v>
      </c>
      <c r="U66" s="167" t="str">
        <f>IFERROR(SUMIFS('caseload data'!E:E,'caseload data'!$C:$C,'custody %'!$T$64,'caseload data'!$D:$D,"PO",'caseload data'!$B:$B,"custody")/SUMIFS('caseload data'!E:E,'caseload data'!$B:$B,"custody",'caseload data'!$C:$C,'custody %'!$T$64),"")</f>
        <v/>
      </c>
      <c r="V66" s="167" t="str">
        <f>IFERROR(SUMIFS('caseload data'!F:F,'caseload data'!$C:$C,'custody %'!$T$64,'caseload data'!$D:$D,"PO",'caseload data'!$B:$B,"custody")/SUMIFS('caseload data'!F:F,'caseload data'!$B:$B,"custody",'caseload data'!$C:$C,'custody %'!$T$64),"")</f>
        <v/>
      </c>
      <c r="W66" s="167" t="str">
        <f>IFERROR(SUMIFS('caseload data'!G:G,'caseload data'!$C:$C,'custody %'!$T$64,'caseload data'!$D:$D,"PO",'caseload data'!$B:$B,"custody")/SUMIFS('caseload data'!G:G,'caseload data'!$B:$B,"custody",'caseload data'!$C:$C,'custody %'!$T$64),"")</f>
        <v/>
      </c>
      <c r="X66" s="167" t="str">
        <f>IFERROR(SUMIFS('caseload data'!H:H,'caseload data'!$C:$C,'custody %'!$T$64,'caseload data'!$D:$D,"PO",'caseload data'!$B:$B,"custody")/SUMIFS('caseload data'!H:H,'caseload data'!$B:$B,"custody",'caseload data'!$C:$C,'custody %'!$T$64),"")</f>
        <v/>
      </c>
      <c r="Y66" s="167" t="str">
        <f>IFERROR(SUMIFS('caseload data'!I:I,'caseload data'!$C:$C,'custody %'!$T$64,'caseload data'!$D:$D,"PO",'caseload data'!$B:$B,"custody")/SUMIFS('caseload data'!I:I,'caseload data'!$B:$B,"custody",'caseload data'!$C:$C,'custody %'!$T$64),"")</f>
        <v/>
      </c>
      <c r="Z66" s="167" t="str">
        <f>IFERROR(SUMIFS('caseload data'!J:J,'caseload data'!$C:$C,'custody %'!$T$64,'caseload data'!$D:$D,"PO",'caseload data'!$B:$B,"custody")/SUMIFS('caseload data'!J:J,'caseload data'!$B:$B,"custody",'caseload data'!$C:$C,'custody %'!$T$64),"")</f>
        <v/>
      </c>
      <c r="AA66" s="167" t="str">
        <f>IFERROR(SUMIFS('caseload data'!K:K,'caseload data'!$C:$C,'custody %'!$T$64,'caseload data'!$D:$D,"PO",'caseload data'!$B:$B,"custody")/SUMIFS('caseload data'!K:K,'caseload data'!$B:$B,"custody",'caseload data'!$C:$C,'custody %'!$T$64),"")</f>
        <v/>
      </c>
      <c r="AB66" s="167" t="str">
        <f>IFERROR(SUMIFS('caseload data'!L:L,'caseload data'!$C:$C,'custody %'!$T$64,'caseload data'!$D:$D,"PO",'caseload data'!$B:$B,"custody")/SUMIFS('caseload data'!L:L,'caseload data'!$B:$B,"custody",'caseload data'!$C:$C,'custody %'!$T$64),"")</f>
        <v/>
      </c>
      <c r="AC66" s="167" t="str">
        <f>IFERROR(SUMIFS('caseload data'!M:M,'caseload data'!$C:$C,'custody %'!$T$64,'caseload data'!$D:$D,"PO",'caseload data'!$B:$B,"custody")/SUMIFS('caseload data'!M:M,'caseload data'!$B:$B,"custody",'caseload data'!$C:$C,'custody %'!$T$64),"")</f>
        <v/>
      </c>
      <c r="AD66" s="167" t="str">
        <f>IFERROR(SUMIFS('caseload data'!N:N,'caseload data'!$C:$C,'custody %'!$T$64,'caseload data'!$D:$D,"PO",'caseload data'!$B:$B,"custody")/SUMIFS('caseload data'!N:N,'caseload data'!$B:$B,"custody",'caseload data'!$C:$C,'custody %'!$T$64),"")</f>
        <v/>
      </c>
      <c r="AE66" s="167" t="str">
        <f>IFERROR(SUMIFS('caseload data'!O:O,'caseload data'!$C:$C,'custody %'!$T$64,'caseload data'!$D:$D,"PO",'caseload data'!$B:$B,"custody")/SUMIFS('caseload data'!O:O,'caseload data'!$B:$B,"custody",'caseload data'!$C:$C,'custody %'!$T$64),"")</f>
        <v/>
      </c>
      <c r="AF66" s="167" t="str">
        <f>IFERROR(SUMIFS('caseload data'!P:P,'caseload data'!$C:$C,'custody %'!$T$64,'caseload data'!$D:$D,"PO",'caseload data'!$B:$B,"custody")/SUMIFS('caseload data'!P:P,'caseload data'!$B:$B,"custody",'caseload data'!$C:$C,'custody %'!$T$64),"")</f>
        <v/>
      </c>
      <c r="AG66" s="167" t="str">
        <f>IFERROR(SUMIFS('caseload data'!Q:Q,'caseload data'!$C:$C,'custody %'!$T$64,'caseload data'!$D:$D,"PO",'caseload data'!$B:$B,"custody")/SUMIFS('caseload data'!Q:Q,'caseload data'!$B:$B,"custody",'caseload data'!$C:$C,'custody %'!$T$64),"")</f>
        <v/>
      </c>
      <c r="AH66" s="167" t="str">
        <f>IFERROR(SUMIFS('caseload data'!R:R,'caseload data'!$C:$C,'custody %'!$T$64,'caseload data'!$D:$D,"PO",'caseload data'!$B:$B,"custody")/SUMIFS('caseload data'!R:R,'caseload data'!$B:$B,"custody",'caseload data'!$C:$C,'custody %'!$T$64),"")</f>
        <v/>
      </c>
      <c r="AI66" s="167"/>
      <c r="AJ66" s="167"/>
    </row>
    <row r="67" spans="2:36" x14ac:dyDescent="0.15">
      <c r="B67" s="97" t="s">
        <v>1007</v>
      </c>
      <c r="C67" s="167" t="str">
        <f>IFERROR(SUMIFS('caseload data'!E:E,'caseload data'!$C:$C,'custody %'!$B$64,'caseload data'!$D:$D,"PSO",'caseload data'!$B:$B,"custody")/SUMIFS('caseload data'!E:E,'caseload data'!$B:$B,"custody",'caseload data'!$C:$C,'custody %'!$B$64),"")</f>
        <v/>
      </c>
      <c r="D67" s="167" t="str">
        <f>IFERROR(SUMIFS('caseload data'!F:F,'caseload data'!$C:$C,'custody %'!$B$64,'caseload data'!$D:$D,"PSO",'caseload data'!$B:$B,"custody")/SUMIFS('caseload data'!F:F,'caseload data'!$B:$B,"custody",'caseload data'!$C:$C,'custody %'!$B$64),"")</f>
        <v/>
      </c>
      <c r="E67" s="167" t="str">
        <f>IFERROR(SUMIFS('caseload data'!G:G,'caseload data'!$C:$C,'custody %'!$B$64,'caseload data'!$D:$D,"PSO",'caseload data'!$B:$B,"custody")/SUMIFS('caseload data'!G:G,'caseload data'!$B:$B,"custody",'caseload data'!$C:$C,'custody %'!$B$64),"")</f>
        <v/>
      </c>
      <c r="F67" s="167" t="str">
        <f>IFERROR(SUMIFS('caseload data'!H:H,'caseload data'!$C:$C,'custody %'!$B$64,'caseload data'!$D:$D,"PSO",'caseload data'!$B:$B,"custody")/SUMIFS('caseload data'!H:H,'caseload data'!$B:$B,"custody",'caseload data'!$C:$C,'custody %'!$B$64),"")</f>
        <v/>
      </c>
      <c r="G67" s="167" t="str">
        <f>IFERROR(SUMIFS('caseload data'!I:I,'caseload data'!$C:$C,'custody %'!$B$64,'caseload data'!$D:$D,"PSO",'caseload data'!$B:$B,"custody")/SUMIFS('caseload data'!I:I,'caseload data'!$B:$B,"custody",'caseload data'!$C:$C,'custody %'!$B$64),"")</f>
        <v/>
      </c>
      <c r="H67" s="167" t="str">
        <f>IFERROR(SUMIFS('caseload data'!J:J,'caseload data'!$C:$C,'custody %'!$B$64,'caseload data'!$D:$D,"PSO",'caseload data'!$B:$B,"custody")/SUMIFS('caseload data'!J:J,'caseload data'!$B:$B,"custody",'caseload data'!$C:$C,'custody %'!$B$64),"")</f>
        <v/>
      </c>
      <c r="I67" s="167" t="str">
        <f>IFERROR(SUMIFS('caseload data'!K:K,'caseload data'!$C:$C,'custody %'!$B$64,'caseload data'!$D:$D,"PSO",'caseload data'!$B:$B,"custody")/SUMIFS('caseload data'!K:K,'caseload data'!$B:$B,"custody",'caseload data'!$C:$C,'custody %'!$B$64),"")</f>
        <v/>
      </c>
      <c r="J67" s="167" t="str">
        <f>IFERROR(SUMIFS('caseload data'!L:L,'caseload data'!$C:$C,'custody %'!$B$64,'caseload data'!$D:$D,"PSO",'caseload data'!$B:$B,"custody")/SUMIFS('caseload data'!L:L,'caseload data'!$B:$B,"custody",'caseload data'!$C:$C,'custody %'!$B$64),"")</f>
        <v/>
      </c>
      <c r="K67" s="167" t="str">
        <f>IFERROR(SUMIFS('caseload data'!M:M,'caseload data'!$C:$C,'custody %'!$B$64,'caseload data'!$D:$D,"PSO",'caseload data'!$B:$B,"custody")/SUMIFS('caseload data'!M:M,'caseload data'!$B:$B,"custody",'caseload data'!$C:$C,'custody %'!$B$64),"")</f>
        <v/>
      </c>
      <c r="L67" s="167" t="str">
        <f>IFERROR(SUMIFS('caseload data'!N:N,'caseload data'!$C:$C,'custody %'!$B$64,'caseload data'!$D:$D,"PSO",'caseload data'!$B:$B,"custody")/SUMIFS('caseload data'!N:N,'caseload data'!$B:$B,"custody",'caseload data'!$C:$C,'custody %'!$B$64),"")</f>
        <v/>
      </c>
      <c r="M67" s="167" t="str">
        <f>IFERROR(SUMIFS('caseload data'!O:O,'caseload data'!$C:$C,'custody %'!$B$64,'caseload data'!$D:$D,"PSO",'caseload data'!$B:$B,"custody")/SUMIFS('caseload data'!O:O,'caseload data'!$B:$B,"custody",'caseload data'!$C:$C,'custody %'!$B$64),"")</f>
        <v/>
      </c>
      <c r="N67" s="167" t="str">
        <f>IFERROR(SUMIFS('caseload data'!P:P,'caseload data'!$C:$C,'custody %'!$B$64,'caseload data'!$D:$D,"PSO",'caseload data'!$B:$B,"custody")/SUMIFS('caseload data'!P:P,'caseload data'!$B:$B,"custody",'caseload data'!$C:$C,'custody %'!$B$64),"")</f>
        <v/>
      </c>
      <c r="O67" s="167" t="str">
        <f>IFERROR(SUMIFS('caseload data'!Q:Q,'caseload data'!$C:$C,'custody %'!$B$64,'caseload data'!$D:$D,"PSO",'caseload data'!$B:$B,"custody")/SUMIFS('caseload data'!Q:Q,'caseload data'!$B:$B,"custody",'caseload data'!$C:$C,'custody %'!$B$64),"")</f>
        <v/>
      </c>
      <c r="P67" s="167" t="str">
        <f>IFERROR(SUMIFS('caseload data'!R:R,'caseload data'!$C:$C,'custody %'!$B$64,'caseload data'!$D:$D,"PSO",'caseload data'!$B:$B,"custody")/SUMIFS('caseload data'!R:R,'caseload data'!$B:$B,"custody",'caseload data'!$C:$C,'custody %'!$B$64),"")</f>
        <v/>
      </c>
      <c r="Q67" s="167" t="str">
        <f>IFERROR(SUMIFS('caseload data'!S:S,'caseload data'!$C:$C,'custody %'!$B$64,'caseload data'!$D:$D,"PSO",'caseload data'!$B:$B,"custody")/SUMIFS('caseload data'!S:S,'caseload data'!$B:$B,"custody",'caseload data'!$C:$C,'custody %'!$B$64),"")</f>
        <v/>
      </c>
      <c r="R67" s="167" t="str">
        <f>IFERROR(SUMIFS('caseload data'!T:T,'caseload data'!$C:$C,'custody %'!$B$64,'caseload data'!$D:$D,"PSO",'caseload data'!$B:$B,"custody")/SUMIFS('caseload data'!T:T,'caseload data'!$B:$B,"custody",'caseload data'!$C:$C,'custody %'!$B$64),"")</f>
        <v/>
      </c>
      <c r="S67" s="64"/>
      <c r="T67" s="97" t="s">
        <v>1007</v>
      </c>
      <c r="U67" s="167" t="str">
        <f>IFERROR(SUMIFS('caseload data'!E:E,'caseload data'!$C:$C,'custody %'!$T$64,'caseload data'!$D:$D,"PSO",'caseload data'!$B:$B,"custody")/SUMIFS('caseload data'!E:E,'caseload data'!$B:$B,"custody",'caseload data'!$C:$C,'custody %'!$T$64),"")</f>
        <v/>
      </c>
      <c r="V67" s="167" t="str">
        <f>IFERROR(SUMIFS('caseload data'!F:F,'caseload data'!$C:$C,'custody %'!$T$64,'caseload data'!$D:$D,"PSO",'caseload data'!$B:$B,"custody")/SUMIFS('caseload data'!F:F,'caseload data'!$B:$B,"custody",'caseload data'!$C:$C,'custody %'!$T$64),"")</f>
        <v/>
      </c>
      <c r="W67" s="167" t="str">
        <f>IFERROR(SUMIFS('caseload data'!G:G,'caseload data'!$C:$C,'custody %'!$T$64,'caseload data'!$D:$D,"PSO",'caseload data'!$B:$B,"custody")/SUMIFS('caseload data'!G:G,'caseload data'!$B:$B,"custody",'caseload data'!$C:$C,'custody %'!$T$64),"")</f>
        <v/>
      </c>
      <c r="X67" s="167" t="str">
        <f>IFERROR(SUMIFS('caseload data'!H:H,'caseload data'!$C:$C,'custody %'!$T$64,'caseload data'!$D:$D,"PSO",'caseload data'!$B:$B,"custody")/SUMIFS('caseload data'!H:H,'caseload data'!$B:$B,"custody",'caseload data'!$C:$C,'custody %'!$T$64),"")</f>
        <v/>
      </c>
      <c r="Y67" s="167" t="str">
        <f>IFERROR(SUMIFS('caseload data'!I:I,'caseload data'!$C:$C,'custody %'!$T$64,'caseload data'!$D:$D,"PSO",'caseload data'!$B:$B,"custody")/SUMIFS('caseload data'!I:I,'caseload data'!$B:$B,"custody",'caseload data'!$C:$C,'custody %'!$T$64),"")</f>
        <v/>
      </c>
      <c r="Z67" s="167" t="str">
        <f>IFERROR(SUMIFS('caseload data'!J:J,'caseload data'!$C:$C,'custody %'!$T$64,'caseload data'!$D:$D,"PSO",'caseload data'!$B:$B,"custody")/SUMIFS('caseload data'!J:J,'caseload data'!$B:$B,"custody",'caseload data'!$C:$C,'custody %'!$T$64),"")</f>
        <v/>
      </c>
      <c r="AA67" s="167" t="str">
        <f>IFERROR(SUMIFS('caseload data'!K:K,'caseload data'!$C:$C,'custody %'!$T$64,'caseload data'!$D:$D,"PSO",'caseload data'!$B:$B,"custody")/SUMIFS('caseload data'!K:K,'caseload data'!$B:$B,"custody",'caseload data'!$C:$C,'custody %'!$T$64),"")</f>
        <v/>
      </c>
      <c r="AB67" s="167" t="str">
        <f>IFERROR(SUMIFS('caseload data'!L:L,'caseload data'!$C:$C,'custody %'!$T$64,'caseload data'!$D:$D,"PSO",'caseload data'!$B:$B,"custody")/SUMIFS('caseload data'!L:L,'caseload data'!$B:$B,"custody",'caseload data'!$C:$C,'custody %'!$T$64),"")</f>
        <v/>
      </c>
      <c r="AC67" s="167" t="str">
        <f>IFERROR(SUMIFS('caseload data'!M:M,'caseload data'!$C:$C,'custody %'!$T$64,'caseload data'!$D:$D,"PSO",'caseload data'!$B:$B,"custody")/SUMIFS('caseload data'!M:M,'caseload data'!$B:$B,"custody",'caseload data'!$C:$C,'custody %'!$T$64),"")</f>
        <v/>
      </c>
      <c r="AD67" s="167" t="str">
        <f>IFERROR(SUMIFS('caseload data'!N:N,'caseload data'!$C:$C,'custody %'!$T$64,'caseload data'!$D:$D,"PSO",'caseload data'!$B:$B,"custody")/SUMIFS('caseload data'!N:N,'caseload data'!$B:$B,"custody",'caseload data'!$C:$C,'custody %'!$T$64),"")</f>
        <v/>
      </c>
      <c r="AE67" s="167" t="str">
        <f>IFERROR(SUMIFS('caseload data'!O:O,'caseload data'!$C:$C,'custody %'!$T$64,'caseload data'!$D:$D,"PSO",'caseload data'!$B:$B,"custody")/SUMIFS('caseload data'!O:O,'caseload data'!$B:$B,"custody",'caseload data'!$C:$C,'custody %'!$T$64),"")</f>
        <v/>
      </c>
      <c r="AF67" s="167" t="str">
        <f>IFERROR(SUMIFS('caseload data'!P:P,'caseload data'!$C:$C,'custody %'!$T$64,'caseload data'!$D:$D,"PSO",'caseload data'!$B:$B,"custody")/SUMIFS('caseload data'!P:P,'caseload data'!$B:$B,"custody",'caseload data'!$C:$C,'custody %'!$T$64),"")</f>
        <v/>
      </c>
      <c r="AG67" s="167" t="str">
        <f>IFERROR(SUMIFS('caseload data'!Q:Q,'caseload data'!$C:$C,'custody %'!$T$64,'caseload data'!$D:$D,"PSO",'caseload data'!$B:$B,"custody")/SUMIFS('caseload data'!Q:Q,'caseload data'!$B:$B,"custody",'caseload data'!$C:$C,'custody %'!$T$64),"")</f>
        <v/>
      </c>
      <c r="AH67" s="167" t="str">
        <f>IFERROR(SUMIFS('caseload data'!R:R,'caseload data'!$C:$C,'custody %'!$T$64,'caseload data'!$D:$D,"PSO",'caseload data'!$B:$B,"custody")/SUMIFS('caseload data'!R:R,'caseload data'!$B:$B,"custody",'caseload data'!$C:$C,'custody %'!$T$64),"")</f>
        <v/>
      </c>
      <c r="AI67" s="167"/>
      <c r="AJ67" s="167"/>
    </row>
    <row r="68" spans="2:36" x14ac:dyDescent="0.15">
      <c r="B68" s="97" t="s">
        <v>1008</v>
      </c>
      <c r="C68" s="167" t="str">
        <f>IFERROR(SUMIFS('caseload data'!E:E,'caseload data'!$C:$C,'custody %'!$B$64,'caseload data'!$D:$D,"TPO",'caseload data'!$B:$B,"custody")/SUMIFS('caseload data'!E:E,'caseload data'!$B:$B,"custody",'caseload data'!$C:$C,'custody %'!$B$64),"")</f>
        <v/>
      </c>
      <c r="D68" s="167" t="str">
        <f>IFERROR(SUMIFS('caseload data'!F:F,'caseload data'!$C:$C,'custody %'!$B$64,'caseload data'!$D:$D,"TPO",'caseload data'!$B:$B,"custody")/SUMIFS('caseload data'!F:F,'caseload data'!$B:$B,"custody",'caseload data'!$C:$C,'custody %'!$B$64),"")</f>
        <v/>
      </c>
      <c r="E68" s="167" t="str">
        <f>IFERROR(SUMIFS('caseload data'!G:G,'caseload data'!$C:$C,'custody %'!$B$64,'caseload data'!$D:$D,"TPO",'caseload data'!$B:$B,"custody")/SUMIFS('caseload data'!G:G,'caseload data'!$B:$B,"custody",'caseload data'!$C:$C,'custody %'!$B$64),"")</f>
        <v/>
      </c>
      <c r="F68" s="167" t="str">
        <f>IFERROR(SUMIFS('caseload data'!H:H,'caseload data'!$C:$C,'custody %'!$B$64,'caseload data'!$D:$D,"TPO",'caseload data'!$B:$B,"custody")/SUMIFS('caseload data'!H:H,'caseload data'!$B:$B,"custody",'caseload data'!$C:$C,'custody %'!$B$64),"")</f>
        <v/>
      </c>
      <c r="G68" s="167" t="str">
        <f>IFERROR(SUMIFS('caseload data'!I:I,'caseload data'!$C:$C,'custody %'!$B$64,'caseload data'!$D:$D,"TPO",'caseload data'!$B:$B,"custody")/SUMIFS('caseload data'!I:I,'caseload data'!$B:$B,"custody",'caseload data'!$C:$C,'custody %'!$B$64),"")</f>
        <v/>
      </c>
      <c r="H68" s="167" t="str">
        <f>IFERROR(SUMIFS('caseload data'!J:J,'caseload data'!$C:$C,'custody %'!$B$64,'caseload data'!$D:$D,"TPO",'caseload data'!$B:$B,"custody")/SUMIFS('caseload data'!J:J,'caseload data'!$B:$B,"custody",'caseload data'!$C:$C,'custody %'!$B$64),"")</f>
        <v/>
      </c>
      <c r="I68" s="167" t="str">
        <f>IFERROR(SUMIFS('caseload data'!K:K,'caseload data'!$C:$C,'custody %'!$B$64,'caseload data'!$D:$D,"TPO",'caseload data'!$B:$B,"custody")/SUMIFS('caseload data'!K:K,'caseload data'!$B:$B,"custody",'caseload data'!$C:$C,'custody %'!$B$64),"")</f>
        <v/>
      </c>
      <c r="J68" s="167" t="str">
        <f>IFERROR(SUMIFS('caseload data'!L:L,'caseload data'!$C:$C,'custody %'!$B$64,'caseload data'!$D:$D,"TPO",'caseload data'!$B:$B,"custody")/SUMIFS('caseload data'!L:L,'caseload data'!$B:$B,"custody",'caseload data'!$C:$C,'custody %'!$B$64),"")</f>
        <v/>
      </c>
      <c r="K68" s="167" t="str">
        <f>IFERROR(SUMIFS('caseload data'!M:M,'caseload data'!$C:$C,'custody %'!$B$64,'caseload data'!$D:$D,"TPO",'caseload data'!$B:$B,"custody")/SUMIFS('caseload data'!M:M,'caseload data'!$B:$B,"custody",'caseload data'!$C:$C,'custody %'!$B$64),"")</f>
        <v/>
      </c>
      <c r="L68" s="167" t="str">
        <f>IFERROR(SUMIFS('caseload data'!N:N,'caseload data'!$C:$C,'custody %'!$B$64,'caseload data'!$D:$D,"TPO",'caseload data'!$B:$B,"custody")/SUMIFS('caseload data'!N:N,'caseload data'!$B:$B,"custody",'caseload data'!$C:$C,'custody %'!$B$64),"")</f>
        <v/>
      </c>
      <c r="M68" s="167" t="str">
        <f>IFERROR(SUMIFS('caseload data'!O:O,'caseload data'!$C:$C,'custody %'!$B$64,'caseload data'!$D:$D,"TPO",'caseload data'!$B:$B,"custody")/SUMIFS('caseload data'!O:O,'caseload data'!$B:$B,"custody",'caseload data'!$C:$C,'custody %'!$B$64),"")</f>
        <v/>
      </c>
      <c r="N68" s="167" t="str">
        <f>IFERROR(SUMIFS('caseload data'!P:P,'caseload data'!$C:$C,'custody %'!$B$64,'caseload data'!$D:$D,"TPO",'caseload data'!$B:$B,"custody")/SUMIFS('caseload data'!P:P,'caseload data'!$B:$B,"custody",'caseload data'!$C:$C,'custody %'!$B$64),"")</f>
        <v/>
      </c>
      <c r="O68" s="167" t="str">
        <f>IFERROR(SUMIFS('caseload data'!Q:Q,'caseload data'!$C:$C,'custody %'!$B$64,'caseload data'!$D:$D,"TPO",'caseload data'!$B:$B,"custody")/SUMIFS('caseload data'!Q:Q,'caseload data'!$B:$B,"custody",'caseload data'!$C:$C,'custody %'!$B$64),"")</f>
        <v/>
      </c>
      <c r="P68" s="167" t="str">
        <f>IFERROR(SUMIFS('caseload data'!R:R,'caseload data'!$C:$C,'custody %'!$B$64,'caseload data'!$D:$D,"TPO",'caseload data'!$B:$B,"custody")/SUMIFS('caseload data'!R:R,'caseload data'!$B:$B,"custody",'caseload data'!$C:$C,'custody %'!$B$64),"")</f>
        <v/>
      </c>
      <c r="Q68" s="167" t="str">
        <f>IFERROR(SUMIFS('caseload data'!S:S,'caseload data'!$C:$C,'custody %'!$B$64,'caseload data'!$D:$D,"TPO",'caseload data'!$B:$B,"custody")/SUMIFS('caseload data'!S:S,'caseload data'!$B:$B,"custody",'caseload data'!$C:$C,'custody %'!$B$64),"")</f>
        <v/>
      </c>
      <c r="R68" s="167" t="str">
        <f>IFERROR(SUMIFS('caseload data'!T:T,'caseload data'!$C:$C,'custody %'!$B$64,'caseload data'!$D:$D,"TPO",'caseload data'!$B:$B,"custody")/SUMIFS('caseload data'!T:T,'caseload data'!$B:$B,"custody",'caseload data'!$C:$C,'custody %'!$B$64),"")</f>
        <v/>
      </c>
      <c r="S68" s="64"/>
      <c r="T68" s="97" t="s">
        <v>1008</v>
      </c>
      <c r="U68" s="167" t="str">
        <f>IFERROR(SUMIFS('caseload data'!E:E,'caseload data'!$C:$C,'custody %'!$T$64,'caseload data'!$D:$D,"TPO",'caseload data'!$B:$B,"custody")/SUMIFS('caseload data'!E:E,'caseload data'!$B:$B,"custody",'caseload data'!$C:$C,'custody %'!$T$64),"")</f>
        <v/>
      </c>
      <c r="V68" s="167" t="str">
        <f>IFERROR(SUMIFS('caseload data'!F:F,'caseload data'!$C:$C,'custody %'!$T$64,'caseload data'!$D:$D,"TPO",'caseload data'!$B:$B,"custody")/SUMIFS('caseload data'!F:F,'caseload data'!$B:$B,"custody",'caseload data'!$C:$C,'custody %'!$T$64),"")</f>
        <v/>
      </c>
      <c r="W68" s="167" t="str">
        <f>IFERROR(SUMIFS('caseload data'!G:G,'caseload data'!$C:$C,'custody %'!$T$64,'caseload data'!$D:$D,"TPO",'caseload data'!$B:$B,"custody")/SUMIFS('caseload data'!G:G,'caseload data'!$B:$B,"custody",'caseload data'!$C:$C,'custody %'!$T$64),"")</f>
        <v/>
      </c>
      <c r="X68" s="167" t="str">
        <f>IFERROR(SUMIFS('caseload data'!H:H,'caseload data'!$C:$C,'custody %'!$T$64,'caseload data'!$D:$D,"TPO",'caseload data'!$B:$B,"custody")/SUMIFS('caseload data'!H:H,'caseload data'!$B:$B,"custody",'caseload data'!$C:$C,'custody %'!$T$64),"")</f>
        <v/>
      </c>
      <c r="Y68" s="167" t="str">
        <f>IFERROR(SUMIFS('caseload data'!I:I,'caseload data'!$C:$C,'custody %'!$T$64,'caseload data'!$D:$D,"TPO",'caseload data'!$B:$B,"custody")/SUMIFS('caseload data'!I:I,'caseload data'!$B:$B,"custody",'caseload data'!$C:$C,'custody %'!$T$64),"")</f>
        <v/>
      </c>
      <c r="Z68" s="167" t="str">
        <f>IFERROR(SUMIFS('caseload data'!J:J,'caseload data'!$C:$C,'custody %'!$T$64,'caseload data'!$D:$D,"TPO",'caseload data'!$B:$B,"custody")/SUMIFS('caseload data'!J:J,'caseload data'!$B:$B,"custody",'caseload data'!$C:$C,'custody %'!$T$64),"")</f>
        <v/>
      </c>
      <c r="AA68" s="167" t="str">
        <f>IFERROR(SUMIFS('caseload data'!K:K,'caseload data'!$C:$C,'custody %'!$T$64,'caseload data'!$D:$D,"TPO",'caseload data'!$B:$B,"custody")/SUMIFS('caseload data'!K:K,'caseload data'!$B:$B,"custody",'caseload data'!$C:$C,'custody %'!$T$64),"")</f>
        <v/>
      </c>
      <c r="AB68" s="167" t="str">
        <f>IFERROR(SUMIFS('caseload data'!L:L,'caseload data'!$C:$C,'custody %'!$T$64,'caseload data'!$D:$D,"TPO",'caseload data'!$B:$B,"custody")/SUMIFS('caseload data'!L:L,'caseload data'!$B:$B,"custody",'caseload data'!$C:$C,'custody %'!$T$64),"")</f>
        <v/>
      </c>
      <c r="AC68" s="167" t="str">
        <f>IFERROR(SUMIFS('caseload data'!M:M,'caseload data'!$C:$C,'custody %'!$T$64,'caseload data'!$D:$D,"TPO",'caseload data'!$B:$B,"custody")/SUMIFS('caseload data'!M:M,'caseload data'!$B:$B,"custody",'caseload data'!$C:$C,'custody %'!$T$64),"")</f>
        <v/>
      </c>
      <c r="AD68" s="167" t="str">
        <f>IFERROR(SUMIFS('caseload data'!N:N,'caseload data'!$C:$C,'custody %'!$T$64,'caseload data'!$D:$D,"TPO",'caseload data'!$B:$B,"custody")/SUMIFS('caseload data'!N:N,'caseload data'!$B:$B,"custody",'caseload data'!$C:$C,'custody %'!$T$64),"")</f>
        <v/>
      </c>
      <c r="AE68" s="167" t="str">
        <f>IFERROR(SUMIFS('caseload data'!O:O,'caseload data'!$C:$C,'custody %'!$T$64,'caseload data'!$D:$D,"TPO",'caseload data'!$B:$B,"custody")/SUMIFS('caseload data'!O:O,'caseload data'!$B:$B,"custody",'caseload data'!$C:$C,'custody %'!$T$64),"")</f>
        <v/>
      </c>
      <c r="AF68" s="167" t="str">
        <f>IFERROR(SUMIFS('caseload data'!P:P,'caseload data'!$C:$C,'custody %'!$T$64,'caseload data'!$D:$D,"TPO",'caseload data'!$B:$B,"custody")/SUMIFS('caseload data'!P:P,'caseload data'!$B:$B,"custody",'caseload data'!$C:$C,'custody %'!$T$64),"")</f>
        <v/>
      </c>
      <c r="AG68" s="167" t="str">
        <f>IFERROR(SUMIFS('caseload data'!Q:Q,'caseload data'!$C:$C,'custody %'!$T$64,'caseload data'!$D:$D,"TPO",'caseload data'!$B:$B,"custody")/SUMIFS('caseload data'!Q:Q,'caseload data'!$B:$B,"custody",'caseload data'!$C:$C,'custody %'!$T$64),"")</f>
        <v/>
      </c>
      <c r="AH68" s="167" t="str">
        <f>IFERROR(SUMIFS('caseload data'!R:R,'caseload data'!$C:$C,'custody %'!$T$64,'caseload data'!$D:$D,"TPO",'caseload data'!$B:$B,"custody")/SUMIFS('caseload data'!R:R,'caseload data'!$B:$B,"custody",'caseload data'!$C:$C,'custody %'!$T$64),"")</f>
        <v/>
      </c>
      <c r="AI68" s="167"/>
      <c r="AJ68" s="167"/>
    </row>
    <row r="69" spans="2:36" x14ac:dyDescent="0.15">
      <c r="B69" s="98" t="s">
        <v>1009</v>
      </c>
      <c r="C69" s="167" t="str">
        <f>IFERROR(SUMIFS('caseload data'!E:E,'caseload data'!$C:$C,'custody %'!$B$64,'caseload data'!$D:$D,"SPO",'caseload data'!$B:$B,"custody")/SUMIFS('caseload data'!E:E,'caseload data'!$B:$B,"custody",'caseload data'!$C:$C,'custody %'!$B$64),"")</f>
        <v/>
      </c>
      <c r="D69" s="167" t="str">
        <f>IFERROR(SUMIFS('caseload data'!F:F,'caseload data'!$C:$C,'custody %'!$B$64,'caseload data'!$D:$D,"SPO",'caseload data'!$B:$B,"custody")/SUMIFS('caseload data'!F:F,'caseload data'!$B:$B,"custody",'caseload data'!$C:$C,'custody %'!$B$64),"")</f>
        <v/>
      </c>
      <c r="E69" s="167" t="str">
        <f>IFERROR(SUMIFS('caseload data'!G:G,'caseload data'!$C:$C,'custody %'!$B$64,'caseload data'!$D:$D,"SPO",'caseload data'!$B:$B,"custody")/SUMIFS('caseload data'!G:G,'caseload data'!$B:$B,"custody",'caseload data'!$C:$C,'custody %'!$B$64),"")</f>
        <v/>
      </c>
      <c r="F69" s="167" t="str">
        <f>IFERROR(SUMIFS('caseload data'!H:H,'caseload data'!$C:$C,'custody %'!$B$64,'caseload data'!$D:$D,"SPO",'caseload data'!$B:$B,"custody")/SUMIFS('caseload data'!H:H,'caseload data'!$B:$B,"custody",'caseload data'!$C:$C,'custody %'!$B$64),"")</f>
        <v/>
      </c>
      <c r="G69" s="167" t="str">
        <f>IFERROR(SUMIFS('caseload data'!I:I,'caseload data'!$C:$C,'custody %'!$B$64,'caseload data'!$D:$D,"SPO",'caseload data'!$B:$B,"custody")/SUMIFS('caseload data'!I:I,'caseload data'!$B:$B,"custody",'caseload data'!$C:$C,'custody %'!$B$64),"")</f>
        <v/>
      </c>
      <c r="H69" s="167" t="str">
        <f>IFERROR(SUMIFS('caseload data'!J:J,'caseload data'!$C:$C,'custody %'!$B$64,'caseload data'!$D:$D,"SPO",'caseload data'!$B:$B,"custody")/SUMIFS('caseload data'!J:J,'caseload data'!$B:$B,"custody",'caseload data'!$C:$C,'custody %'!$B$64),"")</f>
        <v/>
      </c>
      <c r="I69" s="167" t="str">
        <f>IFERROR(SUMIFS('caseload data'!K:K,'caseload data'!$C:$C,'custody %'!$B$64,'caseload data'!$D:$D,"SPO",'caseload data'!$B:$B,"custody")/SUMIFS('caseload data'!K:K,'caseload data'!$B:$B,"custody",'caseload data'!$C:$C,'custody %'!$B$64),"")</f>
        <v/>
      </c>
      <c r="J69" s="167" t="str">
        <f>IFERROR(SUMIFS('caseload data'!L:L,'caseload data'!$C:$C,'custody %'!$B$64,'caseload data'!$D:$D,"SPO",'caseload data'!$B:$B,"custody")/SUMIFS('caseload data'!L:L,'caseload data'!$B:$B,"custody",'caseload data'!$C:$C,'custody %'!$B$64),"")</f>
        <v/>
      </c>
      <c r="K69" s="167" t="str">
        <f>IFERROR(SUMIFS('caseload data'!M:M,'caseload data'!$C:$C,'custody %'!$B$64,'caseload data'!$D:$D,"SPO",'caseload data'!$B:$B,"custody")/SUMIFS('caseload data'!M:M,'caseload data'!$B:$B,"custody",'caseload data'!$C:$C,'custody %'!$B$64),"")</f>
        <v/>
      </c>
      <c r="L69" s="167" t="str">
        <f>IFERROR(SUMIFS('caseload data'!N:N,'caseload data'!$C:$C,'custody %'!$B$64,'caseload data'!$D:$D,"SPO",'caseload data'!$B:$B,"custody")/SUMIFS('caseload data'!N:N,'caseload data'!$B:$B,"custody",'caseload data'!$C:$C,'custody %'!$B$64),"")</f>
        <v/>
      </c>
      <c r="M69" s="167" t="str">
        <f>IFERROR(SUMIFS('caseload data'!O:O,'caseload data'!$C:$C,'custody %'!$B$64,'caseload data'!$D:$D,"SPO",'caseload data'!$B:$B,"custody")/SUMIFS('caseload data'!O:O,'caseload data'!$B:$B,"custody",'caseload data'!$C:$C,'custody %'!$B$64),"")</f>
        <v/>
      </c>
      <c r="N69" s="167" t="str">
        <f>IFERROR(SUMIFS('caseload data'!P:P,'caseload data'!$C:$C,'custody %'!$B$64,'caseload data'!$D:$D,"SPO",'caseload data'!$B:$B,"custody")/SUMIFS('caseload data'!P:P,'caseload data'!$B:$B,"custody",'caseload data'!$C:$C,'custody %'!$B$64),"")</f>
        <v/>
      </c>
      <c r="O69" s="167" t="str">
        <f>IFERROR(SUMIFS('caseload data'!Q:Q,'caseload data'!$C:$C,'custody %'!$B$64,'caseload data'!$D:$D,"SPO",'caseload data'!$B:$B,"custody")/SUMIFS('caseload data'!Q:Q,'caseload data'!$B:$B,"custody",'caseload data'!$C:$C,'custody %'!$B$64),"")</f>
        <v/>
      </c>
      <c r="P69" s="167" t="str">
        <f>IFERROR(SUMIFS('caseload data'!R:R,'caseload data'!$C:$C,'custody %'!$B$64,'caseload data'!$D:$D,"SPO",'caseload data'!$B:$B,"custody")/SUMIFS('caseload data'!R:R,'caseload data'!$B:$B,"custody",'caseload data'!$C:$C,'custody %'!$B$64),"")</f>
        <v/>
      </c>
      <c r="Q69" s="167" t="str">
        <f>IFERROR(SUMIFS('caseload data'!S:S,'caseload data'!$C:$C,'custody %'!$B$64,'caseload data'!$D:$D,"SPO",'caseload data'!$B:$B,"custody")/SUMIFS('caseload data'!S:S,'caseload data'!$B:$B,"custody",'caseload data'!$C:$C,'custody %'!$B$64),"")</f>
        <v/>
      </c>
      <c r="R69" s="167" t="str">
        <f>IFERROR(SUMIFS('caseload data'!T:T,'caseload data'!$C:$C,'custody %'!$B$64,'caseload data'!$D:$D,"SPO",'caseload data'!$B:$B,"custody")/SUMIFS('caseload data'!T:T,'caseload data'!$B:$B,"custody",'caseload data'!$C:$C,'custody %'!$B$64),"")</f>
        <v/>
      </c>
      <c r="S69" s="64"/>
      <c r="T69" s="98" t="s">
        <v>1009</v>
      </c>
      <c r="U69" s="167" t="str">
        <f>IFERROR(SUMIFS('caseload data'!E:E,'caseload data'!$C:$C,'custody %'!$T$64,'caseload data'!$D:$D,"SPO",'caseload data'!$B:$B,"custody")/SUMIFS('caseload data'!E:E,'caseload data'!$B:$B,"custody",'caseload data'!$C:$C,'custody %'!$T$64),"")</f>
        <v/>
      </c>
      <c r="V69" s="167" t="str">
        <f>IFERROR(SUMIFS('caseload data'!F:F,'caseload data'!$C:$C,'custody %'!$T$64,'caseload data'!$D:$D,"SPO",'caseload data'!$B:$B,"custody")/SUMIFS('caseload data'!F:F,'caseload data'!$B:$B,"custody",'caseload data'!$C:$C,'custody %'!$T$64),"")</f>
        <v/>
      </c>
      <c r="W69" s="167" t="str">
        <f>IFERROR(SUMIFS('caseload data'!G:G,'caseload data'!$C:$C,'custody %'!$T$64,'caseload data'!$D:$D,"SPO",'caseload data'!$B:$B,"custody")/SUMIFS('caseload data'!G:G,'caseload data'!$B:$B,"custody",'caseload data'!$C:$C,'custody %'!$T$64),"")</f>
        <v/>
      </c>
      <c r="X69" s="167" t="str">
        <f>IFERROR(SUMIFS('caseload data'!H:H,'caseload data'!$C:$C,'custody %'!$T$64,'caseload data'!$D:$D,"SPO",'caseload data'!$B:$B,"custody")/SUMIFS('caseload data'!H:H,'caseload data'!$B:$B,"custody",'caseload data'!$C:$C,'custody %'!$T$64),"")</f>
        <v/>
      </c>
      <c r="Y69" s="167" t="str">
        <f>IFERROR(SUMIFS('caseload data'!I:I,'caseload data'!$C:$C,'custody %'!$T$64,'caseload data'!$D:$D,"SPO",'caseload data'!$B:$B,"custody")/SUMIFS('caseload data'!I:I,'caseload data'!$B:$B,"custody",'caseload data'!$C:$C,'custody %'!$T$64),"")</f>
        <v/>
      </c>
      <c r="Z69" s="167" t="str">
        <f>IFERROR(SUMIFS('caseload data'!J:J,'caseload data'!$C:$C,'custody %'!$T$64,'caseload data'!$D:$D,"SPO",'caseload data'!$B:$B,"custody")/SUMIFS('caseload data'!J:J,'caseload data'!$B:$B,"custody",'caseload data'!$C:$C,'custody %'!$T$64),"")</f>
        <v/>
      </c>
      <c r="AA69" s="167" t="str">
        <f>IFERROR(SUMIFS('caseload data'!K:K,'caseload data'!$C:$C,'custody %'!$T$64,'caseload data'!$D:$D,"SPO",'caseload data'!$B:$B,"custody")/SUMIFS('caseload data'!K:K,'caseload data'!$B:$B,"custody",'caseload data'!$C:$C,'custody %'!$T$64),"")</f>
        <v/>
      </c>
      <c r="AB69" s="167" t="str">
        <f>IFERROR(SUMIFS('caseload data'!L:L,'caseload data'!$C:$C,'custody %'!$T$64,'caseload data'!$D:$D,"SPO",'caseload data'!$B:$B,"custody")/SUMIFS('caseload data'!L:L,'caseload data'!$B:$B,"custody",'caseload data'!$C:$C,'custody %'!$T$64),"")</f>
        <v/>
      </c>
      <c r="AC69" s="167" t="str">
        <f>IFERROR(SUMIFS('caseload data'!M:M,'caseload data'!$C:$C,'custody %'!$T$64,'caseload data'!$D:$D,"SPO",'caseload data'!$B:$B,"custody")/SUMIFS('caseload data'!M:M,'caseload data'!$B:$B,"custody",'caseload data'!$C:$C,'custody %'!$T$64),"")</f>
        <v/>
      </c>
      <c r="AD69" s="167" t="str">
        <f>IFERROR(SUMIFS('caseload data'!N:N,'caseload data'!$C:$C,'custody %'!$T$64,'caseload data'!$D:$D,"SPO",'caseload data'!$B:$B,"custody")/SUMIFS('caseload data'!N:N,'caseload data'!$B:$B,"custody",'caseload data'!$C:$C,'custody %'!$T$64),"")</f>
        <v/>
      </c>
      <c r="AE69" s="167" t="str">
        <f>IFERROR(SUMIFS('caseload data'!O:O,'caseload data'!$C:$C,'custody %'!$T$64,'caseload data'!$D:$D,"SPO",'caseload data'!$B:$B,"custody")/SUMIFS('caseload data'!O:O,'caseload data'!$B:$B,"custody",'caseload data'!$C:$C,'custody %'!$T$64),"")</f>
        <v/>
      </c>
      <c r="AF69" s="167" t="str">
        <f>IFERROR(SUMIFS('caseload data'!P:P,'caseload data'!$C:$C,'custody %'!$T$64,'caseload data'!$D:$D,"SPO",'caseload data'!$B:$B,"custody")/SUMIFS('caseload data'!P:P,'caseload data'!$B:$B,"custody",'caseload data'!$C:$C,'custody %'!$T$64),"")</f>
        <v/>
      </c>
      <c r="AG69" s="167" t="str">
        <f>IFERROR(SUMIFS('caseload data'!Q:Q,'caseload data'!$C:$C,'custody %'!$T$64,'caseload data'!$D:$D,"SPO",'caseload data'!$B:$B,"custody")/SUMIFS('caseload data'!Q:Q,'caseload data'!$B:$B,"custody",'caseload data'!$C:$C,'custody %'!$T$64),"")</f>
        <v/>
      </c>
      <c r="AH69" s="167" t="str">
        <f>IFERROR(SUMIFS('caseload data'!R:R,'caseload data'!$C:$C,'custody %'!$T$64,'caseload data'!$D:$D,"SPO",'caseload data'!$B:$B,"custody")/SUMIFS('caseload data'!R:R,'caseload data'!$B:$B,"custody",'caseload data'!$C:$C,'custody %'!$T$64),"")</f>
        <v/>
      </c>
      <c r="AI69" s="167"/>
      <c r="AJ69" s="167"/>
    </row>
    <row r="71" spans="2:36" ht="24.75" customHeight="1" x14ac:dyDescent="0.15">
      <c r="B71" s="289">
        <f>HLOOKUP($B$5,Region_Table,20,0)</f>
        <v>0</v>
      </c>
      <c r="C71" s="515" t="s">
        <v>1131</v>
      </c>
      <c r="D71" s="516"/>
      <c r="E71" s="516"/>
      <c r="F71" s="516"/>
      <c r="G71" s="516"/>
      <c r="H71" s="516"/>
      <c r="I71" s="516"/>
      <c r="J71" s="516"/>
      <c r="K71" s="516"/>
      <c r="L71" s="516"/>
      <c r="M71" s="535"/>
      <c r="N71" s="535"/>
      <c r="O71" s="536"/>
      <c r="P71" s="510">
        <f>SUMIF('caseload data'!$C:$C,'custody %'!B71,'caseload data'!V:V)</f>
        <v>0</v>
      </c>
      <c r="Q71" s="527"/>
      <c r="R71" s="528"/>
      <c r="T71" s="289">
        <f>HLOOKUP($B$5,Region_Table,21,0)</f>
        <v>0</v>
      </c>
      <c r="U71" s="515" t="s">
        <v>1131</v>
      </c>
      <c r="V71" s="516"/>
      <c r="W71" s="516"/>
      <c r="X71" s="516"/>
      <c r="Y71" s="516"/>
      <c r="Z71" s="516"/>
      <c r="AA71" s="516"/>
      <c r="AB71" s="516"/>
      <c r="AC71" s="535"/>
      <c r="AD71" s="535"/>
      <c r="AE71" s="536"/>
      <c r="AF71" s="510">
        <f>SUMIF('caseload data'!$C:$C,'custody %'!T71,'caseload data'!V:V)</f>
        <v>0</v>
      </c>
      <c r="AG71" s="527"/>
      <c r="AH71" s="528"/>
    </row>
    <row r="72" spans="2:36" x14ac:dyDescent="0.15">
      <c r="B72" s="95" t="s">
        <v>1005</v>
      </c>
      <c r="C72" s="38" t="s">
        <v>869</v>
      </c>
      <c r="D72" s="38" t="s">
        <v>870</v>
      </c>
      <c r="E72" s="38" t="s">
        <v>871</v>
      </c>
      <c r="F72" s="38" t="s">
        <v>872</v>
      </c>
      <c r="G72" s="38" t="s">
        <v>873</v>
      </c>
      <c r="H72" s="38" t="s">
        <v>874</v>
      </c>
      <c r="I72" s="38" t="s">
        <v>875</v>
      </c>
      <c r="J72" s="38" t="s">
        <v>876</v>
      </c>
      <c r="K72" s="38" t="s">
        <v>877</v>
      </c>
      <c r="L72" s="38" t="s">
        <v>878</v>
      </c>
      <c r="M72" s="38" t="s">
        <v>879</v>
      </c>
      <c r="N72" s="38" t="s">
        <v>880</v>
      </c>
      <c r="O72" s="38" t="s">
        <v>881</v>
      </c>
      <c r="P72" s="38" t="s">
        <v>882</v>
      </c>
      <c r="Q72" s="38" t="s">
        <v>883</v>
      </c>
      <c r="R72" s="38" t="s">
        <v>884</v>
      </c>
      <c r="T72" s="95" t="s">
        <v>1005</v>
      </c>
      <c r="U72" s="38" t="s">
        <v>869</v>
      </c>
      <c r="V72" s="38" t="s">
        <v>870</v>
      </c>
      <c r="W72" s="38" t="s">
        <v>871</v>
      </c>
      <c r="X72" s="38" t="s">
        <v>872</v>
      </c>
      <c r="Y72" s="38" t="s">
        <v>873</v>
      </c>
      <c r="Z72" s="38" t="s">
        <v>874</v>
      </c>
      <c r="AA72" s="38" t="s">
        <v>875</v>
      </c>
      <c r="AB72" s="38" t="s">
        <v>876</v>
      </c>
      <c r="AC72" s="38" t="s">
        <v>877</v>
      </c>
      <c r="AD72" s="38" t="s">
        <v>878</v>
      </c>
      <c r="AE72" s="38" t="s">
        <v>879</v>
      </c>
      <c r="AF72" s="38" t="s">
        <v>880</v>
      </c>
      <c r="AG72" s="38" t="s">
        <v>881</v>
      </c>
      <c r="AH72" s="38" t="s">
        <v>882</v>
      </c>
      <c r="AI72" s="38" t="s">
        <v>883</v>
      </c>
      <c r="AJ72" s="38" t="s">
        <v>884</v>
      </c>
    </row>
    <row r="73" spans="2:36" x14ac:dyDescent="0.15">
      <c r="B73" s="96" t="s">
        <v>1002</v>
      </c>
      <c r="C73" s="167" t="str">
        <f>IFERROR(SUMIFS('caseload data'!E:E,'caseload data'!$C:$C,'custody %'!$B$71,'caseload data'!$D:$D,"PO",'caseload data'!$B:$B,"custody")/SUMIFS('caseload data'!E:E,'caseload data'!$B:$B,"custody",'caseload data'!$C:$C,'custody %'!$B$71),"")</f>
        <v/>
      </c>
      <c r="D73" s="167" t="str">
        <f>IFERROR(SUMIFS('caseload data'!F:F,'caseload data'!$C:$C,'custody %'!$B$71,'caseload data'!$D:$D,"PO",'caseload data'!$B:$B,"custody")/SUMIFS('caseload data'!F:F,'caseload data'!$B:$B,"custody",'caseload data'!$C:$C,'custody %'!$B$71),"")</f>
        <v/>
      </c>
      <c r="E73" s="167" t="str">
        <f>IFERROR(SUMIFS('caseload data'!G:G,'caseload data'!$C:$C,'custody %'!$B$71,'caseload data'!$D:$D,"PO",'caseload data'!$B:$B,"custody")/SUMIFS('caseload data'!G:G,'caseload data'!$B:$B,"custody",'caseload data'!$C:$C,'custody %'!$B$71),"")</f>
        <v/>
      </c>
      <c r="F73" s="167" t="str">
        <f>IFERROR(SUMIFS('caseload data'!H:H,'caseload data'!$C:$C,'custody %'!$B$71,'caseload data'!$D:$D,"PO",'caseload data'!$B:$B,"custody")/SUMIFS('caseload data'!H:H,'caseload data'!$B:$B,"custody",'caseload data'!$C:$C,'custody %'!$B$71),"")</f>
        <v/>
      </c>
      <c r="G73" s="167" t="str">
        <f>IFERROR(SUMIFS('caseload data'!I:I,'caseload data'!$C:$C,'custody %'!$B$71,'caseload data'!$D:$D,"PO",'caseload data'!$B:$B,"custody")/SUMIFS('caseload data'!I:I,'caseload data'!$B:$B,"custody",'caseload data'!$C:$C,'custody %'!$B$71),"")</f>
        <v/>
      </c>
      <c r="H73" s="167" t="str">
        <f>IFERROR(SUMIFS('caseload data'!J:J,'caseload data'!$C:$C,'custody %'!$B$71,'caseload data'!$D:$D,"PO",'caseload data'!$B:$B,"custody")/SUMIFS('caseload data'!J:J,'caseload data'!$B:$B,"custody",'caseload data'!$C:$C,'custody %'!$B$71),"")</f>
        <v/>
      </c>
      <c r="I73" s="167" t="str">
        <f>IFERROR(SUMIFS('caseload data'!K:K,'caseload data'!$C:$C,'custody %'!$B$71,'caseload data'!$D:$D,"PO",'caseload data'!$B:$B,"custody")/SUMIFS('caseload data'!K:K,'caseload data'!$B:$B,"custody",'caseload data'!$C:$C,'custody %'!$B$71),"")</f>
        <v/>
      </c>
      <c r="J73" s="167" t="str">
        <f>IFERROR(SUMIFS('caseload data'!L:L,'caseload data'!$C:$C,'custody %'!$B$71,'caseload data'!$D:$D,"PO",'caseload data'!$B:$B,"custody")/SUMIFS('caseload data'!L:L,'caseload data'!$B:$B,"custody",'caseload data'!$C:$C,'custody %'!$B$71),"")</f>
        <v/>
      </c>
      <c r="K73" s="167" t="str">
        <f>IFERROR(SUMIFS('caseload data'!M:M,'caseload data'!$C:$C,'custody %'!$B$71,'caseload data'!$D:$D,"PO",'caseload data'!$B:$B,"custody")/SUMIFS('caseload data'!M:M,'caseload data'!$B:$B,"custody",'caseload data'!$C:$C,'custody %'!$B$71),"")</f>
        <v/>
      </c>
      <c r="L73" s="167" t="str">
        <f>IFERROR(SUMIFS('caseload data'!N:N,'caseload data'!$C:$C,'custody %'!$B$71,'caseload data'!$D:$D,"PO",'caseload data'!$B:$B,"custody")/SUMIFS('caseload data'!N:N,'caseload data'!$B:$B,"custody",'caseload data'!$C:$C,'custody %'!$B$71),"")</f>
        <v/>
      </c>
      <c r="M73" s="167" t="str">
        <f>IFERROR(SUMIFS('caseload data'!O:O,'caseload data'!$C:$C,'custody %'!$B$71,'caseload data'!$D:$D,"PO",'caseload data'!$B:$B,"custody")/SUMIFS('caseload data'!O:O,'caseload data'!$B:$B,"custody",'caseload data'!$C:$C,'custody %'!$B$71),"")</f>
        <v/>
      </c>
      <c r="N73" s="167" t="str">
        <f>IFERROR(SUMIFS('caseload data'!P:P,'caseload data'!$C:$C,'custody %'!$B$71,'caseload data'!$D:$D,"PO",'caseload data'!$B:$B,"custody")/SUMIFS('caseload data'!P:P,'caseload data'!$B:$B,"custody",'caseload data'!$C:$C,'custody %'!$B$71),"")</f>
        <v/>
      </c>
      <c r="O73" s="167" t="str">
        <f>IFERROR(SUMIFS('caseload data'!Q:Q,'caseload data'!$C:$C,'custody %'!$B$71,'caseload data'!$D:$D,"PO",'caseload data'!$B:$B,"custody")/SUMIFS('caseload data'!Q:Q,'caseload data'!$B:$B,"custody",'caseload data'!$C:$C,'custody %'!$B$71),"")</f>
        <v/>
      </c>
      <c r="P73" s="167" t="str">
        <f>IFERROR(SUMIFS('caseload data'!R:R,'caseload data'!$C:$C,'custody %'!$B$71,'caseload data'!$D:$D,"PO",'caseload data'!$B:$B,"custody")/SUMIFS('caseload data'!R:R,'caseload data'!$B:$B,"custody",'caseload data'!$C:$C,'custody %'!$B$71),"")</f>
        <v/>
      </c>
      <c r="Q73" s="167" t="str">
        <f>IFERROR(SUMIFS('caseload data'!S:S,'caseload data'!$C:$C,'custody %'!$B$71,'caseload data'!$D:$D,"PO",'caseload data'!$B:$B,"custody")/SUMIFS('caseload data'!S:S,'caseload data'!$B:$B,"custody",'caseload data'!$C:$C,'custody %'!$B$71),"")</f>
        <v/>
      </c>
      <c r="R73" s="167" t="str">
        <f>IFERROR(SUMIFS('caseload data'!T:T,'caseload data'!$C:$C,'custody %'!$B$71,'caseload data'!$D:$D,"PO",'caseload data'!$B:$B,"custody")/SUMIFS('caseload data'!T:T,'caseload data'!$B:$B,"custody",'caseload data'!$C:$C,'custody %'!$B$71),"")</f>
        <v/>
      </c>
      <c r="T73" s="96" t="s">
        <v>1002</v>
      </c>
      <c r="U73" s="167" t="str">
        <f>IFERROR(SUMIFS('caseload data'!E:E,'caseload data'!$C:$C,'custody %'!$T$71,'caseload data'!$D:$D,"PO",'caseload data'!$B:$B,"custody")/SUMIFS('caseload data'!E:E,'caseload data'!$B:$B,"custody",'caseload data'!$C:$C,'custody %'!$T$71),"")</f>
        <v/>
      </c>
      <c r="V73" s="167" t="str">
        <f>IFERROR(SUMIFS('caseload data'!F:F,'caseload data'!$C:$C,'custody %'!$T$71,'caseload data'!$D:$D,"PO",'caseload data'!$B:$B,"custody")/SUMIFS('caseload data'!F:F,'caseload data'!$B:$B,"custody",'caseload data'!$C:$C,'custody %'!$T$71),"")</f>
        <v/>
      </c>
      <c r="W73" s="167" t="str">
        <f>IFERROR(SUMIFS('caseload data'!G:G,'caseload data'!$C:$C,'custody %'!$T$71,'caseload data'!$D:$D,"PO",'caseload data'!$B:$B,"custody")/SUMIFS('caseload data'!G:G,'caseload data'!$B:$B,"custody",'caseload data'!$C:$C,'custody %'!$T$71),"")</f>
        <v/>
      </c>
      <c r="X73" s="167" t="str">
        <f>IFERROR(SUMIFS('caseload data'!H:H,'caseload data'!$C:$C,'custody %'!$T$71,'caseload data'!$D:$D,"PO",'caseload data'!$B:$B,"custody")/SUMIFS('caseload data'!H:H,'caseload data'!$B:$B,"custody",'caseload data'!$C:$C,'custody %'!$T$71),"")</f>
        <v/>
      </c>
      <c r="Y73" s="167" t="str">
        <f>IFERROR(SUMIFS('caseload data'!I:I,'caseload data'!$C:$C,'custody %'!$T$71,'caseload data'!$D:$D,"PO",'caseload data'!$B:$B,"custody")/SUMIFS('caseload data'!I:I,'caseload data'!$B:$B,"custody",'caseload data'!$C:$C,'custody %'!$T$71),"")</f>
        <v/>
      </c>
      <c r="Z73" s="167" t="str">
        <f>IFERROR(SUMIFS('caseload data'!J:J,'caseload data'!$C:$C,'custody %'!$T$71,'caseload data'!$D:$D,"PO",'caseload data'!$B:$B,"custody")/SUMIFS('caseload data'!J:J,'caseload data'!$B:$B,"custody",'caseload data'!$C:$C,'custody %'!$T$71),"")</f>
        <v/>
      </c>
      <c r="AA73" s="167" t="str">
        <f>IFERROR(SUMIFS('caseload data'!K:K,'caseload data'!$C:$C,'custody %'!$T$71,'caseload data'!$D:$D,"PO",'caseload data'!$B:$B,"custody")/SUMIFS('caseload data'!K:K,'caseload data'!$B:$B,"custody",'caseload data'!$C:$C,'custody %'!$T$71),"")</f>
        <v/>
      </c>
      <c r="AB73" s="167" t="str">
        <f>IFERROR(SUMIFS('caseload data'!L:L,'caseload data'!$C:$C,'custody %'!$T$71,'caseload data'!$D:$D,"PO",'caseload data'!$B:$B,"custody")/SUMIFS('caseload data'!L:L,'caseload data'!$B:$B,"custody",'caseload data'!$C:$C,'custody %'!$T$71),"")</f>
        <v/>
      </c>
      <c r="AC73" s="167" t="str">
        <f>IFERROR(SUMIFS('caseload data'!M:M,'caseload data'!$C:$C,'custody %'!$T$71,'caseload data'!$D:$D,"PO",'caseload data'!$B:$B,"custody")/SUMIFS('caseload data'!M:M,'caseload data'!$B:$B,"custody",'caseload data'!$C:$C,'custody %'!$T$71),"")</f>
        <v/>
      </c>
      <c r="AD73" s="167" t="str">
        <f>IFERROR(SUMIFS('caseload data'!N:N,'caseload data'!$C:$C,'custody %'!$T$71,'caseload data'!$D:$D,"PO",'caseload data'!$B:$B,"custody")/SUMIFS('caseload data'!N:N,'caseload data'!$B:$B,"custody",'caseload data'!$C:$C,'custody %'!$T$71),"")</f>
        <v/>
      </c>
      <c r="AE73" s="167" t="str">
        <f>IFERROR(SUMIFS('caseload data'!O:O,'caseload data'!$C:$C,'custody %'!$T$71,'caseload data'!$D:$D,"PO",'caseload data'!$B:$B,"custody")/SUMIFS('caseload data'!O:O,'caseload data'!$B:$B,"custody",'caseload data'!$C:$C,'custody %'!$T$71),"")</f>
        <v/>
      </c>
      <c r="AF73" s="167" t="str">
        <f>IFERROR(SUMIFS('caseload data'!P:P,'caseload data'!$C:$C,'custody %'!$T$71,'caseload data'!$D:$D,"PO",'caseload data'!$B:$B,"custody")/SUMIFS('caseload data'!P:P,'caseload data'!$B:$B,"custody",'caseload data'!$C:$C,'custody %'!$T$71),"")</f>
        <v/>
      </c>
      <c r="AG73" s="167" t="str">
        <f>IFERROR(SUMIFS('caseload data'!Q:Q,'caseload data'!$C:$C,'custody %'!$T$71,'caseload data'!$D:$D,"PO",'caseload data'!$B:$B,"custody")/SUMIFS('caseload data'!Q:Q,'caseload data'!$B:$B,"custody",'caseload data'!$C:$C,'custody %'!$T$71),"")</f>
        <v/>
      </c>
      <c r="AH73" s="167" t="str">
        <f>IFERROR(SUMIFS('caseload data'!R:R,'caseload data'!$C:$C,'custody %'!$T$71,'caseload data'!$D:$D,"PO",'caseload data'!$B:$B,"custody")/SUMIFS('caseload data'!R:R,'caseload data'!$B:$B,"custody",'caseload data'!$C:$C,'custody %'!$T$71),"")</f>
        <v/>
      </c>
      <c r="AI73" s="167"/>
      <c r="AJ73" s="167"/>
    </row>
    <row r="74" spans="2:36" x14ac:dyDescent="0.15">
      <c r="B74" s="97" t="s">
        <v>1007</v>
      </c>
      <c r="C74" s="167" t="str">
        <f>IFERROR(SUMIFS('caseload data'!E:E,'caseload data'!$C:$C,'custody %'!$B$71,'caseload data'!$D:$D,"PSO",'caseload data'!$B:$B,"custody")/SUMIFS('caseload data'!E:E,'caseload data'!$B:$B,"custody",'caseload data'!$C:$C,'custody %'!$B$71),"")</f>
        <v/>
      </c>
      <c r="D74" s="167" t="str">
        <f>IFERROR(SUMIFS('caseload data'!F:F,'caseload data'!$C:$C,'custody %'!$B$71,'caseload data'!$D:$D,"PSO",'caseload data'!$B:$B,"custody")/SUMIFS('caseload data'!F:F,'caseload data'!$B:$B,"custody",'caseload data'!$C:$C,'custody %'!$B$71),"")</f>
        <v/>
      </c>
      <c r="E74" s="167" t="str">
        <f>IFERROR(SUMIFS('caseload data'!G:G,'caseload data'!$C:$C,'custody %'!$B$71,'caseload data'!$D:$D,"PSO",'caseload data'!$B:$B,"custody")/SUMIFS('caseload data'!G:G,'caseload data'!$B:$B,"custody",'caseload data'!$C:$C,'custody %'!$B$71),"")</f>
        <v/>
      </c>
      <c r="F74" s="167" t="str">
        <f>IFERROR(SUMIFS('caseload data'!H:H,'caseload data'!$C:$C,'custody %'!$B$71,'caseload data'!$D:$D,"PSO",'caseload data'!$B:$B,"custody")/SUMIFS('caseload data'!H:H,'caseload data'!$B:$B,"custody",'caseload data'!$C:$C,'custody %'!$B$71),"")</f>
        <v/>
      </c>
      <c r="G74" s="167" t="str">
        <f>IFERROR(SUMIFS('caseload data'!I:I,'caseload data'!$C:$C,'custody %'!$B$71,'caseload data'!$D:$D,"PSO",'caseload data'!$B:$B,"custody")/SUMIFS('caseload data'!I:I,'caseload data'!$B:$B,"custody",'caseload data'!$C:$C,'custody %'!$B$71),"")</f>
        <v/>
      </c>
      <c r="H74" s="167" t="str">
        <f>IFERROR(SUMIFS('caseload data'!J:J,'caseload data'!$C:$C,'custody %'!$B$71,'caseload data'!$D:$D,"PSO",'caseload data'!$B:$B,"custody")/SUMIFS('caseload data'!J:J,'caseload data'!$B:$B,"custody",'caseload data'!$C:$C,'custody %'!$B$71),"")</f>
        <v/>
      </c>
      <c r="I74" s="167" t="str">
        <f>IFERROR(SUMIFS('caseload data'!K:K,'caseload data'!$C:$C,'custody %'!$B$71,'caseload data'!$D:$D,"PSO",'caseload data'!$B:$B,"custody")/SUMIFS('caseload data'!K:K,'caseload data'!$B:$B,"custody",'caseload data'!$C:$C,'custody %'!$B$71),"")</f>
        <v/>
      </c>
      <c r="J74" s="167" t="str">
        <f>IFERROR(SUMIFS('caseload data'!L:L,'caseload data'!$C:$C,'custody %'!$B$71,'caseload data'!$D:$D,"PSO",'caseload data'!$B:$B,"custody")/SUMIFS('caseload data'!L:L,'caseload data'!$B:$B,"custody",'caseload data'!$C:$C,'custody %'!$B$71),"")</f>
        <v/>
      </c>
      <c r="K74" s="167" t="str">
        <f>IFERROR(SUMIFS('caseload data'!M:M,'caseload data'!$C:$C,'custody %'!$B$71,'caseload data'!$D:$D,"PSO",'caseload data'!$B:$B,"custody")/SUMIFS('caseload data'!M:M,'caseload data'!$B:$B,"custody",'caseload data'!$C:$C,'custody %'!$B$71),"")</f>
        <v/>
      </c>
      <c r="L74" s="167" t="str">
        <f>IFERROR(SUMIFS('caseload data'!N:N,'caseload data'!$C:$C,'custody %'!$B$71,'caseload data'!$D:$D,"PSO",'caseload data'!$B:$B,"custody")/SUMIFS('caseload data'!N:N,'caseload data'!$B:$B,"custody",'caseload data'!$C:$C,'custody %'!$B$71),"")</f>
        <v/>
      </c>
      <c r="M74" s="167" t="str">
        <f>IFERROR(SUMIFS('caseload data'!O:O,'caseload data'!$C:$C,'custody %'!$B$71,'caseload data'!$D:$D,"PSO",'caseload data'!$B:$B,"custody")/SUMIFS('caseload data'!O:O,'caseload data'!$B:$B,"custody",'caseload data'!$C:$C,'custody %'!$B$71),"")</f>
        <v/>
      </c>
      <c r="N74" s="167" t="str">
        <f>IFERROR(SUMIFS('caseload data'!P:P,'caseload data'!$C:$C,'custody %'!$B$71,'caseload data'!$D:$D,"PSO",'caseload data'!$B:$B,"custody")/SUMIFS('caseload data'!P:P,'caseload data'!$B:$B,"custody",'caseload data'!$C:$C,'custody %'!$B$71),"")</f>
        <v/>
      </c>
      <c r="O74" s="167" t="str">
        <f>IFERROR(SUMIFS('caseload data'!Q:Q,'caseload data'!$C:$C,'custody %'!$B$71,'caseload data'!$D:$D,"PSO",'caseload data'!$B:$B,"custody")/SUMIFS('caseload data'!Q:Q,'caseload data'!$B:$B,"custody",'caseload data'!$C:$C,'custody %'!$B$71),"")</f>
        <v/>
      </c>
      <c r="P74" s="167" t="str">
        <f>IFERROR(SUMIFS('caseload data'!R:R,'caseload data'!$C:$C,'custody %'!$B$71,'caseload data'!$D:$D,"PSO",'caseload data'!$B:$B,"custody")/SUMIFS('caseload data'!R:R,'caseload data'!$B:$B,"custody",'caseload data'!$C:$C,'custody %'!$B$71),"")</f>
        <v/>
      </c>
      <c r="Q74" s="167" t="str">
        <f>IFERROR(SUMIFS('caseload data'!S:S,'caseload data'!$C:$C,'custody %'!$B$71,'caseload data'!$D:$D,"PSO",'caseload data'!$B:$B,"custody")/SUMIFS('caseload data'!S:S,'caseload data'!$B:$B,"custody",'caseload data'!$C:$C,'custody %'!$B$71),"")</f>
        <v/>
      </c>
      <c r="R74" s="167" t="str">
        <f>IFERROR(SUMIFS('caseload data'!T:T,'caseload data'!$C:$C,'custody %'!$B$71,'caseload data'!$D:$D,"PSO",'caseload data'!$B:$B,"custody")/SUMIFS('caseload data'!T:T,'caseload data'!$B:$B,"custody",'caseload data'!$C:$C,'custody %'!$B$71),"")</f>
        <v/>
      </c>
      <c r="T74" s="97" t="s">
        <v>1007</v>
      </c>
      <c r="U74" s="167" t="str">
        <f>IFERROR(SUMIFS('caseload data'!E:E,'caseload data'!$C:$C,'custody %'!$T$71,'caseload data'!$D:$D,"PSO",'caseload data'!$B:$B,"custody")/SUMIFS('caseload data'!E:E,'caseload data'!$B:$B,"custody",'caseload data'!$C:$C,'custody %'!$T$71),"")</f>
        <v/>
      </c>
      <c r="V74" s="167" t="str">
        <f>IFERROR(SUMIFS('caseload data'!F:F,'caseload data'!$C:$C,'custody %'!$T$71,'caseload data'!$D:$D,"PSO",'caseload data'!$B:$B,"custody")/SUMIFS('caseload data'!F:F,'caseload data'!$B:$B,"custody",'caseload data'!$C:$C,'custody %'!$T$71),"")</f>
        <v/>
      </c>
      <c r="W74" s="167" t="str">
        <f>IFERROR(SUMIFS('caseload data'!G:G,'caseload data'!$C:$C,'custody %'!$T$71,'caseload data'!$D:$D,"PSO",'caseload data'!$B:$B,"custody")/SUMIFS('caseload data'!G:G,'caseload data'!$B:$B,"custody",'caseload data'!$C:$C,'custody %'!$T$71),"")</f>
        <v/>
      </c>
      <c r="X74" s="167" t="str">
        <f>IFERROR(SUMIFS('caseload data'!H:H,'caseload data'!$C:$C,'custody %'!$T$71,'caseload data'!$D:$D,"PSO",'caseload data'!$B:$B,"custody")/SUMIFS('caseload data'!H:H,'caseload data'!$B:$B,"custody",'caseload data'!$C:$C,'custody %'!$T$71),"")</f>
        <v/>
      </c>
      <c r="Y74" s="167" t="str">
        <f>IFERROR(SUMIFS('caseload data'!I:I,'caseload data'!$C:$C,'custody %'!$T$71,'caseload data'!$D:$D,"PSO",'caseload data'!$B:$B,"custody")/SUMIFS('caseload data'!I:I,'caseload data'!$B:$B,"custody",'caseload data'!$C:$C,'custody %'!$T$71),"")</f>
        <v/>
      </c>
      <c r="Z74" s="167" t="str">
        <f>IFERROR(SUMIFS('caseload data'!J:J,'caseload data'!$C:$C,'custody %'!$T$71,'caseload data'!$D:$D,"PSO",'caseload data'!$B:$B,"custody")/SUMIFS('caseload data'!J:J,'caseload data'!$B:$B,"custody",'caseload data'!$C:$C,'custody %'!$T$71),"")</f>
        <v/>
      </c>
      <c r="AA74" s="167" t="str">
        <f>IFERROR(SUMIFS('caseload data'!K:K,'caseload data'!$C:$C,'custody %'!$T$71,'caseload data'!$D:$D,"PSO",'caseload data'!$B:$B,"custody")/SUMIFS('caseload data'!K:K,'caseload data'!$B:$B,"custody",'caseload data'!$C:$C,'custody %'!$T$71),"")</f>
        <v/>
      </c>
      <c r="AB74" s="167" t="str">
        <f>IFERROR(SUMIFS('caseload data'!L:L,'caseload data'!$C:$C,'custody %'!$T$71,'caseload data'!$D:$D,"PSO",'caseload data'!$B:$B,"custody")/SUMIFS('caseload data'!L:L,'caseload data'!$B:$B,"custody",'caseload data'!$C:$C,'custody %'!$T$71),"")</f>
        <v/>
      </c>
      <c r="AC74" s="167" t="str">
        <f>IFERROR(SUMIFS('caseload data'!M:M,'caseload data'!$C:$C,'custody %'!$T$71,'caseload data'!$D:$D,"PSO",'caseload data'!$B:$B,"custody")/SUMIFS('caseload data'!M:M,'caseload data'!$B:$B,"custody",'caseload data'!$C:$C,'custody %'!$T$71),"")</f>
        <v/>
      </c>
      <c r="AD74" s="167" t="str">
        <f>IFERROR(SUMIFS('caseload data'!N:N,'caseload data'!$C:$C,'custody %'!$T$71,'caseload data'!$D:$D,"PSO",'caseload data'!$B:$B,"custody")/SUMIFS('caseload data'!N:N,'caseload data'!$B:$B,"custody",'caseload data'!$C:$C,'custody %'!$T$71),"")</f>
        <v/>
      </c>
      <c r="AE74" s="167" t="str">
        <f>IFERROR(SUMIFS('caseload data'!O:O,'caseload data'!$C:$C,'custody %'!$T$71,'caseload data'!$D:$D,"PSO",'caseload data'!$B:$B,"custody")/SUMIFS('caseload data'!O:O,'caseload data'!$B:$B,"custody",'caseload data'!$C:$C,'custody %'!$T$71),"")</f>
        <v/>
      </c>
      <c r="AF74" s="167" t="str">
        <f>IFERROR(SUMIFS('caseload data'!P:P,'caseload data'!$C:$C,'custody %'!$T$71,'caseload data'!$D:$D,"PSO",'caseload data'!$B:$B,"custody")/SUMIFS('caseload data'!P:P,'caseload data'!$B:$B,"custody",'caseload data'!$C:$C,'custody %'!$T$71),"")</f>
        <v/>
      </c>
      <c r="AG74" s="167" t="str">
        <f>IFERROR(SUMIFS('caseload data'!Q:Q,'caseload data'!$C:$C,'custody %'!$T$71,'caseload data'!$D:$D,"PSO",'caseload data'!$B:$B,"custody")/SUMIFS('caseload data'!Q:Q,'caseload data'!$B:$B,"custody",'caseload data'!$C:$C,'custody %'!$T$71),"")</f>
        <v/>
      </c>
      <c r="AH74" s="167" t="str">
        <f>IFERROR(SUMIFS('caseload data'!R:R,'caseload data'!$C:$C,'custody %'!$T$71,'caseload data'!$D:$D,"PSO",'caseload data'!$B:$B,"custody")/SUMIFS('caseload data'!R:R,'caseload data'!$B:$B,"custody",'caseload data'!$C:$C,'custody %'!$T$71),"")</f>
        <v/>
      </c>
      <c r="AI74" s="167"/>
      <c r="AJ74" s="167"/>
    </row>
    <row r="75" spans="2:36" x14ac:dyDescent="0.15">
      <c r="B75" s="97" t="s">
        <v>1008</v>
      </c>
      <c r="C75" s="167" t="str">
        <f>IFERROR(SUMIFS('caseload data'!E:E,'caseload data'!$C:$C,'custody %'!$B$71,'caseload data'!$D:$D,"TPO",'caseload data'!$B:$B,"custody")/SUMIFS('caseload data'!E:E,'caseload data'!$B:$B,"custody",'caseload data'!$C:$C,'custody %'!$B$71),"")</f>
        <v/>
      </c>
      <c r="D75" s="167" t="str">
        <f>IFERROR(SUMIFS('caseload data'!F:F,'caseload data'!$C:$C,'custody %'!$B$71,'caseload data'!$D:$D,"TPO",'caseload data'!$B:$B,"custody")/SUMIFS('caseload data'!F:F,'caseload data'!$B:$B,"custody",'caseload data'!$C:$C,'custody %'!$B$71),"")</f>
        <v/>
      </c>
      <c r="E75" s="167" t="str">
        <f>IFERROR(SUMIFS('caseload data'!G:G,'caseload data'!$C:$C,'custody %'!$B$71,'caseload data'!$D:$D,"TPO",'caseload data'!$B:$B,"custody")/SUMIFS('caseload data'!G:G,'caseload data'!$B:$B,"custody",'caseload data'!$C:$C,'custody %'!$B$71),"")</f>
        <v/>
      </c>
      <c r="F75" s="167" t="str">
        <f>IFERROR(SUMIFS('caseload data'!H:H,'caseload data'!$C:$C,'custody %'!$B$71,'caseload data'!$D:$D,"TPO",'caseload data'!$B:$B,"custody")/SUMIFS('caseload data'!H:H,'caseload data'!$B:$B,"custody",'caseload data'!$C:$C,'custody %'!$B$71),"")</f>
        <v/>
      </c>
      <c r="G75" s="167" t="str">
        <f>IFERROR(SUMIFS('caseload data'!I:I,'caseload data'!$C:$C,'custody %'!$B$71,'caseload data'!$D:$D,"TPO",'caseload data'!$B:$B,"custody")/SUMIFS('caseload data'!I:I,'caseload data'!$B:$B,"custody",'caseload data'!$C:$C,'custody %'!$B$71),"")</f>
        <v/>
      </c>
      <c r="H75" s="167" t="str">
        <f>IFERROR(SUMIFS('caseload data'!J:J,'caseload data'!$C:$C,'custody %'!$B$71,'caseload data'!$D:$D,"TPO",'caseload data'!$B:$B,"custody")/SUMIFS('caseload data'!J:J,'caseload data'!$B:$B,"custody",'caseload data'!$C:$C,'custody %'!$B$71),"")</f>
        <v/>
      </c>
      <c r="I75" s="167" t="str">
        <f>IFERROR(SUMIFS('caseload data'!K:K,'caseload data'!$C:$C,'custody %'!$B$71,'caseload data'!$D:$D,"TPO",'caseload data'!$B:$B,"custody")/SUMIFS('caseload data'!K:K,'caseload data'!$B:$B,"custody",'caseload data'!$C:$C,'custody %'!$B$71),"")</f>
        <v/>
      </c>
      <c r="J75" s="167" t="str">
        <f>IFERROR(SUMIFS('caseload data'!L:L,'caseload data'!$C:$C,'custody %'!$B$71,'caseload data'!$D:$D,"TPO",'caseload data'!$B:$B,"custody")/SUMIFS('caseload data'!L:L,'caseload data'!$B:$B,"custody",'caseload data'!$C:$C,'custody %'!$B$71),"")</f>
        <v/>
      </c>
      <c r="K75" s="167" t="str">
        <f>IFERROR(SUMIFS('caseload data'!M:M,'caseload data'!$C:$C,'custody %'!$B$71,'caseload data'!$D:$D,"TPO",'caseload data'!$B:$B,"custody")/SUMIFS('caseload data'!M:M,'caseload data'!$B:$B,"custody",'caseload data'!$C:$C,'custody %'!$B$71),"")</f>
        <v/>
      </c>
      <c r="L75" s="167" t="str">
        <f>IFERROR(SUMIFS('caseload data'!N:N,'caseload data'!$C:$C,'custody %'!$B$71,'caseload data'!$D:$D,"TPO",'caseload data'!$B:$B,"custody")/SUMIFS('caseload data'!N:N,'caseload data'!$B:$B,"custody",'caseload data'!$C:$C,'custody %'!$B$71),"")</f>
        <v/>
      </c>
      <c r="M75" s="167" t="str">
        <f>IFERROR(SUMIFS('caseload data'!O:O,'caseload data'!$C:$C,'custody %'!$B$71,'caseload data'!$D:$D,"TPO",'caseload data'!$B:$B,"custody")/SUMIFS('caseload data'!O:O,'caseload data'!$B:$B,"custody",'caseload data'!$C:$C,'custody %'!$B$71),"")</f>
        <v/>
      </c>
      <c r="N75" s="167" t="str">
        <f>IFERROR(SUMIFS('caseload data'!P:P,'caseload data'!$C:$C,'custody %'!$B$71,'caseload data'!$D:$D,"TPO",'caseload data'!$B:$B,"custody")/SUMIFS('caseload data'!P:P,'caseload data'!$B:$B,"custody",'caseload data'!$C:$C,'custody %'!$B$71),"")</f>
        <v/>
      </c>
      <c r="O75" s="167" t="str">
        <f>IFERROR(SUMIFS('caseload data'!Q:Q,'caseload data'!$C:$C,'custody %'!$B$71,'caseload data'!$D:$D,"TPO",'caseload data'!$B:$B,"custody")/SUMIFS('caseload data'!Q:Q,'caseload data'!$B:$B,"custody",'caseload data'!$C:$C,'custody %'!$B$71),"")</f>
        <v/>
      </c>
      <c r="P75" s="167" t="str">
        <f>IFERROR(SUMIFS('caseload data'!R:R,'caseload data'!$C:$C,'custody %'!$B$71,'caseload data'!$D:$D,"TPO",'caseload data'!$B:$B,"custody")/SUMIFS('caseload data'!R:R,'caseload data'!$B:$B,"custody",'caseload data'!$C:$C,'custody %'!$B$71),"")</f>
        <v/>
      </c>
      <c r="Q75" s="167" t="str">
        <f>IFERROR(SUMIFS('caseload data'!S:S,'caseload data'!$C:$C,'custody %'!$B$71,'caseload data'!$D:$D,"TPO",'caseload data'!$B:$B,"custody")/SUMIFS('caseload data'!S:S,'caseload data'!$B:$B,"custody",'caseload data'!$C:$C,'custody %'!$B$71),"")</f>
        <v/>
      </c>
      <c r="R75" s="167" t="str">
        <f>IFERROR(SUMIFS('caseload data'!T:T,'caseload data'!$C:$C,'custody %'!$B$71,'caseload data'!$D:$D,"TPO",'caseload data'!$B:$B,"custody")/SUMIFS('caseload data'!T:T,'caseload data'!$B:$B,"custody",'caseload data'!$C:$C,'custody %'!$B$71),"")</f>
        <v/>
      </c>
      <c r="T75" s="97" t="s">
        <v>1008</v>
      </c>
      <c r="U75" s="167" t="str">
        <f>IFERROR(SUMIFS('caseload data'!E:E,'caseload data'!$C:$C,'custody %'!$T$71,'caseload data'!$D:$D,"TPO",'caseload data'!$B:$B,"custody")/SUMIFS('caseload data'!E:E,'caseload data'!$B:$B,"custody",'caseload data'!$C:$C,'custody %'!$T$71),"")</f>
        <v/>
      </c>
      <c r="V75" s="167" t="str">
        <f>IFERROR(SUMIFS('caseload data'!F:F,'caseload data'!$C:$C,'custody %'!$T$71,'caseload data'!$D:$D,"TPO",'caseload data'!$B:$B,"custody")/SUMIFS('caseload data'!F:F,'caseload data'!$B:$B,"custody",'caseload data'!$C:$C,'custody %'!$T$71),"")</f>
        <v/>
      </c>
      <c r="W75" s="167" t="str">
        <f>IFERROR(SUMIFS('caseload data'!G:G,'caseload data'!$C:$C,'custody %'!$T$71,'caseload data'!$D:$D,"TPO",'caseload data'!$B:$B,"custody")/SUMIFS('caseload data'!G:G,'caseload data'!$B:$B,"custody",'caseload data'!$C:$C,'custody %'!$T$71),"")</f>
        <v/>
      </c>
      <c r="X75" s="167" t="str">
        <f>IFERROR(SUMIFS('caseload data'!H:H,'caseload data'!$C:$C,'custody %'!$T$71,'caseload data'!$D:$D,"TPO",'caseload data'!$B:$B,"custody")/SUMIFS('caseload data'!H:H,'caseload data'!$B:$B,"custody",'caseload data'!$C:$C,'custody %'!$T$71),"")</f>
        <v/>
      </c>
      <c r="Y75" s="167" t="str">
        <f>IFERROR(SUMIFS('caseload data'!I:I,'caseload data'!$C:$C,'custody %'!$T$71,'caseload data'!$D:$D,"TPO",'caseload data'!$B:$B,"custody")/SUMIFS('caseload data'!I:I,'caseload data'!$B:$B,"custody",'caseload data'!$C:$C,'custody %'!$T$71),"")</f>
        <v/>
      </c>
      <c r="Z75" s="167" t="str">
        <f>IFERROR(SUMIFS('caseload data'!J:J,'caseload data'!$C:$C,'custody %'!$T$71,'caseload data'!$D:$D,"TPO",'caseload data'!$B:$B,"custody")/SUMIFS('caseload data'!J:J,'caseload data'!$B:$B,"custody",'caseload data'!$C:$C,'custody %'!$T$71),"")</f>
        <v/>
      </c>
      <c r="AA75" s="167" t="str">
        <f>IFERROR(SUMIFS('caseload data'!K:K,'caseload data'!$C:$C,'custody %'!$T$71,'caseload data'!$D:$D,"TPO",'caseload data'!$B:$B,"custody")/SUMIFS('caseload data'!K:K,'caseload data'!$B:$B,"custody",'caseload data'!$C:$C,'custody %'!$T$71),"")</f>
        <v/>
      </c>
      <c r="AB75" s="167" t="str">
        <f>IFERROR(SUMIFS('caseload data'!L:L,'caseload data'!$C:$C,'custody %'!$T$71,'caseload data'!$D:$D,"TPO",'caseload data'!$B:$B,"custody")/SUMIFS('caseload data'!L:L,'caseload data'!$B:$B,"custody",'caseload data'!$C:$C,'custody %'!$T$71),"")</f>
        <v/>
      </c>
      <c r="AC75" s="167" t="str">
        <f>IFERROR(SUMIFS('caseload data'!M:M,'caseload data'!$C:$C,'custody %'!$T$71,'caseload data'!$D:$D,"TPO",'caseload data'!$B:$B,"custody")/SUMIFS('caseload data'!M:M,'caseload data'!$B:$B,"custody",'caseload data'!$C:$C,'custody %'!$T$71),"")</f>
        <v/>
      </c>
      <c r="AD75" s="167" t="str">
        <f>IFERROR(SUMIFS('caseload data'!N:N,'caseload data'!$C:$C,'custody %'!$T$71,'caseload data'!$D:$D,"TPO",'caseload data'!$B:$B,"custody")/SUMIFS('caseload data'!N:N,'caseload data'!$B:$B,"custody",'caseload data'!$C:$C,'custody %'!$T$71),"")</f>
        <v/>
      </c>
      <c r="AE75" s="167" t="str">
        <f>IFERROR(SUMIFS('caseload data'!O:O,'caseload data'!$C:$C,'custody %'!$T$71,'caseload data'!$D:$D,"TPO",'caseload data'!$B:$B,"custody")/SUMIFS('caseload data'!O:O,'caseload data'!$B:$B,"custody",'caseload data'!$C:$C,'custody %'!$T$71),"")</f>
        <v/>
      </c>
      <c r="AF75" s="167" t="str">
        <f>IFERROR(SUMIFS('caseload data'!P:P,'caseload data'!$C:$C,'custody %'!$T$71,'caseload data'!$D:$D,"TPO",'caseload data'!$B:$B,"custody")/SUMIFS('caseload data'!P:P,'caseload data'!$B:$B,"custody",'caseload data'!$C:$C,'custody %'!$T$71),"")</f>
        <v/>
      </c>
      <c r="AG75" s="167" t="str">
        <f>IFERROR(SUMIFS('caseload data'!Q:Q,'caseload data'!$C:$C,'custody %'!$T$71,'caseload data'!$D:$D,"TPO",'caseload data'!$B:$B,"custody")/SUMIFS('caseload data'!Q:Q,'caseload data'!$B:$B,"custody",'caseload data'!$C:$C,'custody %'!$T$71),"")</f>
        <v/>
      </c>
      <c r="AH75" s="167" t="str">
        <f>IFERROR(SUMIFS('caseload data'!R:R,'caseload data'!$C:$C,'custody %'!$T$71,'caseload data'!$D:$D,"TPO",'caseload data'!$B:$B,"custody")/SUMIFS('caseload data'!R:R,'caseload data'!$B:$B,"custody",'caseload data'!$C:$C,'custody %'!$T$71),"")</f>
        <v/>
      </c>
      <c r="AI75" s="167"/>
      <c r="AJ75" s="167"/>
    </row>
    <row r="76" spans="2:36" x14ac:dyDescent="0.15">
      <c r="B76" s="98" t="s">
        <v>1009</v>
      </c>
      <c r="C76" s="167" t="str">
        <f>IFERROR(SUMIFS('caseload data'!E:E,'caseload data'!$C:$C,'custody %'!$B$71,'caseload data'!$D:$D,"SPO",'caseload data'!$B:$B,"custody")/SUMIFS('caseload data'!E:E,'caseload data'!$B:$B,"custody",'caseload data'!$C:$C,'custody %'!$B$71),"")</f>
        <v/>
      </c>
      <c r="D76" s="167" t="str">
        <f>IFERROR(SUMIFS('caseload data'!F:F,'caseload data'!$C:$C,'custody %'!$B$71,'caseload data'!$D:$D,"SPO",'caseload data'!$B:$B,"custody")/SUMIFS('caseload data'!F:F,'caseload data'!$B:$B,"custody",'caseload data'!$C:$C,'custody %'!$B$71),"")</f>
        <v/>
      </c>
      <c r="E76" s="167" t="str">
        <f>IFERROR(SUMIFS('caseload data'!G:G,'caseload data'!$C:$C,'custody %'!$B$71,'caseload data'!$D:$D,"SPO",'caseload data'!$B:$B,"custody")/SUMIFS('caseload data'!G:G,'caseload data'!$B:$B,"custody",'caseload data'!$C:$C,'custody %'!$B$71),"")</f>
        <v/>
      </c>
      <c r="F76" s="167" t="str">
        <f>IFERROR(SUMIFS('caseload data'!H:H,'caseload data'!$C:$C,'custody %'!$B$71,'caseload data'!$D:$D,"SPO",'caseload data'!$B:$B,"custody")/SUMIFS('caseload data'!H:H,'caseload data'!$B:$B,"custody",'caseload data'!$C:$C,'custody %'!$B$71),"")</f>
        <v/>
      </c>
      <c r="G76" s="167" t="str">
        <f>IFERROR(SUMIFS('caseload data'!I:I,'caseload data'!$C:$C,'custody %'!$B$71,'caseload data'!$D:$D,"SPO",'caseload data'!$B:$B,"custody")/SUMIFS('caseload data'!I:I,'caseload data'!$B:$B,"custody",'caseload data'!$C:$C,'custody %'!$B$71),"")</f>
        <v/>
      </c>
      <c r="H76" s="167" t="str">
        <f>IFERROR(SUMIFS('caseload data'!J:J,'caseload data'!$C:$C,'custody %'!$B$71,'caseload data'!$D:$D,"SPO",'caseload data'!$B:$B,"custody")/SUMIFS('caseload data'!J:J,'caseload data'!$B:$B,"custody",'caseload data'!$C:$C,'custody %'!$B$71),"")</f>
        <v/>
      </c>
      <c r="I76" s="167" t="str">
        <f>IFERROR(SUMIFS('caseload data'!K:K,'caseload data'!$C:$C,'custody %'!$B$71,'caseload data'!$D:$D,"SPO",'caseload data'!$B:$B,"custody")/SUMIFS('caseload data'!K:K,'caseload data'!$B:$B,"custody",'caseload data'!$C:$C,'custody %'!$B$71),"")</f>
        <v/>
      </c>
      <c r="J76" s="167" t="str">
        <f>IFERROR(SUMIFS('caseload data'!L:L,'caseload data'!$C:$C,'custody %'!$B$71,'caseload data'!$D:$D,"SPO",'caseload data'!$B:$B,"custody")/SUMIFS('caseload data'!L:L,'caseload data'!$B:$B,"custody",'caseload data'!$C:$C,'custody %'!$B$71),"")</f>
        <v/>
      </c>
      <c r="K76" s="167" t="str">
        <f>IFERROR(SUMIFS('caseload data'!M:M,'caseload data'!$C:$C,'custody %'!$B$71,'caseload data'!$D:$D,"SPO",'caseload data'!$B:$B,"custody")/SUMIFS('caseload data'!M:M,'caseload data'!$B:$B,"custody",'caseload data'!$C:$C,'custody %'!$B$71),"")</f>
        <v/>
      </c>
      <c r="L76" s="167" t="str">
        <f>IFERROR(SUMIFS('caseload data'!N:N,'caseload data'!$C:$C,'custody %'!$B$71,'caseload data'!$D:$D,"TPO",'caseload data'!$B:$B,"custody")/SUMIFS('caseload data'!N:N,'caseload data'!$B:$B,"custody",'caseload data'!$C:$C,'custody %'!$B$71),"")</f>
        <v/>
      </c>
      <c r="M76" s="167" t="str">
        <f>IFERROR(SUMIFS('caseload data'!O:O,'caseload data'!$C:$C,'custody %'!$B$71,'caseload data'!$D:$D,"SPO",'caseload data'!$B:$B,"custody")/SUMIFS('caseload data'!O:O,'caseload data'!$B:$B,"custody",'caseload data'!$C:$C,'custody %'!$B$71),"")</f>
        <v/>
      </c>
      <c r="N76" s="167" t="str">
        <f>IFERROR(SUMIFS('caseload data'!P:P,'caseload data'!$C:$C,'custody %'!$B$71,'caseload data'!$D:$D,"SPO",'caseload data'!$B:$B,"custody")/SUMIFS('caseload data'!P:P,'caseload data'!$B:$B,"custody",'caseload data'!$C:$C,'custody %'!$B$71),"")</f>
        <v/>
      </c>
      <c r="O76" s="167" t="str">
        <f>IFERROR(SUMIFS('caseload data'!Q:Q,'caseload data'!$C:$C,'custody %'!$B$71,'caseload data'!$D:$D,"SPO",'caseload data'!$B:$B,"custody")/SUMIFS('caseload data'!Q:Q,'caseload data'!$B:$B,"custody",'caseload data'!$C:$C,'custody %'!$B$71),"")</f>
        <v/>
      </c>
      <c r="P76" s="167" t="str">
        <f>IFERROR(SUMIFS('caseload data'!R:R,'caseload data'!$C:$C,'custody %'!$B$71,'caseload data'!$D:$D,"SPO",'caseload data'!$B:$B,"custody")/SUMIFS('caseload data'!R:R,'caseload data'!$B:$B,"custody",'caseload data'!$C:$C,'custody %'!$B$71),"")</f>
        <v/>
      </c>
      <c r="Q76" s="167" t="str">
        <f>IFERROR(SUMIFS('caseload data'!S:S,'caseload data'!$C:$C,'custody %'!$B$71,'caseload data'!$D:$D,"SPO",'caseload data'!$B:$B,"custody")/SUMIFS('caseload data'!S:S,'caseload data'!$B:$B,"custody",'caseload data'!$C:$C,'custody %'!$B$71),"")</f>
        <v/>
      </c>
      <c r="R76" s="167" t="str">
        <f>IFERROR(SUMIFS('caseload data'!T:T,'caseload data'!$C:$C,'custody %'!$B$71,'caseload data'!$D:$D,"SPO",'caseload data'!$B:$B,"custody")/SUMIFS('caseload data'!T:T,'caseload data'!$B:$B,"custody",'caseload data'!$C:$C,'custody %'!$B$71),"")</f>
        <v/>
      </c>
      <c r="T76" s="98" t="s">
        <v>1009</v>
      </c>
      <c r="U76" s="167" t="str">
        <f>IFERROR(SUMIFS('caseload data'!E:E,'caseload data'!$C:$C,'custody %'!$T$71,'caseload data'!$D:$D,"SPO",'caseload data'!$B:$B,"custody")/SUMIFS('caseload data'!E:E,'caseload data'!$B:$B,"custody",'caseload data'!$C:$C,'custody %'!$T$71),"")</f>
        <v/>
      </c>
      <c r="V76" s="167" t="str">
        <f>IFERROR(SUMIFS('caseload data'!F:F,'caseload data'!$C:$C,'custody %'!$T$71,'caseload data'!$D:$D,"SPO",'caseload data'!$B:$B,"custody")/SUMIFS('caseload data'!F:F,'caseload data'!$B:$B,"custody",'caseload data'!$C:$C,'custody %'!$T$71),"")</f>
        <v/>
      </c>
      <c r="W76" s="167" t="str">
        <f>IFERROR(SUMIFS('caseload data'!G:G,'caseload data'!$C:$C,'custody %'!$T$71,'caseload data'!$D:$D,"SPO",'caseload data'!$B:$B,"custody")/SUMIFS('caseload data'!G:G,'caseload data'!$B:$B,"custody",'caseload data'!$C:$C,'custody %'!$T$71),"")</f>
        <v/>
      </c>
      <c r="X76" s="167" t="str">
        <f>IFERROR(SUMIFS('caseload data'!H:H,'caseload data'!$C:$C,'custody %'!$T$71,'caseload data'!$D:$D,"SPO",'caseload data'!$B:$B,"custody")/SUMIFS('caseload data'!H:H,'caseload data'!$B:$B,"custody",'caseload data'!$C:$C,'custody %'!$T$71),"")</f>
        <v/>
      </c>
      <c r="Y76" s="167" t="str">
        <f>IFERROR(SUMIFS('caseload data'!I:I,'caseload data'!$C:$C,'custody %'!$T$71,'caseload data'!$D:$D,"SPO",'caseload data'!$B:$B,"custody")/SUMIFS('caseload data'!I:I,'caseload data'!$B:$B,"custody",'caseload data'!$C:$C,'custody %'!$T$71),"")</f>
        <v/>
      </c>
      <c r="Z76" s="167" t="str">
        <f>IFERROR(SUMIFS('caseload data'!J:J,'caseload data'!$C:$C,'custody %'!$T$71,'caseload data'!$D:$D,"SPO",'caseload data'!$B:$B,"custody")/SUMIFS('caseload data'!J:J,'caseload data'!$B:$B,"custody",'caseload data'!$C:$C,'custody %'!$T$71),"")</f>
        <v/>
      </c>
      <c r="AA76" s="167" t="str">
        <f>IFERROR(SUMIFS('caseload data'!K:K,'caseload data'!$C:$C,'custody %'!$T$71,'caseload data'!$D:$D,"SPO",'caseload data'!$B:$B,"custody")/SUMIFS('caseload data'!K:K,'caseload data'!$B:$B,"custody",'caseload data'!$C:$C,'custody %'!$T$71),"")</f>
        <v/>
      </c>
      <c r="AB76" s="167" t="str">
        <f>IFERROR(SUMIFS('caseload data'!L:L,'caseload data'!$C:$C,'custody %'!$T$71,'caseload data'!$D:$D,"SPO",'caseload data'!$B:$B,"custody")/SUMIFS('caseload data'!L:L,'caseload data'!$B:$B,"custody",'caseload data'!$C:$C,'custody %'!$T$71),"")</f>
        <v/>
      </c>
      <c r="AC76" s="167" t="str">
        <f>IFERROR(SUMIFS('caseload data'!M:M,'caseload data'!$C:$C,'custody %'!$T$71,'caseload data'!$D:$D,"SPO",'caseload data'!$B:$B,"custody")/SUMIFS('caseload data'!M:M,'caseload data'!$B:$B,"custody",'caseload data'!$C:$C,'custody %'!$T$71),"")</f>
        <v/>
      </c>
      <c r="AD76" s="167" t="str">
        <f>IFERROR(SUMIFS('caseload data'!N:N,'caseload data'!$C:$C,'custody %'!$T$71,'caseload data'!$D:$D,"SPO",'caseload data'!$B:$B,"custody")/SUMIFS('caseload data'!N:N,'caseload data'!$B:$B,"custody",'caseload data'!$C:$C,'custody %'!$T$71),"")</f>
        <v/>
      </c>
      <c r="AE76" s="167" t="str">
        <f>IFERROR(SUMIFS('caseload data'!O:O,'caseload data'!$C:$C,'custody %'!$T$71,'caseload data'!$D:$D,"SPO",'caseload data'!$B:$B,"custody")/SUMIFS('caseload data'!O:O,'caseload data'!$B:$B,"custody",'caseload data'!$C:$C,'custody %'!$T$71),"")</f>
        <v/>
      </c>
      <c r="AF76" s="167" t="str">
        <f>IFERROR(SUMIFS('caseload data'!P:P,'caseload data'!$C:$C,'custody %'!$T$71,'caseload data'!$D:$D,"SPO",'caseload data'!$B:$B,"custody")/SUMIFS('caseload data'!P:P,'caseload data'!$B:$B,"custody",'caseload data'!$C:$C,'custody %'!$T$71),"")</f>
        <v/>
      </c>
      <c r="AG76" s="167" t="str">
        <f>IFERROR(SUMIFS('caseload data'!Q:Q,'caseload data'!$C:$C,'custody %'!$T$71,'caseload data'!$D:$D,"SPO",'caseload data'!$B:$B,"custody")/SUMIFS('caseload data'!Q:Q,'caseload data'!$B:$B,"custody",'caseload data'!$C:$C,'custody %'!$T$71),"")</f>
        <v/>
      </c>
      <c r="AH76" s="167" t="str">
        <f>IFERROR(SUMIFS('caseload data'!R:R,'caseload data'!$C:$C,'custody %'!$T$71,'caseload data'!$D:$D,"SPO",'caseload data'!$B:$B,"custody")/SUMIFS('caseload data'!R:R,'caseload data'!$B:$B,"custody",'caseload data'!$C:$C,'custody %'!$T$71),"")</f>
        <v/>
      </c>
      <c r="AI76" s="167"/>
      <c r="AJ76" s="167"/>
    </row>
    <row r="78" spans="2:36" ht="25.5" customHeight="1" x14ac:dyDescent="0.15">
      <c r="B78" s="289">
        <f>HLOOKUP($B$5,Region_Table,22,0)</f>
        <v>0</v>
      </c>
      <c r="C78" s="515" t="s">
        <v>1131</v>
      </c>
      <c r="D78" s="516"/>
      <c r="E78" s="516"/>
      <c r="F78" s="516"/>
      <c r="G78" s="516"/>
      <c r="H78" s="516"/>
      <c r="I78" s="516"/>
      <c r="J78" s="516"/>
      <c r="K78" s="516"/>
      <c r="L78" s="516"/>
      <c r="M78" s="535"/>
      <c r="N78" s="535"/>
      <c r="O78" s="536"/>
      <c r="P78" s="510">
        <f>SUMIF('caseload data'!$C:$C,'custody %'!B78,'caseload data'!V:V)</f>
        <v>0</v>
      </c>
      <c r="Q78" s="527"/>
      <c r="R78" s="528"/>
      <c r="T78" s="289">
        <f>HLOOKUP($B$5,Region_Table,23,0)</f>
        <v>0</v>
      </c>
      <c r="U78" s="515" t="s">
        <v>1131</v>
      </c>
      <c r="V78" s="516"/>
      <c r="W78" s="516"/>
      <c r="X78" s="516"/>
      <c r="Y78" s="516"/>
      <c r="Z78" s="516"/>
      <c r="AA78" s="516"/>
      <c r="AB78" s="516"/>
      <c r="AC78" s="535"/>
      <c r="AD78" s="535"/>
      <c r="AE78" s="536"/>
      <c r="AF78" s="510">
        <f>SUMIF('caseload data'!$C:$C,'custody %'!T78,'caseload data'!V:V)</f>
        <v>0</v>
      </c>
      <c r="AG78" s="527"/>
      <c r="AH78" s="528"/>
    </row>
    <row r="79" spans="2:36" x14ac:dyDescent="0.15">
      <c r="B79" s="95" t="s">
        <v>1005</v>
      </c>
      <c r="C79" s="38" t="s">
        <v>869</v>
      </c>
      <c r="D79" s="38" t="s">
        <v>870</v>
      </c>
      <c r="E79" s="38" t="s">
        <v>871</v>
      </c>
      <c r="F79" s="38" t="s">
        <v>872</v>
      </c>
      <c r="G79" s="38" t="s">
        <v>873</v>
      </c>
      <c r="H79" s="38" t="s">
        <v>874</v>
      </c>
      <c r="I79" s="38" t="s">
        <v>875</v>
      </c>
      <c r="J79" s="38" t="s">
        <v>876</v>
      </c>
      <c r="K79" s="38" t="s">
        <v>877</v>
      </c>
      <c r="L79" s="38" t="s">
        <v>878</v>
      </c>
      <c r="M79" s="38" t="s">
        <v>879</v>
      </c>
      <c r="N79" s="38" t="s">
        <v>880</v>
      </c>
      <c r="O79" s="38" t="s">
        <v>881</v>
      </c>
      <c r="P79" s="38" t="s">
        <v>882</v>
      </c>
      <c r="Q79" s="38" t="s">
        <v>883</v>
      </c>
      <c r="R79" s="38" t="s">
        <v>884</v>
      </c>
      <c r="T79" s="95" t="s">
        <v>1005</v>
      </c>
      <c r="U79" s="38" t="s">
        <v>869</v>
      </c>
      <c r="V79" s="38" t="s">
        <v>870</v>
      </c>
      <c r="W79" s="38" t="s">
        <v>871</v>
      </c>
      <c r="X79" s="38" t="s">
        <v>872</v>
      </c>
      <c r="Y79" s="38" t="s">
        <v>873</v>
      </c>
      <c r="Z79" s="38" t="s">
        <v>874</v>
      </c>
      <c r="AA79" s="38" t="s">
        <v>875</v>
      </c>
      <c r="AB79" s="38" t="s">
        <v>876</v>
      </c>
      <c r="AC79" s="38" t="s">
        <v>877</v>
      </c>
      <c r="AD79" s="38" t="s">
        <v>878</v>
      </c>
      <c r="AE79" s="38" t="s">
        <v>879</v>
      </c>
      <c r="AF79" s="38" t="s">
        <v>880</v>
      </c>
      <c r="AG79" s="38" t="s">
        <v>881</v>
      </c>
      <c r="AH79" s="38" t="s">
        <v>882</v>
      </c>
      <c r="AI79" s="38" t="s">
        <v>883</v>
      </c>
      <c r="AJ79" s="38" t="s">
        <v>884</v>
      </c>
    </row>
    <row r="80" spans="2:36" x14ac:dyDescent="0.15">
      <c r="B80" s="96" t="s">
        <v>1002</v>
      </c>
      <c r="C80" s="167" t="str">
        <f>IFERROR(SUMIFS('caseload data'!E:E,'caseload data'!$C:$C,'custody %'!$B$78,'caseload data'!$D:$D,"PO",'caseload data'!$B:$B,"custody")/SUMIFS('caseload data'!E:E,'caseload data'!$B:$B,"custody",'caseload data'!$C:$C,'custody %'!$B$78),"")</f>
        <v/>
      </c>
      <c r="D80" s="167" t="str">
        <f>IFERROR(SUMIFS('caseload data'!F:F,'caseload data'!$C:$C,'custody %'!$B$78,'caseload data'!$D:$D,"PO",'caseload data'!$B:$B,"custody")/SUMIFS('caseload data'!F:F,'caseload data'!$B:$B,"custody",'caseload data'!$C:$C,'custody %'!$B$78),"")</f>
        <v/>
      </c>
      <c r="E80" s="167" t="str">
        <f>IFERROR(SUMIFS('caseload data'!G:G,'caseload data'!$C:$C,'custody %'!$B$78,'caseload data'!$D:$D,"PO",'caseload data'!$B:$B,"custody")/SUMIFS('caseload data'!G:G,'caseload data'!$B:$B,"custody",'caseload data'!$C:$C,'custody %'!$B$78),"")</f>
        <v/>
      </c>
      <c r="F80" s="167" t="str">
        <f>IFERROR(SUMIFS('caseload data'!H:H,'caseload data'!$C:$C,'custody %'!$B$78,'caseload data'!$D:$D,"PO",'caseload data'!$B:$B,"custody")/SUMIFS('caseload data'!H:H,'caseload data'!$B:$B,"custody",'caseload data'!$C:$C,'custody %'!$B$78),"")</f>
        <v/>
      </c>
      <c r="G80" s="167" t="str">
        <f>IFERROR(SUMIFS('caseload data'!I:I,'caseload data'!$C:$C,'custody %'!$B$78,'caseload data'!$D:$D,"PO",'caseload data'!$B:$B,"custody")/SUMIFS('caseload data'!I:I,'caseload data'!$B:$B,"custody",'caseload data'!$C:$C,'custody %'!$B$78),"")</f>
        <v/>
      </c>
      <c r="H80" s="167" t="str">
        <f>IFERROR(SUMIFS('caseload data'!J:J,'caseload data'!$C:$C,'custody %'!$B$78,'caseload data'!$D:$D,"PO",'caseload data'!$B:$B,"custody")/SUMIFS('caseload data'!J:J,'caseload data'!$B:$B,"custody",'caseload data'!$C:$C,'custody %'!$B$78),"")</f>
        <v/>
      </c>
      <c r="I80" s="167" t="str">
        <f>IFERROR(SUMIFS('caseload data'!K:K,'caseload data'!$C:$C,'custody %'!$B$78,'caseload data'!$D:$D,"PO",'caseload data'!$B:$B,"custody")/SUMIFS('caseload data'!K:K,'caseload data'!$B:$B,"custody",'caseload data'!$C:$C,'custody %'!$B$78),"")</f>
        <v/>
      </c>
      <c r="J80" s="167" t="str">
        <f>IFERROR(SUMIFS('caseload data'!L:L,'caseload data'!$C:$C,'custody %'!$B$78,'caseload data'!$D:$D,"PO",'caseload data'!$B:$B,"custody")/SUMIFS('caseload data'!L:L,'caseload data'!$B:$B,"custody",'caseload data'!$C:$C,'custody %'!$B$78),"")</f>
        <v/>
      </c>
      <c r="K80" s="167" t="str">
        <f>IFERROR(SUMIFS('caseload data'!M:M,'caseload data'!$C:$C,'custody %'!$B$78,'caseload data'!$D:$D,"PO",'caseload data'!$B:$B,"custody")/SUMIFS('caseload data'!M:M,'caseload data'!$B:$B,"custody",'caseload data'!$C:$C,'custody %'!$B$78),"")</f>
        <v/>
      </c>
      <c r="L80" s="167" t="str">
        <f>IFERROR(SUMIFS('caseload data'!N:N,'caseload data'!$C:$C,'custody %'!$B$78,'caseload data'!$D:$D,"PO",'caseload data'!$B:$B,"custody")/SUMIFS('caseload data'!N:N,'caseload data'!$B:$B,"custody",'caseload data'!$C:$C,'custody %'!$B$78),"")</f>
        <v/>
      </c>
      <c r="M80" s="167" t="str">
        <f>IFERROR(SUMIFS('caseload data'!O:O,'caseload data'!$C:$C,'custody %'!$B$78,'caseload data'!$D:$D,"PO",'caseload data'!$B:$B,"custody")/SUMIFS('caseload data'!O:O,'caseload data'!$B:$B,"custody",'caseload data'!$C:$C,'custody %'!$B$78),"")</f>
        <v/>
      </c>
      <c r="N80" s="167" t="str">
        <f>IFERROR(SUMIFS('caseload data'!P:P,'caseload data'!$C:$C,'custody %'!$B$78,'caseload data'!$D:$D,"PO",'caseload data'!$B:$B,"custody")/SUMIFS('caseload data'!P:P,'caseload data'!$B:$B,"custody",'caseload data'!$C:$C,'custody %'!$B$78),"")</f>
        <v/>
      </c>
      <c r="O80" s="167" t="str">
        <f>IFERROR(SUMIFS('caseload data'!Q:Q,'caseload data'!$C:$C,'custody %'!$B$78,'caseload data'!$D:$D,"PO",'caseload data'!$B:$B,"custody")/SUMIFS('caseload data'!Q:Q,'caseload data'!$B:$B,"custody",'caseload data'!$C:$C,'custody %'!$B$78),"")</f>
        <v/>
      </c>
      <c r="P80" s="167" t="str">
        <f>IFERROR(SUMIFS('caseload data'!R:R,'caseload data'!$C:$C,'custody %'!$B$78,'caseload data'!$D:$D,"PO",'caseload data'!$B:$B,"custody")/SUMIFS('caseload data'!R:R,'caseload data'!$B:$B,"custody",'caseload data'!$C:$C,'custody %'!$B$78),"")</f>
        <v/>
      </c>
      <c r="Q80" s="167" t="str">
        <f>IFERROR(SUMIFS('caseload data'!S:S,'caseload data'!$C:$C,'custody %'!$B$78,'caseload data'!$D:$D,"PO",'caseload data'!$B:$B,"custody")/SUMIFS('caseload data'!S:S,'caseload data'!$B:$B,"custody",'caseload data'!$C:$C,'custody %'!$B$78),"")</f>
        <v/>
      </c>
      <c r="R80" s="167" t="str">
        <f>IFERROR(SUMIFS('caseload data'!T:T,'caseload data'!$C:$C,'custody %'!$B$78,'caseload data'!$D:$D,"PO",'caseload data'!$B:$B,"custody")/SUMIFS('caseload data'!T:T,'caseload data'!$B:$B,"custody",'caseload data'!$C:$C,'custody %'!$B$78),"")</f>
        <v/>
      </c>
      <c r="T80" s="96" t="s">
        <v>1002</v>
      </c>
      <c r="U80" s="167" t="str">
        <f>IFERROR(SUMIFS('caseload data'!E:E,'caseload data'!$C:$C,'custody %'!$T$78,'caseload data'!$D:$D,"PO",'caseload data'!$B:$B,"custody")/SUMIFS('caseload data'!E:E,'caseload data'!$B:$B,"custody",'caseload data'!$C:$C,'custody %'!$T$78),"")</f>
        <v/>
      </c>
      <c r="V80" s="167" t="str">
        <f>IFERROR(SUMIFS('caseload data'!F:F,'caseload data'!$C:$C,'custody %'!$T$78,'caseload data'!$D:$D,"PO",'caseload data'!$B:$B,"custody")/SUMIFS('caseload data'!F:F,'caseload data'!$B:$B,"custody",'caseload data'!$C:$C,'custody %'!$T$78),"")</f>
        <v/>
      </c>
      <c r="W80" s="167" t="str">
        <f>IFERROR(SUMIFS('caseload data'!G:G,'caseload data'!$C:$C,'custody %'!$T$78,'caseload data'!$D:$D,"PO",'caseload data'!$B:$B,"custody")/SUMIFS('caseload data'!G:G,'caseload data'!$B:$B,"custody",'caseload data'!$C:$C,'custody %'!$T$78),"")</f>
        <v/>
      </c>
      <c r="X80" s="167" t="str">
        <f>IFERROR(SUMIFS('caseload data'!H:H,'caseload data'!$C:$C,'custody %'!$T$78,'caseload data'!$D:$D,"PO",'caseload data'!$B:$B,"custody")/SUMIFS('caseload data'!H:H,'caseload data'!$B:$B,"custody",'caseload data'!$C:$C,'custody %'!$T$78),"")</f>
        <v/>
      </c>
      <c r="Y80" s="167" t="str">
        <f>IFERROR(SUMIFS('caseload data'!I:I,'caseload data'!$C:$C,'custody %'!$T$78,'caseload data'!$D:$D,"PO",'caseload data'!$B:$B,"custody")/SUMIFS('caseload data'!I:I,'caseload data'!$B:$B,"custody",'caseload data'!$C:$C,'custody %'!$T$78),"")</f>
        <v/>
      </c>
      <c r="Z80" s="167" t="str">
        <f>IFERROR(SUMIFS('caseload data'!J:J,'caseload data'!$C:$C,'custody %'!$T$78,'caseload data'!$D:$D,"PO",'caseload data'!$B:$B,"custody")/SUMIFS('caseload data'!J:J,'caseload data'!$B:$B,"custody",'caseload data'!$C:$C,'custody %'!$T$78),"")</f>
        <v/>
      </c>
      <c r="AA80" s="167" t="str">
        <f>IFERROR(SUMIFS('caseload data'!K:K,'caseload data'!$C:$C,'custody %'!$T$78,'caseload data'!$D:$D,"PO",'caseload data'!$B:$B,"custody")/SUMIFS('caseload data'!K:K,'caseload data'!$B:$B,"custody",'caseload data'!$C:$C,'custody %'!$T$78),"")</f>
        <v/>
      </c>
      <c r="AB80" s="167" t="str">
        <f>IFERROR(SUMIFS('caseload data'!L:L,'caseload data'!$C:$C,'custody %'!$T$78,'caseload data'!$D:$D,"PO",'caseload data'!$B:$B,"custody")/SUMIFS('caseload data'!L:L,'caseload data'!$B:$B,"custody",'caseload data'!$C:$C,'custody %'!$T$78),"")</f>
        <v/>
      </c>
      <c r="AC80" s="167" t="str">
        <f>IFERROR(SUMIFS('caseload data'!M:M,'caseload data'!$C:$C,'custody %'!$T$78,'caseload data'!$D:$D,"PO",'caseload data'!$B:$B,"custody")/SUMIFS('caseload data'!M:M,'caseload data'!$B:$B,"custody",'caseload data'!$C:$C,'custody %'!$T$78),"")</f>
        <v/>
      </c>
      <c r="AD80" s="167" t="str">
        <f>IFERROR(SUMIFS('caseload data'!N:N,'caseload data'!$C:$C,'custody %'!$T$78,'caseload data'!$D:$D,"PO",'caseload data'!$B:$B,"custody")/SUMIFS('caseload data'!N:N,'caseload data'!$B:$B,"custody",'caseload data'!$C:$C,'custody %'!$T$78),"")</f>
        <v/>
      </c>
      <c r="AE80" s="167" t="str">
        <f>IFERROR(SUMIFS('caseload data'!O:O,'caseload data'!$C:$C,'custody %'!$T$78,'caseload data'!$D:$D,"PO",'caseload data'!$B:$B,"custody")/SUMIFS('caseload data'!O:O,'caseload data'!$B:$B,"custody",'caseload data'!$C:$C,'custody %'!$T$78),"")</f>
        <v/>
      </c>
      <c r="AF80" s="167" t="str">
        <f>IFERROR(SUMIFS('caseload data'!P:P,'caseload data'!$C:$C,'custody %'!$T$78,'caseload data'!$D:$D,"PO",'caseload data'!$B:$B,"custody")/SUMIFS('caseload data'!P:P,'caseload data'!$B:$B,"custody",'caseload data'!$C:$C,'custody %'!$T$78),"")</f>
        <v/>
      </c>
      <c r="AG80" s="167" t="str">
        <f>IFERROR(SUMIFS('caseload data'!Q:Q,'caseload data'!$C:$C,'custody %'!$T$78,'caseload data'!$D:$D,"PO",'caseload data'!$B:$B,"custody")/SUMIFS('caseload data'!Q:Q,'caseload data'!$B:$B,"custody",'caseload data'!$C:$C,'custody %'!$T$78),"")</f>
        <v/>
      </c>
      <c r="AH80" s="167" t="str">
        <f>IFERROR(SUMIFS('caseload data'!R:R,'caseload data'!$C:$C,'custody %'!$T$78,'caseload data'!$D:$D,"PO",'caseload data'!$B:$B,"custody")/SUMIFS('caseload data'!R:R,'caseload data'!$B:$B,"custody",'caseload data'!$C:$C,'custody %'!$T$78),"")</f>
        <v/>
      </c>
      <c r="AI80" s="167"/>
      <c r="AJ80" s="167"/>
    </row>
    <row r="81" spans="2:36" x14ac:dyDescent="0.15">
      <c r="B81" s="97" t="s">
        <v>1007</v>
      </c>
      <c r="C81" s="167" t="str">
        <f>IFERROR(SUMIFS('caseload data'!E:E,'caseload data'!$C:$C,'custody %'!$B$78,'caseload data'!$D:$D,"PSO",'caseload data'!$B:$B,"custody")/SUMIFS('caseload data'!E:E,'caseload data'!$B:$B,"custody",'caseload data'!$C:$C,'custody %'!$B$78),"")</f>
        <v/>
      </c>
      <c r="D81" s="167" t="str">
        <f>IFERROR(SUMIFS('caseload data'!F:F,'caseload data'!$C:$C,'custody %'!$B$78,'caseload data'!$D:$D,"PSO",'caseload data'!$B:$B,"custody")/SUMIFS('caseload data'!F:F,'caseload data'!$B:$B,"custody",'caseload data'!$C:$C,'custody %'!$B$78),"")</f>
        <v/>
      </c>
      <c r="E81" s="167" t="str">
        <f>IFERROR(SUMIFS('caseload data'!G:G,'caseload data'!$C:$C,'custody %'!$B$78,'caseload data'!$D:$D,"PSO",'caseload data'!$B:$B,"custody")/SUMIFS('caseload data'!G:G,'caseload data'!$B:$B,"custody",'caseload data'!$C:$C,'custody %'!$B$78),"")</f>
        <v/>
      </c>
      <c r="F81" s="167" t="str">
        <f>IFERROR(SUMIFS('caseload data'!H:H,'caseload data'!$C:$C,'custody %'!$B$78,'caseload data'!$D:$D,"PSO",'caseload data'!$B:$B,"custody")/SUMIFS('caseload data'!H:H,'caseload data'!$B:$B,"custody",'caseload data'!$C:$C,'custody %'!$B$78),"")</f>
        <v/>
      </c>
      <c r="G81" s="167" t="str">
        <f>IFERROR(SUMIFS('caseload data'!I:I,'caseload data'!$C:$C,'custody %'!$B$78,'caseload data'!$D:$D,"PSO",'caseload data'!$B:$B,"custody")/SUMIFS('caseload data'!I:I,'caseload data'!$B:$B,"custody",'caseload data'!$C:$C,'custody %'!$B$78),"")</f>
        <v/>
      </c>
      <c r="H81" s="167" t="str">
        <f>IFERROR(SUMIFS('caseload data'!J:J,'caseload data'!$C:$C,'custody %'!$B$78,'caseload data'!$D:$D,"PSO",'caseload data'!$B:$B,"custody")/SUMIFS('caseload data'!J:J,'caseload data'!$B:$B,"custody",'caseload data'!$C:$C,'custody %'!$B$78),"")</f>
        <v/>
      </c>
      <c r="I81" s="167" t="str">
        <f>IFERROR(SUMIFS('caseload data'!K:K,'caseload data'!$C:$C,'custody %'!$B$78,'caseload data'!$D:$D,"PSO",'caseload data'!$B:$B,"custody")/SUMIFS('caseload data'!K:K,'caseload data'!$B:$B,"custody",'caseload data'!$C:$C,'custody %'!$B$78),"")</f>
        <v/>
      </c>
      <c r="J81" s="167" t="str">
        <f>IFERROR(SUMIFS('caseload data'!L:L,'caseload data'!$C:$C,'custody %'!$B$78,'caseload data'!$D:$D,"PSO",'caseload data'!$B:$B,"custody")/SUMIFS('caseload data'!L:L,'caseload data'!$B:$B,"custody",'caseload data'!$C:$C,'custody %'!$B$78),"")</f>
        <v/>
      </c>
      <c r="K81" s="167" t="str">
        <f>IFERROR(SUMIFS('caseload data'!M:M,'caseload data'!$C:$C,'custody %'!$B$78,'caseload data'!$D:$D,"PSO",'caseload data'!$B:$B,"custody")/SUMIFS('caseload data'!M:M,'caseload data'!$B:$B,"custody",'caseload data'!$C:$C,'custody %'!$B$78),"")</f>
        <v/>
      </c>
      <c r="L81" s="167" t="str">
        <f>IFERROR(SUMIFS('caseload data'!N:N,'caseload data'!$C:$C,'custody %'!$B$78,'caseload data'!$D:$D,"PSO",'caseload data'!$B:$B,"custody")/SUMIFS('caseload data'!N:N,'caseload data'!$B:$B,"custody",'caseload data'!$C:$C,'custody %'!$B$78),"")</f>
        <v/>
      </c>
      <c r="M81" s="167" t="str">
        <f>IFERROR(SUMIFS('caseload data'!O:O,'caseload data'!$C:$C,'custody %'!$B$78,'caseload data'!$D:$D,"PSO",'caseload data'!$B:$B,"custody")/SUMIFS('caseload data'!O:O,'caseload data'!$B:$B,"custody",'caseload data'!$C:$C,'custody %'!$B$78),"")</f>
        <v/>
      </c>
      <c r="N81" s="167" t="str">
        <f>IFERROR(SUMIFS('caseload data'!P:P,'caseload data'!$C:$C,'custody %'!$B$78,'caseload data'!$D:$D,"PSO",'caseload data'!$B:$B,"custody")/SUMIFS('caseload data'!P:P,'caseload data'!$B:$B,"custody",'caseload data'!$C:$C,'custody %'!$B$78),"")</f>
        <v/>
      </c>
      <c r="O81" s="167" t="str">
        <f>IFERROR(SUMIFS('caseload data'!Q:Q,'caseload data'!$C:$C,'custody %'!$B$78,'caseload data'!$D:$D,"PSO",'caseload data'!$B:$B,"custody")/SUMIFS('caseload data'!Q:Q,'caseload data'!$B:$B,"custody",'caseload data'!$C:$C,'custody %'!$B$78),"")</f>
        <v/>
      </c>
      <c r="P81" s="167" t="str">
        <f>IFERROR(SUMIFS('caseload data'!R:R,'caseload data'!$C:$C,'custody %'!$B$78,'caseload data'!$D:$D,"PSO",'caseload data'!$B:$B,"custody")/SUMIFS('caseload data'!R:R,'caseload data'!$B:$B,"custody",'caseload data'!$C:$C,'custody %'!$B$78),"")</f>
        <v/>
      </c>
      <c r="Q81" s="167" t="str">
        <f>IFERROR(SUMIFS('caseload data'!S:S,'caseload data'!$C:$C,'custody %'!$B$78,'caseload data'!$D:$D,"PSO",'caseload data'!$B:$B,"custody")/SUMIFS('caseload data'!S:S,'caseload data'!$B:$B,"custody",'caseload data'!$C:$C,'custody %'!$B$78),"")</f>
        <v/>
      </c>
      <c r="R81" s="167" t="str">
        <f>IFERROR(SUMIFS('caseload data'!T:T,'caseload data'!$C:$C,'custody %'!$B$78,'caseload data'!$D:$D,"PSO",'caseload data'!$B:$B,"custody")/SUMIFS('caseload data'!T:T,'caseload data'!$B:$B,"custody",'caseload data'!$C:$C,'custody %'!$B$78),"")</f>
        <v/>
      </c>
      <c r="T81" s="97" t="s">
        <v>1007</v>
      </c>
      <c r="U81" s="167" t="str">
        <f>IFERROR(SUMIFS('caseload data'!E:E,'caseload data'!$C:$C,'custody %'!$T$78,'caseload data'!$D:$D,"PSO",'caseload data'!$B:$B,"custody")/SUMIFS('caseload data'!E:E,'caseload data'!$B:$B,"custody",'caseload data'!$C:$C,'custody %'!$T$78),"")</f>
        <v/>
      </c>
      <c r="V81" s="167" t="str">
        <f>IFERROR(SUMIFS('caseload data'!F:F,'caseload data'!$C:$C,'custody %'!$T$78,'caseload data'!$D:$D,"PSO",'caseload data'!$B:$B,"custody")/SUMIFS('caseload data'!F:F,'caseload data'!$B:$B,"custody",'caseload data'!$C:$C,'custody %'!$T$78),"")</f>
        <v/>
      </c>
      <c r="W81" s="167" t="str">
        <f>IFERROR(SUMIFS('caseload data'!G:G,'caseload data'!$C:$C,'custody %'!$T$78,'caseload data'!$D:$D,"PSO",'caseload data'!$B:$B,"custody")/SUMIFS('caseload data'!G:G,'caseload data'!$B:$B,"custody",'caseload data'!$C:$C,'custody %'!$T$78),"")</f>
        <v/>
      </c>
      <c r="X81" s="167" t="str">
        <f>IFERROR(SUMIFS('caseload data'!H:H,'caseload data'!$C:$C,'custody %'!$T$78,'caseload data'!$D:$D,"PSO",'caseload data'!$B:$B,"custody")/SUMIFS('caseload data'!H:H,'caseload data'!$B:$B,"custody",'caseload data'!$C:$C,'custody %'!$T$78),"")</f>
        <v/>
      </c>
      <c r="Y81" s="167" t="str">
        <f>IFERROR(SUMIFS('caseload data'!I:I,'caseload data'!$C:$C,'custody %'!$T$78,'caseload data'!$D:$D,"PSO",'caseload data'!$B:$B,"custody")/SUMIFS('caseload data'!I:I,'caseload data'!$B:$B,"custody",'caseload data'!$C:$C,'custody %'!$T$78),"")</f>
        <v/>
      </c>
      <c r="Z81" s="167" t="str">
        <f>IFERROR(SUMIFS('caseload data'!J:J,'caseload data'!$C:$C,'custody %'!$T$78,'caseload data'!$D:$D,"PSO",'caseload data'!$B:$B,"custody")/SUMIFS('caseload data'!J:J,'caseload data'!$B:$B,"custody",'caseload data'!$C:$C,'custody %'!$T$78),"")</f>
        <v/>
      </c>
      <c r="AA81" s="167" t="str">
        <f>IFERROR(SUMIFS('caseload data'!K:K,'caseload data'!$C:$C,'custody %'!$T$78,'caseload data'!$D:$D,"PSO",'caseload data'!$B:$B,"custody")/SUMIFS('caseload data'!K:K,'caseload data'!$B:$B,"custody",'caseload data'!$C:$C,'custody %'!$T$78),"")</f>
        <v/>
      </c>
      <c r="AB81" s="167" t="str">
        <f>IFERROR(SUMIFS('caseload data'!L:L,'caseload data'!$C:$C,'custody %'!$T$78,'caseload data'!$D:$D,"PSO",'caseload data'!$B:$B,"custody")/SUMIFS('caseload data'!L:L,'caseload data'!$B:$B,"custody",'caseload data'!$C:$C,'custody %'!$T$78),"")</f>
        <v/>
      </c>
      <c r="AC81" s="167" t="str">
        <f>IFERROR(SUMIFS('caseload data'!M:M,'caseload data'!$C:$C,'custody %'!$T$78,'caseload data'!$D:$D,"PSO",'caseload data'!$B:$B,"custody")/SUMIFS('caseload data'!M:M,'caseload data'!$B:$B,"custody",'caseload data'!$C:$C,'custody %'!$T$78),"")</f>
        <v/>
      </c>
      <c r="AD81" s="167" t="str">
        <f>IFERROR(SUMIFS('caseload data'!N:N,'caseload data'!$C:$C,'custody %'!$T$78,'caseload data'!$D:$D,"PSO",'caseload data'!$B:$B,"custody")/SUMIFS('caseload data'!N:N,'caseload data'!$B:$B,"custody",'caseload data'!$C:$C,'custody %'!$T$78),"")</f>
        <v/>
      </c>
      <c r="AE81" s="167" t="str">
        <f>IFERROR(SUMIFS('caseload data'!O:O,'caseload data'!$C:$C,'custody %'!$T$78,'caseload data'!$D:$D,"PSO",'caseload data'!$B:$B,"custody")/SUMIFS('caseload data'!O:O,'caseload data'!$B:$B,"custody",'caseload data'!$C:$C,'custody %'!$T$78),"")</f>
        <v/>
      </c>
      <c r="AF81" s="167" t="str">
        <f>IFERROR(SUMIFS('caseload data'!P:P,'caseload data'!$C:$C,'custody %'!$T$78,'caseload data'!$D:$D,"PSO",'caseload data'!$B:$B,"custody")/SUMIFS('caseload data'!P:P,'caseload data'!$B:$B,"custody",'caseload data'!$C:$C,'custody %'!$T$78),"")</f>
        <v/>
      </c>
      <c r="AG81" s="167" t="str">
        <f>IFERROR(SUMIFS('caseload data'!Q:Q,'caseload data'!$C:$C,'custody %'!$T$78,'caseload data'!$D:$D,"PSO",'caseload data'!$B:$B,"custody")/SUMIFS('caseload data'!Q:Q,'caseload data'!$B:$B,"custody",'caseload data'!$C:$C,'custody %'!$T$78),"")</f>
        <v/>
      </c>
      <c r="AH81" s="167" t="str">
        <f>IFERROR(SUMIFS('caseload data'!R:R,'caseload data'!$C:$C,'custody %'!$T$78,'caseload data'!$D:$D,"PSO",'caseload data'!$B:$B,"custody")/SUMIFS('caseload data'!R:R,'caseload data'!$B:$B,"custody",'caseload data'!$C:$C,'custody %'!$T$78),"")</f>
        <v/>
      </c>
      <c r="AI81" s="167"/>
      <c r="AJ81" s="167"/>
    </row>
    <row r="82" spans="2:36" x14ac:dyDescent="0.15">
      <c r="B82" s="97" t="s">
        <v>1008</v>
      </c>
      <c r="C82" s="167" t="str">
        <f>IFERROR(SUMIFS('caseload data'!E:E,'caseload data'!$C:$C,'custody %'!$B$78,'caseload data'!$D:$D,"TPO",'caseload data'!$B:$B,"custody")/SUMIFS('caseload data'!E:E,'caseload data'!$B:$B,"custody",'caseload data'!$C:$C,'custody %'!$B$78),"")</f>
        <v/>
      </c>
      <c r="D82" s="167" t="str">
        <f>IFERROR(SUMIFS('caseload data'!F:F,'caseload data'!$C:$C,'custody %'!$B$78,'caseload data'!$D:$D,"TPO",'caseload data'!$B:$B,"custody")/SUMIFS('caseload data'!F:F,'caseload data'!$B:$B,"custody",'caseload data'!$C:$C,'custody %'!$B$78),"")</f>
        <v/>
      </c>
      <c r="E82" s="167" t="str">
        <f>IFERROR(SUMIFS('caseload data'!G:G,'caseload data'!$C:$C,'custody %'!$B$78,'caseload data'!$D:$D,"TPO",'caseload data'!$B:$B,"custody")/SUMIFS('caseload data'!G:G,'caseload data'!$B:$B,"custody",'caseload data'!$C:$C,'custody %'!$B$78),"")</f>
        <v/>
      </c>
      <c r="F82" s="167" t="str">
        <f>IFERROR(SUMIFS('caseload data'!H:H,'caseload data'!$C:$C,'custody %'!$B$78,'caseload data'!$D:$D,"TPO",'caseload data'!$B:$B,"custody")/SUMIFS('caseload data'!H:H,'caseload data'!$B:$B,"custody",'caseload data'!$C:$C,'custody %'!$B$78),"")</f>
        <v/>
      </c>
      <c r="G82" s="167" t="str">
        <f>IFERROR(SUMIFS('caseload data'!I:I,'caseload data'!$C:$C,'custody %'!$B$78,'caseload data'!$D:$D,"TPO",'caseload data'!$B:$B,"custody")/SUMIFS('caseload data'!I:I,'caseload data'!$B:$B,"custody",'caseload data'!$C:$C,'custody %'!$B$78),"")</f>
        <v/>
      </c>
      <c r="H82" s="167" t="str">
        <f>IFERROR(SUMIFS('caseload data'!J:J,'caseload data'!$C:$C,'custody %'!$B$78,'caseload data'!$D:$D,"TPO",'caseload data'!$B:$B,"custody")/SUMIFS('caseload data'!J:J,'caseload data'!$B:$B,"custody",'caseload data'!$C:$C,'custody %'!$B$78),"")</f>
        <v/>
      </c>
      <c r="I82" s="167" t="str">
        <f>IFERROR(SUMIFS('caseload data'!K:K,'caseload data'!$C:$C,'custody %'!$B$78,'caseload data'!$D:$D,"TPO",'caseload data'!$B:$B,"custody")/SUMIFS('caseload data'!K:K,'caseload data'!$B:$B,"custody",'caseload data'!$C:$C,'custody %'!$B$78),"")</f>
        <v/>
      </c>
      <c r="J82" s="167" t="str">
        <f>IFERROR(SUMIFS('caseload data'!L:L,'caseload data'!$C:$C,'custody %'!$B$78,'caseload data'!$D:$D,"TPO",'caseload data'!$B:$B,"custody")/SUMIFS('caseload data'!L:L,'caseload data'!$B:$B,"custody",'caseload data'!$C:$C,'custody %'!$B$78),"")</f>
        <v/>
      </c>
      <c r="K82" s="167" t="str">
        <f>IFERROR(SUMIFS('caseload data'!M:M,'caseload data'!$C:$C,'custody %'!$B$78,'caseload data'!$D:$D,"TPO",'caseload data'!$B:$B,"custody")/SUMIFS('caseload data'!M:M,'caseload data'!$B:$B,"custody",'caseload data'!$C:$C,'custody %'!$B$78),"")</f>
        <v/>
      </c>
      <c r="L82" s="167" t="str">
        <f>IFERROR(SUMIFS('caseload data'!N:N,'caseload data'!$C:$C,'custody %'!$B$78,'caseload data'!$D:$D,"TPO",'caseload data'!$B:$B,"custody")/SUMIFS('caseload data'!N:N,'caseload data'!$B:$B,"custody",'caseload data'!$C:$C,'custody %'!$B$78),"")</f>
        <v/>
      </c>
      <c r="M82" s="167" t="str">
        <f>IFERROR(SUMIFS('caseload data'!O:O,'caseload data'!$C:$C,'custody %'!$B$78,'caseload data'!$D:$D,"TPO",'caseload data'!$B:$B,"custody")/SUMIFS('caseload data'!O:O,'caseload data'!$B:$B,"custody",'caseload data'!$C:$C,'custody %'!$B$78),"")</f>
        <v/>
      </c>
      <c r="N82" s="167" t="str">
        <f>IFERROR(SUMIFS('caseload data'!P:P,'caseload data'!$C:$C,'custody %'!$B$78,'caseload data'!$D:$D,"TPO",'caseload data'!$B:$B,"custody")/SUMIFS('caseload data'!P:P,'caseload data'!$B:$B,"custody",'caseload data'!$C:$C,'custody %'!$B$78),"")</f>
        <v/>
      </c>
      <c r="O82" s="167" t="str">
        <f>IFERROR(SUMIFS('caseload data'!Q:Q,'caseload data'!$C:$C,'custody %'!$B$78,'caseload data'!$D:$D,"TPO",'caseload data'!$B:$B,"custody")/SUMIFS('caseload data'!Q:Q,'caseload data'!$B:$B,"custody",'caseload data'!$C:$C,'custody %'!$B$78),"")</f>
        <v/>
      </c>
      <c r="P82" s="167" t="str">
        <f>IFERROR(SUMIFS('caseload data'!R:R,'caseload data'!$C:$C,'custody %'!$B$78,'caseload data'!$D:$D,"TPO",'caseload data'!$B:$B,"custody")/SUMIFS('caseload data'!R:R,'caseload data'!$B:$B,"custody",'caseload data'!$C:$C,'custody %'!$B$78),"")</f>
        <v/>
      </c>
      <c r="Q82" s="167" t="str">
        <f>IFERROR(SUMIFS('caseload data'!S:S,'caseload data'!$C:$C,'custody %'!$B$78,'caseload data'!$D:$D,"TPO",'caseload data'!$B:$B,"custody")/SUMIFS('caseload data'!S:S,'caseload data'!$B:$B,"custody",'caseload data'!$C:$C,'custody %'!$B$78),"")</f>
        <v/>
      </c>
      <c r="R82" s="167" t="str">
        <f>IFERROR(SUMIFS('caseload data'!T:T,'caseload data'!$C:$C,'custody %'!$B$78,'caseload data'!$D:$D,"TPO",'caseload data'!$B:$B,"custody")/SUMIFS('caseload data'!T:T,'caseload data'!$B:$B,"custody",'caseload data'!$C:$C,'custody %'!$B$78),"")</f>
        <v/>
      </c>
      <c r="T82" s="97" t="s">
        <v>1008</v>
      </c>
      <c r="U82" s="167" t="str">
        <f>IFERROR(SUMIFS('caseload data'!E:E,'caseload data'!$C:$C,'custody %'!$T$78,'caseload data'!$D:$D,"TPO",'caseload data'!$B:$B,"custody")/SUMIFS('caseload data'!E:E,'caseload data'!$B:$B,"custody",'caseload data'!$C:$C,'custody %'!$T$78),"")</f>
        <v/>
      </c>
      <c r="V82" s="167" t="str">
        <f>IFERROR(SUMIFS('caseload data'!F:F,'caseload data'!$C:$C,'custody %'!$T$78,'caseload data'!$D:$D,"TPO",'caseload data'!$B:$B,"custody")/SUMIFS('caseload data'!F:F,'caseload data'!$B:$B,"custody",'caseload data'!$C:$C,'custody %'!$T$78),"")</f>
        <v/>
      </c>
      <c r="W82" s="167" t="str">
        <f>IFERROR(SUMIFS('caseload data'!G:G,'caseload data'!$C:$C,'custody %'!$T$78,'caseload data'!$D:$D,"TPO",'caseload data'!$B:$B,"custody")/SUMIFS('caseload data'!G:G,'caseload data'!$B:$B,"custody",'caseload data'!$C:$C,'custody %'!$T$78),"")</f>
        <v/>
      </c>
      <c r="X82" s="167" t="str">
        <f>IFERROR(SUMIFS('caseload data'!H:H,'caseload data'!$C:$C,'custody %'!$T$78,'caseload data'!$D:$D,"TPO",'caseload data'!$B:$B,"custody")/SUMIFS('caseload data'!H:H,'caseload data'!$B:$B,"custody",'caseload data'!$C:$C,'custody %'!$T$78),"")</f>
        <v/>
      </c>
      <c r="Y82" s="167" t="str">
        <f>IFERROR(SUMIFS('caseload data'!I:I,'caseload data'!$C:$C,'custody %'!$T$78,'caseload data'!$D:$D,"TPO",'caseload data'!$B:$B,"custody")/SUMIFS('caseload data'!I:I,'caseload data'!$B:$B,"custody",'caseload data'!$C:$C,'custody %'!$T$78),"")</f>
        <v/>
      </c>
      <c r="Z82" s="167" t="str">
        <f>IFERROR(SUMIFS('caseload data'!J:J,'caseload data'!$C:$C,'custody %'!$T$78,'caseload data'!$D:$D,"TPO",'caseload data'!$B:$B,"custody")/SUMIFS('caseload data'!J:J,'caseload data'!$B:$B,"custody",'caseload data'!$C:$C,'custody %'!$T$78),"")</f>
        <v/>
      </c>
      <c r="AA82" s="167" t="str">
        <f>IFERROR(SUMIFS('caseload data'!K:K,'caseload data'!$C:$C,'custody %'!$T$78,'caseload data'!$D:$D,"TPO",'caseload data'!$B:$B,"custody")/SUMIFS('caseload data'!K:K,'caseload data'!$B:$B,"custody",'caseload data'!$C:$C,'custody %'!$T$78),"")</f>
        <v/>
      </c>
      <c r="AB82" s="167" t="str">
        <f>IFERROR(SUMIFS('caseload data'!L:L,'caseload data'!$C:$C,'custody %'!$T$78,'caseload data'!$D:$D,"TPO",'caseload data'!$B:$B,"custody")/SUMIFS('caseload data'!L:L,'caseload data'!$B:$B,"custody",'caseload data'!$C:$C,'custody %'!$T$78),"")</f>
        <v/>
      </c>
      <c r="AC82" s="167" t="str">
        <f>IFERROR(SUMIFS('caseload data'!M:M,'caseload data'!$C:$C,'custody %'!$T$78,'caseload data'!$D:$D,"TPO",'caseload data'!$B:$B,"custody")/SUMIFS('caseload data'!M:M,'caseload data'!$B:$B,"custody",'caseload data'!$C:$C,'custody %'!$T$78),"")</f>
        <v/>
      </c>
      <c r="AD82" s="167" t="str">
        <f>IFERROR(SUMIFS('caseload data'!N:N,'caseload data'!$C:$C,'custody %'!$T$78,'caseload data'!$D:$D,"TPO",'caseload data'!$B:$B,"custody")/SUMIFS('caseload data'!N:N,'caseload data'!$B:$B,"custody",'caseload data'!$C:$C,'custody %'!$T$78),"")</f>
        <v/>
      </c>
      <c r="AE82" s="167" t="str">
        <f>IFERROR(SUMIFS('caseload data'!O:O,'caseload data'!$C:$C,'custody %'!$T$78,'caseload data'!$D:$D,"TPO",'caseload data'!$B:$B,"custody")/SUMIFS('caseload data'!O:O,'caseload data'!$B:$B,"custody",'caseload data'!$C:$C,'custody %'!$T$78),"")</f>
        <v/>
      </c>
      <c r="AF82" s="167" t="str">
        <f>IFERROR(SUMIFS('caseload data'!P:P,'caseload data'!$C:$C,'custody %'!$T$78,'caseload data'!$D:$D,"TPO",'caseload data'!$B:$B,"custody")/SUMIFS('caseload data'!P:P,'caseload data'!$B:$B,"custody",'caseload data'!$C:$C,'custody %'!$T$78),"")</f>
        <v/>
      </c>
      <c r="AG82" s="167" t="str">
        <f>IFERROR(SUMIFS('caseload data'!Q:Q,'caseload data'!$C:$C,'custody %'!$T$78,'caseload data'!$D:$D,"TPO",'caseload data'!$B:$B,"custody")/SUMIFS('caseload data'!Q:Q,'caseload data'!$B:$B,"custody",'caseload data'!$C:$C,'custody %'!$T$78),"")</f>
        <v/>
      </c>
      <c r="AH82" s="167" t="str">
        <f>IFERROR(SUMIFS('caseload data'!R:R,'caseload data'!$C:$C,'custody %'!$T$78,'caseload data'!$D:$D,"TPO",'caseload data'!$B:$B,"custody")/SUMIFS('caseload data'!R:R,'caseload data'!$B:$B,"custody",'caseload data'!$C:$C,'custody %'!$T$78),"")</f>
        <v/>
      </c>
      <c r="AI82" s="167"/>
      <c r="AJ82" s="167"/>
    </row>
    <row r="83" spans="2:36" x14ac:dyDescent="0.15">
      <c r="B83" s="98" t="s">
        <v>1009</v>
      </c>
      <c r="C83" s="167" t="str">
        <f>IFERROR(SUMIFS('caseload data'!E:E,'caseload data'!$C:$C,'custody %'!$B$78,'caseload data'!$D:$D,"SPO",'caseload data'!$B:$B,"custody")/SUMIFS('caseload data'!E:E,'caseload data'!$B:$B,"custody",'caseload data'!$C:$C,'custody %'!$B$78),"")</f>
        <v/>
      </c>
      <c r="D83" s="167" t="str">
        <f>IFERROR(SUMIFS('caseload data'!F:F,'caseload data'!$C:$C,'custody %'!$B$78,'caseload data'!$D:$D,"SPO",'caseload data'!$B:$B,"custody")/SUMIFS('caseload data'!F:F,'caseload data'!$B:$B,"custody",'caseload data'!$C:$C,'custody %'!$B$78),"")</f>
        <v/>
      </c>
      <c r="E83" s="167" t="str">
        <f>IFERROR(SUMIFS('caseload data'!G:G,'caseload data'!$C:$C,'custody %'!$B$78,'caseload data'!$D:$D,"SPO",'caseload data'!$B:$B,"custody")/SUMIFS('caseload data'!G:G,'caseload data'!$B:$B,"custody",'caseload data'!$C:$C,'custody %'!$B$78),"")</f>
        <v/>
      </c>
      <c r="F83" s="167" t="str">
        <f>IFERROR(SUMIFS('caseload data'!H:H,'caseload data'!$C:$C,'custody %'!$B$78,'caseload data'!$D:$D,"SPO",'caseload data'!$B:$B,"custody")/SUMIFS('caseload data'!H:H,'caseload data'!$B:$B,"custody",'caseload data'!$C:$C,'custody %'!$B$78),"")</f>
        <v/>
      </c>
      <c r="G83" s="167" t="str">
        <f>IFERROR(SUMIFS('caseload data'!I:I,'caseload data'!$C:$C,'custody %'!$B$78,'caseload data'!$D:$D,"SPO",'caseload data'!$B:$B,"custody")/SUMIFS('caseload data'!I:I,'caseload data'!$B:$B,"custody",'caseload data'!$C:$C,'custody %'!$B$78),"")</f>
        <v/>
      </c>
      <c r="H83" s="167" t="str">
        <f>IFERROR(SUMIFS('caseload data'!J:J,'caseload data'!$C:$C,'custody %'!$B$78,'caseload data'!$D:$D,"SPO",'caseload data'!$B:$B,"custody")/SUMIFS('caseload data'!J:J,'caseload data'!$B:$B,"custody",'caseload data'!$C:$C,'custody %'!$B$78),"")</f>
        <v/>
      </c>
      <c r="I83" s="167" t="str">
        <f>IFERROR(SUMIFS('caseload data'!K:K,'caseload data'!$C:$C,'custody %'!$B$78,'caseload data'!$D:$D,"SPO",'caseload data'!$B:$B,"custody")/SUMIFS('caseload data'!K:K,'caseload data'!$B:$B,"custody",'caseload data'!$C:$C,'custody %'!$B$78),"")</f>
        <v/>
      </c>
      <c r="J83" s="167" t="str">
        <f>IFERROR(SUMIFS('caseload data'!L:L,'caseload data'!$C:$C,'custody %'!$B$78,'caseload data'!$D:$D,"SPO",'caseload data'!$B:$B,"custody")/SUMIFS('caseload data'!L:L,'caseload data'!$B:$B,"custody",'caseload data'!$C:$C,'custody %'!$B$78),"")</f>
        <v/>
      </c>
      <c r="K83" s="167" t="str">
        <f>IFERROR(SUMIFS('caseload data'!M:M,'caseload data'!$C:$C,'custody %'!$B$78,'caseload data'!$D:$D,"SPO",'caseload data'!$B:$B,"custody")/SUMIFS('caseload data'!M:M,'caseload data'!$B:$B,"custody",'caseload data'!$C:$C,'custody %'!$B$78),"")</f>
        <v/>
      </c>
      <c r="L83" s="167" t="str">
        <f>IFERROR(SUMIFS('caseload data'!N:N,'caseload data'!$C:$C,'custody %'!$B$78,'caseload data'!$D:$D,"SPO",'caseload data'!$B:$B,"custody")/SUMIFS('caseload data'!N:N,'caseload data'!$B:$B,"custody",'caseload data'!$C:$C,'custody %'!$B$78),"")</f>
        <v/>
      </c>
      <c r="M83" s="167" t="str">
        <f>IFERROR(SUMIFS('caseload data'!O:O,'caseload data'!$C:$C,'custody %'!$B$78,'caseload data'!$D:$D,"SPO",'caseload data'!$B:$B,"custody")/SUMIFS('caseload data'!O:O,'caseload data'!$B:$B,"custody",'caseload data'!$C:$C,'custody %'!$B$78),"")</f>
        <v/>
      </c>
      <c r="N83" s="167" t="str">
        <f>IFERROR(SUMIFS('caseload data'!P:P,'caseload data'!$C:$C,'custody %'!$B$78,'caseload data'!$D:$D,"SPO",'caseload data'!$B:$B,"custody")/SUMIFS('caseload data'!P:P,'caseload data'!$B:$B,"custody",'caseload data'!$C:$C,'custody %'!$B$78),"")</f>
        <v/>
      </c>
      <c r="O83" s="167" t="str">
        <f>IFERROR(SUMIFS('caseload data'!Q:Q,'caseload data'!$C:$C,'custody %'!$B$78,'caseload data'!$D:$D,"SPO",'caseload data'!$B:$B,"custody")/SUMIFS('caseload data'!Q:Q,'caseload data'!$B:$B,"custody",'caseload data'!$C:$C,'custody %'!$B$78),"")</f>
        <v/>
      </c>
      <c r="P83" s="167" t="str">
        <f>IFERROR(SUMIFS('caseload data'!R:R,'caseload data'!$C:$C,'custody %'!$B$78,'caseload data'!$D:$D,"SPO",'caseload data'!$B:$B,"custody")/SUMIFS('caseload data'!R:R,'caseload data'!$B:$B,"custody",'caseload data'!$C:$C,'custody %'!$B$78),"")</f>
        <v/>
      </c>
      <c r="Q83" s="167" t="str">
        <f>IFERROR(SUMIFS('caseload data'!S:S,'caseload data'!$C:$C,'custody %'!$B$78,'caseload data'!$D:$D,"SPO",'caseload data'!$B:$B,"custody")/SUMIFS('caseload data'!S:S,'caseload data'!$B:$B,"custody",'caseload data'!$C:$C,'custody %'!$B$78),"")</f>
        <v/>
      </c>
      <c r="R83" s="167" t="str">
        <f>IFERROR(SUMIFS('caseload data'!T:T,'caseload data'!$C:$C,'custody %'!$B$78,'caseload data'!$D:$D,"SPO",'caseload data'!$B:$B,"custody")/SUMIFS('caseload data'!T:T,'caseload data'!$B:$B,"custody",'caseload data'!$C:$C,'custody %'!$B$78),"")</f>
        <v/>
      </c>
      <c r="T83" s="98" t="s">
        <v>1009</v>
      </c>
      <c r="U83" s="167" t="str">
        <f>IFERROR(SUMIFS('caseload data'!E:E,'caseload data'!$C:$C,'custody %'!$T$78,'caseload data'!$D:$D,"SPO",'caseload data'!$B:$B,"custody")/SUMIFS('caseload data'!E:E,'caseload data'!$B:$B,"custody",'caseload data'!$C:$C,'custody %'!$T$78),"")</f>
        <v/>
      </c>
      <c r="V83" s="167" t="str">
        <f>IFERROR(SUMIFS('caseload data'!F:F,'caseload data'!$C:$C,'custody %'!$T$78,'caseload data'!$D:$D,"SPO",'caseload data'!$B:$B,"custody")/SUMIFS('caseload data'!F:F,'caseload data'!$B:$B,"custody",'caseload data'!$C:$C,'custody %'!$T$78),"")</f>
        <v/>
      </c>
      <c r="W83" s="167" t="str">
        <f>IFERROR(SUMIFS('caseload data'!G:G,'caseload data'!$C:$C,'custody %'!$T$78,'caseload data'!$D:$D,"SPO",'caseload data'!$B:$B,"custody")/SUMIFS('caseload data'!G:G,'caseload data'!$B:$B,"custody",'caseload data'!$C:$C,'custody %'!$T$78),"")</f>
        <v/>
      </c>
      <c r="X83" s="167" t="str">
        <f>IFERROR(SUMIFS('caseload data'!H:H,'caseload data'!$C:$C,'custody %'!$T$78,'caseload data'!$D:$D,"SPO",'caseload data'!$B:$B,"custody")/SUMIFS('caseload data'!H:H,'caseload data'!$B:$B,"custody",'caseload data'!$C:$C,'custody %'!$T$78),"")</f>
        <v/>
      </c>
      <c r="Y83" s="167" t="str">
        <f>IFERROR(SUMIFS('caseload data'!I:I,'caseload data'!$C:$C,'custody %'!$T$78,'caseload data'!$D:$D,"SPO",'caseload data'!$B:$B,"custody")/SUMIFS('caseload data'!I:I,'caseload data'!$B:$B,"custody",'caseload data'!$C:$C,'custody %'!$T$78),"")</f>
        <v/>
      </c>
      <c r="Z83" s="167" t="str">
        <f>IFERROR(SUMIFS('caseload data'!J:J,'caseload data'!$C:$C,'custody %'!$T$78,'caseload data'!$D:$D,"SPO",'caseload data'!$B:$B,"custody")/SUMIFS('caseload data'!J:J,'caseload data'!$B:$B,"custody",'caseload data'!$C:$C,'custody %'!$T$78),"")</f>
        <v/>
      </c>
      <c r="AA83" s="167" t="str">
        <f>IFERROR(SUMIFS('caseload data'!K:K,'caseload data'!$C:$C,'custody %'!$T$78,'caseload data'!$D:$D,"SPO",'caseload data'!$B:$B,"custody")/SUMIFS('caseload data'!K:K,'caseload data'!$B:$B,"custody",'caseload data'!$C:$C,'custody %'!$T$78),"")</f>
        <v/>
      </c>
      <c r="AB83" s="167" t="str">
        <f>IFERROR(SUMIFS('caseload data'!L:L,'caseload data'!$C:$C,'custody %'!$T$78,'caseload data'!$D:$D,"SPO",'caseload data'!$B:$B,"custody")/SUMIFS('caseload data'!L:L,'caseload data'!$B:$B,"custody",'caseload data'!$C:$C,'custody %'!$T$78),"")</f>
        <v/>
      </c>
      <c r="AC83" s="167" t="str">
        <f>IFERROR(SUMIFS('caseload data'!M:M,'caseload data'!$C:$C,'custody %'!$T$78,'caseload data'!$D:$D,"SPO",'caseload data'!$B:$B,"custody")/SUMIFS('caseload data'!M:M,'caseload data'!$B:$B,"custody",'caseload data'!$C:$C,'custody %'!$T$78),"")</f>
        <v/>
      </c>
      <c r="AD83" s="167" t="str">
        <f>IFERROR(SUMIFS('caseload data'!N:N,'caseload data'!$C:$C,'custody %'!$T$78,'caseload data'!$D:$D,"SPO",'caseload data'!$B:$B,"custody")/SUMIFS('caseload data'!N:N,'caseload data'!$B:$B,"custody",'caseload data'!$C:$C,'custody %'!$T$78),"")</f>
        <v/>
      </c>
      <c r="AE83" s="167" t="str">
        <f>IFERROR(SUMIFS('caseload data'!O:O,'caseload data'!$C:$C,'custody %'!$T$78,'caseload data'!$D:$D,"SPO",'caseload data'!$B:$B,"custody")/SUMIFS('caseload data'!O:O,'caseload data'!$B:$B,"custody",'caseload data'!$C:$C,'custody %'!$T$78),"")</f>
        <v/>
      </c>
      <c r="AF83" s="167" t="str">
        <f>IFERROR(SUMIFS('caseload data'!P:P,'caseload data'!$C:$C,'custody %'!$T$78,'caseload data'!$D:$D,"SPO",'caseload data'!$B:$B,"custody")/SUMIFS('caseload data'!P:P,'caseload data'!$B:$B,"custody",'caseload data'!$C:$C,'custody %'!$T$78),"")</f>
        <v/>
      </c>
      <c r="AG83" s="167" t="str">
        <f>IFERROR(SUMIFS('caseload data'!Q:Q,'caseload data'!$C:$C,'custody %'!$T$78,'caseload data'!$D:$D,"SPO",'caseload data'!$B:$B,"custody")/SUMIFS('caseload data'!Q:Q,'caseload data'!$B:$B,"custody",'caseload data'!$C:$C,'custody %'!$T$78),"")</f>
        <v/>
      </c>
      <c r="AH83" s="167" t="str">
        <f>IFERROR(SUMIFS('caseload data'!R:R,'caseload data'!$C:$C,'custody %'!$T$78,'caseload data'!$D:$D,"SPO",'caseload data'!$B:$B,"custody")/SUMIFS('caseload data'!R:R,'caseload data'!$B:$B,"custody",'caseload data'!$C:$C,'custody %'!$T$78),"")</f>
        <v/>
      </c>
      <c r="AI83" s="167"/>
      <c r="AJ83" s="167"/>
    </row>
    <row r="85" spans="2:36" ht="24.75" customHeight="1" x14ac:dyDescent="0.15">
      <c r="B85" s="289">
        <f>HLOOKUP($B$5,Region_Table,24,0)</f>
        <v>0</v>
      </c>
      <c r="C85" s="515" t="s">
        <v>1131</v>
      </c>
      <c r="D85" s="516"/>
      <c r="E85" s="516"/>
      <c r="F85" s="516"/>
      <c r="G85" s="516"/>
      <c r="H85" s="516"/>
      <c r="I85" s="516"/>
      <c r="J85" s="516"/>
      <c r="K85" s="516"/>
      <c r="L85" s="516"/>
      <c r="M85" s="535"/>
      <c r="N85" s="535"/>
      <c r="O85" s="536"/>
      <c r="P85" s="510">
        <f>SUMIF('caseload data'!$C:$C,'custody %'!B85,'caseload data'!V:V)</f>
        <v>0</v>
      </c>
      <c r="Q85" s="527"/>
      <c r="R85" s="528"/>
      <c r="T85" s="289">
        <f>HLOOKUP($B$5,Region_Table,25,0)</f>
        <v>0</v>
      </c>
      <c r="U85" s="515" t="s">
        <v>1131</v>
      </c>
      <c r="V85" s="516"/>
      <c r="W85" s="516"/>
      <c r="X85" s="516"/>
      <c r="Y85" s="516"/>
      <c r="Z85" s="516"/>
      <c r="AA85" s="516"/>
      <c r="AB85" s="516"/>
      <c r="AC85" s="535"/>
      <c r="AD85" s="535"/>
      <c r="AE85" s="536"/>
      <c r="AF85" s="510">
        <f>SUMIF('caseload data'!$C:$C,'custody %'!T85,'caseload data'!V:V)</f>
        <v>0</v>
      </c>
      <c r="AG85" s="527"/>
      <c r="AH85" s="528"/>
    </row>
    <row r="86" spans="2:36" x14ac:dyDescent="0.15">
      <c r="B86" s="95" t="s">
        <v>1005</v>
      </c>
      <c r="C86" s="38" t="s">
        <v>869</v>
      </c>
      <c r="D86" s="38" t="s">
        <v>870</v>
      </c>
      <c r="E86" s="38" t="s">
        <v>871</v>
      </c>
      <c r="F86" s="38" t="s">
        <v>872</v>
      </c>
      <c r="G86" s="38" t="s">
        <v>873</v>
      </c>
      <c r="H86" s="38" t="s">
        <v>874</v>
      </c>
      <c r="I86" s="38" t="s">
        <v>875</v>
      </c>
      <c r="J86" s="38" t="s">
        <v>876</v>
      </c>
      <c r="K86" s="38" t="s">
        <v>877</v>
      </c>
      <c r="L86" s="38" t="s">
        <v>878</v>
      </c>
      <c r="M86" s="38" t="s">
        <v>879</v>
      </c>
      <c r="N86" s="38" t="s">
        <v>880</v>
      </c>
      <c r="O86" s="38" t="s">
        <v>881</v>
      </c>
      <c r="P86" s="38" t="s">
        <v>882</v>
      </c>
      <c r="Q86" s="38" t="s">
        <v>883</v>
      </c>
      <c r="R86" s="38" t="s">
        <v>884</v>
      </c>
      <c r="T86" s="95" t="s">
        <v>1005</v>
      </c>
      <c r="U86" s="38" t="s">
        <v>869</v>
      </c>
      <c r="V86" s="38" t="s">
        <v>870</v>
      </c>
      <c r="W86" s="38" t="s">
        <v>871</v>
      </c>
      <c r="X86" s="38" t="s">
        <v>872</v>
      </c>
      <c r="Y86" s="38" t="s">
        <v>873</v>
      </c>
      <c r="Z86" s="38" t="s">
        <v>874</v>
      </c>
      <c r="AA86" s="38" t="s">
        <v>875</v>
      </c>
      <c r="AB86" s="38" t="s">
        <v>876</v>
      </c>
      <c r="AC86" s="38" t="s">
        <v>877</v>
      </c>
      <c r="AD86" s="38" t="s">
        <v>878</v>
      </c>
      <c r="AE86" s="38" t="s">
        <v>879</v>
      </c>
      <c r="AF86" s="38" t="s">
        <v>880</v>
      </c>
      <c r="AG86" s="38" t="s">
        <v>881</v>
      </c>
      <c r="AH86" s="38" t="s">
        <v>882</v>
      </c>
      <c r="AI86" s="38" t="s">
        <v>883</v>
      </c>
      <c r="AJ86" s="38" t="s">
        <v>884</v>
      </c>
    </row>
    <row r="87" spans="2:36" x14ac:dyDescent="0.15">
      <c r="B87" s="96" t="s">
        <v>1002</v>
      </c>
      <c r="C87" s="167" t="str">
        <f>IFERROR(SUMIFS('caseload data'!E:E,'caseload data'!$C:$C,'custody %'!$B$85,'caseload data'!$D:$D,"PO",'caseload data'!$B:$B,"custody")/SUMIFS('caseload data'!E:E,'caseload data'!$B:$B,"custody",'caseload data'!$C:$C,'custody %'!$B$85),"")</f>
        <v/>
      </c>
      <c r="D87" s="167" t="str">
        <f>IFERROR(SUMIFS('caseload data'!F:F,'caseload data'!$C:$C,'custody %'!$B$85,'caseload data'!$D:$D,"PO",'caseload data'!$B:$B,"custody")/SUMIFS('caseload data'!F:F,'caseload data'!$B:$B,"custody",'caseload data'!$C:$C,'custody %'!$B$85),"")</f>
        <v/>
      </c>
      <c r="E87" s="167" t="str">
        <f>IFERROR(SUMIFS('caseload data'!G:G,'caseload data'!$C:$C,'custody %'!$B$85,'caseload data'!$D:$D,"PO",'caseload data'!$B:$B,"custody")/SUMIFS('caseload data'!G:G,'caseload data'!$B:$B,"custody",'caseload data'!$C:$C,'custody %'!$B$85),"")</f>
        <v/>
      </c>
      <c r="F87" s="167" t="str">
        <f>IFERROR(SUMIFS('caseload data'!H:H,'caseload data'!$C:$C,'custody %'!$B$85,'caseload data'!$D:$D,"PO",'caseload data'!$B:$B,"custody")/SUMIFS('caseload data'!H:H,'caseload data'!$B:$B,"custody",'caseload data'!$C:$C,'custody %'!$B$85),"")</f>
        <v/>
      </c>
      <c r="G87" s="167" t="str">
        <f>IFERROR(SUMIFS('caseload data'!I:I,'caseload data'!$C:$C,'custody %'!$B$85,'caseload data'!$D:$D,"PO",'caseload data'!$B:$B,"custody")/SUMIFS('caseload data'!I:I,'caseload data'!$B:$B,"custody",'caseload data'!$C:$C,'custody %'!$B$85),"")</f>
        <v/>
      </c>
      <c r="H87" s="167" t="str">
        <f>IFERROR(SUMIFS('caseload data'!J:J,'caseload data'!$C:$C,'custody %'!$B$85,'caseload data'!$D:$D,"PO",'caseload data'!$B:$B,"custody")/SUMIFS('caseload data'!J:J,'caseload data'!$B:$B,"custody",'caseload data'!$C:$C,'custody %'!$B$85),"")</f>
        <v/>
      </c>
      <c r="I87" s="167" t="str">
        <f>IFERROR(SUMIFS('caseload data'!K:K,'caseload data'!$C:$C,'custody %'!$B$85,'caseload data'!$D:$D,"PO",'caseload data'!$B:$B,"custody")/SUMIFS('caseload data'!K:K,'caseload data'!$B:$B,"custody",'caseload data'!$C:$C,'custody %'!$B$85),"")</f>
        <v/>
      </c>
      <c r="J87" s="167" t="str">
        <f>IFERROR(SUMIFS('caseload data'!L:L,'caseload data'!$C:$C,'custody %'!$B$85,'caseload data'!$D:$D,"PO",'caseload data'!$B:$B,"custody")/SUMIFS('caseload data'!L:L,'caseload data'!$B:$B,"custody",'caseload data'!$C:$C,'custody %'!$B$85),"")</f>
        <v/>
      </c>
      <c r="K87" s="167" t="str">
        <f>IFERROR(SUMIFS('caseload data'!M:M,'caseload data'!$C:$C,'custody %'!$B$85,'caseload data'!$D:$D,"PO",'caseload data'!$B:$B,"custody")/SUMIFS('caseload data'!M:M,'caseload data'!$B:$B,"custody",'caseload data'!$C:$C,'custody %'!$B$85),"")</f>
        <v/>
      </c>
      <c r="L87" s="167" t="str">
        <f>IFERROR(SUMIFS('caseload data'!N:N,'caseload data'!$C:$C,'custody %'!$B$85,'caseload data'!$D:$D,"PO",'caseload data'!$B:$B,"custody")/SUMIFS('caseload data'!N:N,'caseload data'!$B:$B,"custody",'caseload data'!$C:$C,'custody %'!$B$85),"")</f>
        <v/>
      </c>
      <c r="M87" s="167" t="str">
        <f>IFERROR(SUMIFS('caseload data'!O:O,'caseload data'!$C:$C,'custody %'!$B$85,'caseload data'!$D:$D,"PO",'caseload data'!$B:$B,"custody")/SUMIFS('caseload data'!O:O,'caseload data'!$B:$B,"custody",'caseload data'!$C:$C,'custody %'!$B$85),"")</f>
        <v/>
      </c>
      <c r="N87" s="167" t="str">
        <f>IFERROR(SUMIFS('caseload data'!P:P,'caseload data'!$C:$C,'custody %'!$B$85,'caseload data'!$D:$D,"PO",'caseload data'!$B:$B,"custody")/SUMIFS('caseload data'!P:P,'caseload data'!$B:$B,"custody",'caseload data'!$C:$C,'custody %'!$B$85),"")</f>
        <v/>
      </c>
      <c r="O87" s="167" t="str">
        <f>IFERROR(SUMIFS('caseload data'!Q:Q,'caseload data'!$C:$C,'custody %'!$B$85,'caseload data'!$D:$D,"PO",'caseload data'!$B:$B,"custody")/SUMIFS('caseload data'!Q:Q,'caseload data'!$B:$B,"custody",'caseload data'!$C:$C,'custody %'!$B$85),"")</f>
        <v/>
      </c>
      <c r="P87" s="167" t="str">
        <f>IFERROR(SUMIFS('caseload data'!R:R,'caseload data'!$C:$C,'custody %'!$B$85,'caseload data'!$D:$D,"PO",'caseload data'!$B:$B,"custody")/SUMIFS('caseload data'!R:R,'caseload data'!$B:$B,"custody",'caseload data'!$C:$C,'custody %'!$B$85),"")</f>
        <v/>
      </c>
      <c r="Q87" s="167" t="str">
        <f>IFERROR(SUMIFS('caseload data'!S:S,'caseload data'!$C:$C,'custody %'!$B$85,'caseload data'!$D:$D,"PO",'caseload data'!$B:$B,"custody")/SUMIFS('caseload data'!S:S,'caseload data'!$B:$B,"custody",'caseload data'!$C:$C,'custody %'!$B$85),"")</f>
        <v/>
      </c>
      <c r="R87" s="167" t="str">
        <f>IFERROR(SUMIFS('caseload data'!T:T,'caseload data'!$C:$C,'custody %'!$B$85,'caseload data'!$D:$D,"PO",'caseload data'!$B:$B,"custody")/SUMIFS('caseload data'!T:T,'caseload data'!$B:$B,"custody",'caseload data'!$C:$C,'custody %'!$B$85),"")</f>
        <v/>
      </c>
      <c r="T87" s="96" t="s">
        <v>1002</v>
      </c>
      <c r="U87" s="167" t="str">
        <f>IFERROR(SUMIFS('caseload data'!E:E,'caseload data'!$C:$C,'custody %'!$T$85,'caseload data'!$D:$D,"PO",'caseload data'!$B:$B,"custody")/SUMIFS('caseload data'!E:E,'caseload data'!$B:$B,"custody",'caseload data'!$C:$C,'custody %'!$T$85),"")</f>
        <v/>
      </c>
      <c r="V87" s="167" t="str">
        <f>IFERROR(SUMIFS('caseload data'!F:F,'caseload data'!$C:$C,'custody %'!$T$85,'caseload data'!$D:$D,"PO",'caseload data'!$B:$B,"custody")/SUMIFS('caseload data'!F:F,'caseload data'!$B:$B,"custody",'caseload data'!$C:$C,'custody %'!$T$85),"")</f>
        <v/>
      </c>
      <c r="W87" s="167" t="str">
        <f>IFERROR(SUMIFS('caseload data'!G:G,'caseload data'!$C:$C,'custody %'!$T$85,'caseload data'!$D:$D,"PO",'caseload data'!$B:$B,"custody")/SUMIFS('caseload data'!G:G,'caseload data'!$B:$B,"custody",'caseload data'!$C:$C,'custody %'!$T$85),"")</f>
        <v/>
      </c>
      <c r="X87" s="167" t="str">
        <f>IFERROR(SUMIFS('caseload data'!H:H,'caseload data'!$C:$C,'custody %'!$T$85,'caseload data'!$D:$D,"PO",'caseload data'!$B:$B,"custody")/SUMIFS('caseload data'!H:H,'caseload data'!$B:$B,"custody",'caseload data'!$C:$C,'custody %'!$T$85),"")</f>
        <v/>
      </c>
      <c r="Y87" s="167" t="str">
        <f>IFERROR(SUMIFS('caseload data'!I:I,'caseload data'!$C:$C,'custody %'!$T$85,'caseload data'!$D:$D,"PO",'caseload data'!$B:$B,"custody")/SUMIFS('caseload data'!I:I,'caseload data'!$B:$B,"custody",'caseload data'!$C:$C,'custody %'!$T$85),"")</f>
        <v/>
      </c>
      <c r="Z87" s="167" t="str">
        <f>IFERROR(SUMIFS('caseload data'!J:J,'caseload data'!$C:$C,'custody %'!$T$85,'caseload data'!$D:$D,"PO",'caseload data'!$B:$B,"custody")/SUMIFS('caseload data'!J:J,'caseload data'!$B:$B,"custody",'caseload data'!$C:$C,'custody %'!$T$85),"")</f>
        <v/>
      </c>
      <c r="AA87" s="167" t="str">
        <f>IFERROR(SUMIFS('caseload data'!K:K,'caseload data'!$C:$C,'custody %'!$T$85,'caseload data'!$D:$D,"PO",'caseload data'!$B:$B,"custody")/SUMIFS('caseload data'!K:K,'caseload data'!$B:$B,"custody",'caseload data'!$C:$C,'custody %'!$T$85),"")</f>
        <v/>
      </c>
      <c r="AB87" s="167" t="str">
        <f>IFERROR(SUMIFS('caseload data'!L:L,'caseload data'!$C:$C,'custody %'!$T$85,'caseload data'!$D:$D,"PO",'caseload data'!$B:$B,"custody")/SUMIFS('caseload data'!L:L,'caseload data'!$B:$B,"custody",'caseload data'!$C:$C,'custody %'!$T$85),"")</f>
        <v/>
      </c>
      <c r="AC87" s="167" t="str">
        <f>IFERROR(SUMIFS('caseload data'!M:M,'caseload data'!$C:$C,'custody %'!$T$85,'caseload data'!$D:$D,"PO",'caseload data'!$B:$B,"custody")/SUMIFS('caseload data'!M:M,'caseload data'!$B:$B,"custody",'caseload data'!$C:$C,'custody %'!$T$85),"")</f>
        <v/>
      </c>
      <c r="AD87" s="167" t="str">
        <f>IFERROR(SUMIFS('caseload data'!N:N,'caseload data'!$C:$C,'custody %'!$T$85,'caseload data'!$D:$D,"PO",'caseload data'!$B:$B,"custody")/SUMIFS('caseload data'!N:N,'caseload data'!$B:$B,"custody",'caseload data'!$C:$C,'custody %'!$T$85),"")</f>
        <v/>
      </c>
      <c r="AE87" s="167" t="str">
        <f>IFERROR(SUMIFS('caseload data'!O:O,'caseload data'!$C:$C,'custody %'!$T$85,'caseload data'!$D:$D,"PO",'caseload data'!$B:$B,"custody")/SUMIFS('caseload data'!O:O,'caseload data'!$B:$B,"custody",'caseload data'!$C:$C,'custody %'!$T$85),"")</f>
        <v/>
      </c>
      <c r="AF87" s="167" t="str">
        <f>IFERROR(SUMIFS('caseload data'!P:P,'caseload data'!$C:$C,'custody %'!$T$85,'caseload data'!$D:$D,"PO",'caseload data'!$B:$B,"custody")/SUMIFS('caseload data'!P:P,'caseload data'!$B:$B,"custody",'caseload data'!$C:$C,'custody %'!$T$85),"")</f>
        <v/>
      </c>
      <c r="AG87" s="167" t="str">
        <f>IFERROR(SUMIFS('caseload data'!Q:Q,'caseload data'!$C:$C,'custody %'!$T$85,'caseload data'!$D:$D,"PO",'caseload data'!$B:$B,"custody")/SUMIFS('caseload data'!Q:Q,'caseload data'!$B:$B,"custody",'caseload data'!$C:$C,'custody %'!$T$85),"")</f>
        <v/>
      </c>
      <c r="AH87" s="167" t="str">
        <f>IFERROR(SUMIFS('caseload data'!R:R,'caseload data'!$C:$C,'custody %'!$T$85,'caseload data'!$D:$D,"PO",'caseload data'!$B:$B,"custody")/SUMIFS('caseload data'!R:R,'caseload data'!$B:$B,"custody",'caseload data'!$C:$C,'custody %'!$T$85),"")</f>
        <v/>
      </c>
      <c r="AI87" s="167"/>
      <c r="AJ87" s="167"/>
    </row>
    <row r="88" spans="2:36" x14ac:dyDescent="0.15">
      <c r="B88" s="97" t="s">
        <v>1007</v>
      </c>
      <c r="C88" s="167" t="str">
        <f>IFERROR(SUMIFS('caseload data'!E:E,'caseload data'!$C:$C,'custody %'!$B$85,'caseload data'!$D:$D,"PSO",'caseload data'!$B:$B,"custody")/SUMIFS('caseload data'!E:E,'caseload data'!$B:$B,"custody",'caseload data'!$C:$C,'custody %'!$B$85),"")</f>
        <v/>
      </c>
      <c r="D88" s="167" t="str">
        <f>IFERROR(SUMIFS('caseload data'!F:F,'caseload data'!$C:$C,'custody %'!$B$85,'caseload data'!$D:$D,"PSO",'caseload data'!$B:$B,"custody")/SUMIFS('caseload data'!F:F,'caseload data'!$B:$B,"custody",'caseload data'!$C:$C,'custody %'!$B$85),"")</f>
        <v/>
      </c>
      <c r="E88" s="167" t="str">
        <f>IFERROR(SUMIFS('caseload data'!G:G,'caseload data'!$C:$C,'custody %'!$B$85,'caseload data'!$D:$D,"PSO",'caseload data'!$B:$B,"custody")/SUMIFS('caseload data'!G:G,'caseload data'!$B:$B,"custody",'caseload data'!$C:$C,'custody %'!$B$85),"")</f>
        <v/>
      </c>
      <c r="F88" s="167" t="str">
        <f>IFERROR(SUMIFS('caseload data'!H:H,'caseload data'!$C:$C,'custody %'!$B$85,'caseload data'!$D:$D,"PSO",'caseload data'!$B:$B,"custody")/SUMIFS('caseload data'!H:H,'caseload data'!$B:$B,"custody",'caseload data'!$C:$C,'custody %'!$B$85),"")</f>
        <v/>
      </c>
      <c r="G88" s="167" t="str">
        <f>IFERROR(SUMIFS('caseload data'!I:I,'caseload data'!$C:$C,'custody %'!$B$85,'caseload data'!$D:$D,"PSO",'caseload data'!$B:$B,"custody")/SUMIFS('caseload data'!I:I,'caseload data'!$B:$B,"custody",'caseload data'!$C:$C,'custody %'!$B$85),"")</f>
        <v/>
      </c>
      <c r="H88" s="167" t="str">
        <f>IFERROR(SUMIFS('caseload data'!J:J,'caseload data'!$C:$C,'custody %'!$B$85,'caseload data'!$D:$D,"PSO",'caseload data'!$B:$B,"custody")/SUMIFS('caseload data'!J:J,'caseload data'!$B:$B,"custody",'caseload data'!$C:$C,'custody %'!$B$85),"")</f>
        <v/>
      </c>
      <c r="I88" s="167" t="str">
        <f>IFERROR(SUMIFS('caseload data'!K:K,'caseload data'!$C:$C,'custody %'!$B$85,'caseload data'!$D:$D,"PSO",'caseload data'!$B:$B,"custody")/SUMIFS('caseload data'!K:K,'caseload data'!$B:$B,"custody",'caseload data'!$C:$C,'custody %'!$B$85),"")</f>
        <v/>
      </c>
      <c r="J88" s="167" t="str">
        <f>IFERROR(SUMIFS('caseload data'!L:L,'caseload data'!$C:$C,'custody %'!$B$85,'caseload data'!$D:$D,"PSO",'caseload data'!$B:$B,"custody")/SUMIFS('caseload data'!L:L,'caseload data'!$B:$B,"custody",'caseload data'!$C:$C,'custody %'!$B$85),"")</f>
        <v/>
      </c>
      <c r="K88" s="167" t="str">
        <f>IFERROR(SUMIFS('caseload data'!M:M,'caseload data'!$C:$C,'custody %'!$B$85,'caseload data'!$D:$D,"PSO",'caseload data'!$B:$B,"custody")/SUMIFS('caseload data'!M:M,'caseload data'!$B:$B,"custody",'caseload data'!$C:$C,'custody %'!$B$85),"")</f>
        <v/>
      </c>
      <c r="L88" s="167" t="str">
        <f>IFERROR(SUMIFS('caseload data'!N:N,'caseload data'!$C:$C,'custody %'!$B$85,'caseload data'!$D:$D,"PSO",'caseload data'!$B:$B,"custody")/SUMIFS('caseload data'!N:N,'caseload data'!$B:$B,"custody",'caseload data'!$C:$C,'custody %'!$B$85),"")</f>
        <v/>
      </c>
      <c r="M88" s="167" t="str">
        <f>IFERROR(SUMIFS('caseload data'!O:O,'caseload data'!$C:$C,'custody %'!$B$85,'caseload data'!$D:$D,"PSO",'caseload data'!$B:$B,"custody")/SUMIFS('caseload data'!O:O,'caseload data'!$B:$B,"custody",'caseload data'!$C:$C,'custody %'!$B$85),"")</f>
        <v/>
      </c>
      <c r="N88" s="167" t="str">
        <f>IFERROR(SUMIFS('caseload data'!P:P,'caseload data'!$C:$C,'custody %'!$B$85,'caseload data'!$D:$D,"PSO",'caseload data'!$B:$B,"custody")/SUMIFS('caseload data'!P:P,'caseload data'!$B:$B,"custody",'caseload data'!$C:$C,'custody %'!$B$85),"")</f>
        <v/>
      </c>
      <c r="O88" s="167" t="str">
        <f>IFERROR(SUMIFS('caseload data'!Q:Q,'caseload data'!$C:$C,'custody %'!$B$85,'caseload data'!$D:$D,"PSO",'caseload data'!$B:$B,"custody")/SUMIFS('caseload data'!Q:Q,'caseload data'!$B:$B,"custody",'caseload data'!$C:$C,'custody %'!$B$85),"")</f>
        <v/>
      </c>
      <c r="P88" s="167" t="str">
        <f>IFERROR(SUMIFS('caseload data'!R:R,'caseload data'!$C:$C,'custody %'!$B$85,'caseload data'!$D:$D,"PSO",'caseload data'!$B:$B,"custody")/SUMIFS('caseload data'!R:R,'caseload data'!$B:$B,"custody",'caseload data'!$C:$C,'custody %'!$B$85),"")</f>
        <v/>
      </c>
      <c r="Q88" s="167" t="str">
        <f>IFERROR(SUMIFS('caseload data'!S:S,'caseload data'!$C:$C,'custody %'!$B$85,'caseload data'!$D:$D,"PSO",'caseload data'!$B:$B,"custody")/SUMIFS('caseload data'!S:S,'caseload data'!$B:$B,"custody",'caseload data'!$C:$C,'custody %'!$B$85),"")</f>
        <v/>
      </c>
      <c r="R88" s="167" t="str">
        <f>IFERROR(SUMIFS('caseload data'!T:T,'caseload data'!$C:$C,'custody %'!$B$85,'caseload data'!$D:$D,"PSO",'caseload data'!$B:$B,"custody")/SUMIFS('caseload data'!T:T,'caseload data'!$B:$B,"custody",'caseload data'!$C:$C,'custody %'!$B$85),"")</f>
        <v/>
      </c>
      <c r="T88" s="97" t="s">
        <v>1007</v>
      </c>
      <c r="U88" s="167" t="str">
        <f>IFERROR(SUMIFS('caseload data'!E:E,'caseload data'!$C:$C,'custody %'!$T$85,'caseload data'!$D:$D,"PSO",'caseload data'!$B:$B,"custody")/SUMIFS('caseload data'!E:E,'caseload data'!$B:$B,"custody",'caseload data'!$C:$C,'custody %'!$T$85),"")</f>
        <v/>
      </c>
      <c r="V88" s="167" t="str">
        <f>IFERROR(SUMIFS('caseload data'!F:F,'caseload data'!$C:$C,'custody %'!$T$85,'caseload data'!$D:$D,"PSO",'caseload data'!$B:$B,"custody")/SUMIFS('caseload data'!F:F,'caseload data'!$B:$B,"custody",'caseload data'!$C:$C,'custody %'!$T$85),"")</f>
        <v/>
      </c>
      <c r="W88" s="167" t="str">
        <f>IFERROR(SUMIFS('caseload data'!G:G,'caseload data'!$C:$C,'custody %'!$T$85,'caseload data'!$D:$D,"PSO",'caseload data'!$B:$B,"custody")/SUMIFS('caseload data'!G:G,'caseload data'!$B:$B,"custody",'caseload data'!$C:$C,'custody %'!$T$85),"")</f>
        <v/>
      </c>
      <c r="X88" s="167" t="str">
        <f>IFERROR(SUMIFS('caseload data'!H:H,'caseload data'!$C:$C,'custody %'!$T$85,'caseload data'!$D:$D,"PSO",'caseload data'!$B:$B,"custody")/SUMIFS('caseload data'!H:H,'caseload data'!$B:$B,"custody",'caseload data'!$C:$C,'custody %'!$T$85),"")</f>
        <v/>
      </c>
      <c r="Y88" s="167" t="str">
        <f>IFERROR(SUMIFS('caseload data'!I:I,'caseload data'!$C:$C,'custody %'!$T$85,'caseload data'!$D:$D,"PSO",'caseload data'!$B:$B,"custody")/SUMIFS('caseload data'!I:I,'caseload data'!$B:$B,"custody",'caseload data'!$C:$C,'custody %'!$T$85),"")</f>
        <v/>
      </c>
      <c r="Z88" s="167" t="str">
        <f>IFERROR(SUMIFS('caseload data'!J:J,'caseload data'!$C:$C,'custody %'!$T$85,'caseload data'!$D:$D,"PSO",'caseload data'!$B:$B,"custody")/SUMIFS('caseload data'!J:J,'caseload data'!$B:$B,"custody",'caseload data'!$C:$C,'custody %'!$T$85),"")</f>
        <v/>
      </c>
      <c r="AA88" s="167" t="str">
        <f>IFERROR(SUMIFS('caseload data'!K:K,'caseload data'!$C:$C,'custody %'!$T$85,'caseload data'!$D:$D,"PSO",'caseload data'!$B:$B,"custody")/SUMIFS('caseload data'!K:K,'caseload data'!$B:$B,"custody",'caseload data'!$C:$C,'custody %'!$T$85),"")</f>
        <v/>
      </c>
      <c r="AB88" s="167" t="str">
        <f>IFERROR(SUMIFS('caseload data'!L:L,'caseload data'!$C:$C,'custody %'!$T$85,'caseload data'!$D:$D,"PSO",'caseload data'!$B:$B,"custody")/SUMIFS('caseload data'!L:L,'caseload data'!$B:$B,"custody",'caseload data'!$C:$C,'custody %'!$T$85),"")</f>
        <v/>
      </c>
      <c r="AC88" s="167" t="str">
        <f>IFERROR(SUMIFS('caseload data'!M:M,'caseload data'!$C:$C,'custody %'!$T$85,'caseload data'!$D:$D,"PSO",'caseload data'!$B:$B,"custody")/SUMIFS('caseload data'!M:M,'caseload data'!$B:$B,"custody",'caseload data'!$C:$C,'custody %'!$T$85),"")</f>
        <v/>
      </c>
      <c r="AD88" s="167" t="str">
        <f>IFERROR(SUMIFS('caseload data'!N:N,'caseload data'!$C:$C,'custody %'!$T$85,'caseload data'!$D:$D,"PSO",'caseload data'!$B:$B,"custody")/SUMIFS('caseload data'!N:N,'caseload data'!$B:$B,"custody",'caseload data'!$C:$C,'custody %'!$T$85),"")</f>
        <v/>
      </c>
      <c r="AE88" s="167" t="str">
        <f>IFERROR(SUMIFS('caseload data'!O:O,'caseload data'!$C:$C,'custody %'!$T$85,'caseload data'!$D:$D,"PSO",'caseload data'!$B:$B,"custody")/SUMIFS('caseload data'!O:O,'caseload data'!$B:$B,"custody",'caseload data'!$C:$C,'custody %'!$T$85),"")</f>
        <v/>
      </c>
      <c r="AF88" s="167" t="str">
        <f>IFERROR(SUMIFS('caseload data'!P:P,'caseload data'!$C:$C,'custody %'!$T$85,'caseload data'!$D:$D,"PSO",'caseload data'!$B:$B,"custody")/SUMIFS('caseload data'!P:P,'caseload data'!$B:$B,"custody",'caseload data'!$C:$C,'custody %'!$T$85),"")</f>
        <v/>
      </c>
      <c r="AG88" s="167" t="str">
        <f>IFERROR(SUMIFS('caseload data'!Q:Q,'caseload data'!$C:$C,'custody %'!$T$85,'caseload data'!$D:$D,"PSO",'caseload data'!$B:$B,"custody")/SUMIFS('caseload data'!Q:Q,'caseload data'!$B:$B,"custody",'caseload data'!$C:$C,'custody %'!$T$85),"")</f>
        <v/>
      </c>
      <c r="AH88" s="167" t="str">
        <f>IFERROR(SUMIFS('caseload data'!R:R,'caseload data'!$C:$C,'custody %'!$T$85,'caseload data'!$D:$D,"PSO",'caseload data'!$B:$B,"custody")/SUMIFS('caseload data'!R:R,'caseload data'!$B:$B,"custody",'caseload data'!$C:$C,'custody %'!$T$85),"")</f>
        <v/>
      </c>
      <c r="AI88" s="167"/>
      <c r="AJ88" s="167"/>
    </row>
    <row r="89" spans="2:36" x14ac:dyDescent="0.15">
      <c r="B89" s="97" t="s">
        <v>1008</v>
      </c>
      <c r="C89" s="167" t="str">
        <f>IFERROR(SUMIFS('caseload data'!E:E,'caseload data'!$C:$C,'custody %'!$B$85,'caseload data'!$D:$D,"TPO",'caseload data'!$B:$B,"custody")/SUMIFS('caseload data'!E:E,'caseload data'!$B:$B,"custody",'caseload data'!$C:$C,'custody %'!$B$85),"")</f>
        <v/>
      </c>
      <c r="D89" s="167" t="str">
        <f>IFERROR(SUMIFS('caseload data'!F:F,'caseload data'!$C:$C,'custody %'!$B$85,'caseload data'!$D:$D,"TPO",'caseload data'!$B:$B,"custody")/SUMIFS('caseload data'!F:F,'caseload data'!$B:$B,"custody",'caseload data'!$C:$C,'custody %'!$B$85),"")</f>
        <v/>
      </c>
      <c r="E89" s="167" t="str">
        <f>IFERROR(SUMIFS('caseload data'!G:G,'caseload data'!$C:$C,'custody %'!$B$85,'caseload data'!$D:$D,"TPO",'caseload data'!$B:$B,"custody")/SUMIFS('caseload data'!G:G,'caseload data'!$B:$B,"custody",'caseload data'!$C:$C,'custody %'!$B$85),"")</f>
        <v/>
      </c>
      <c r="F89" s="167" t="str">
        <f>IFERROR(SUMIFS('caseload data'!H:H,'caseload data'!$C:$C,'custody %'!$B$85,'caseload data'!$D:$D,"TPO",'caseload data'!$B:$B,"custody")/SUMIFS('caseload data'!H:H,'caseload data'!$B:$B,"custody",'caseload data'!$C:$C,'custody %'!$B$85),"")</f>
        <v/>
      </c>
      <c r="G89" s="167" t="str">
        <f>IFERROR(SUMIFS('caseload data'!I:I,'caseload data'!$C:$C,'custody %'!$B$85,'caseload data'!$D:$D,"TPO",'caseload data'!$B:$B,"custody")/SUMIFS('caseload data'!I:I,'caseload data'!$B:$B,"custody",'caseload data'!$C:$C,'custody %'!$B$85),"")</f>
        <v/>
      </c>
      <c r="H89" s="167" t="str">
        <f>IFERROR(SUMIFS('caseload data'!J:J,'caseload data'!$C:$C,'custody %'!$B$85,'caseload data'!$D:$D,"TPO",'caseload data'!$B:$B,"custody")/SUMIFS('caseload data'!J:J,'caseload data'!$B:$B,"custody",'caseload data'!$C:$C,'custody %'!$B$85),"")</f>
        <v/>
      </c>
      <c r="I89" s="167" t="str">
        <f>IFERROR(SUMIFS('caseload data'!K:K,'caseload data'!$C:$C,'custody %'!$B$85,'caseload data'!$D:$D,"TPO",'caseload data'!$B:$B,"custody")/SUMIFS('caseload data'!K:K,'caseload data'!$B:$B,"custody",'caseload data'!$C:$C,'custody %'!$B$85),"")</f>
        <v/>
      </c>
      <c r="J89" s="167" t="str">
        <f>IFERROR(SUMIFS('caseload data'!L:L,'caseload data'!$C:$C,'custody %'!$B$85,'caseload data'!$D:$D,"TPO",'caseload data'!$B:$B,"custody")/SUMIFS('caseload data'!L:L,'caseload data'!$B:$B,"custody",'caseload data'!$C:$C,'custody %'!$B$85),"")</f>
        <v/>
      </c>
      <c r="K89" s="167" t="str">
        <f>IFERROR(SUMIFS('caseload data'!M:M,'caseload data'!$C:$C,'custody %'!$B$85,'caseload data'!$D:$D,"TPO",'caseload data'!$B:$B,"custody")/SUMIFS('caseload data'!M:M,'caseload data'!$B:$B,"custody",'caseload data'!$C:$C,'custody %'!$B$85),"")</f>
        <v/>
      </c>
      <c r="L89" s="167" t="str">
        <f>IFERROR(SUMIFS('caseload data'!N:N,'caseload data'!$C:$C,'custody %'!$B$85,'caseload data'!$D:$D,"TPO",'caseload data'!$B:$B,"custody")/SUMIFS('caseload data'!N:N,'caseload data'!$B:$B,"custody",'caseload data'!$C:$C,'custody %'!$B$85),"")</f>
        <v/>
      </c>
      <c r="M89" s="167" t="str">
        <f>IFERROR(SUMIFS('caseload data'!O:O,'caseload data'!$C:$C,'custody %'!$B$85,'caseload data'!$D:$D,"TPO",'caseload data'!$B:$B,"custody")/SUMIFS('caseload data'!O:O,'caseload data'!$B:$B,"custody",'caseload data'!$C:$C,'custody %'!$B$85),"")</f>
        <v/>
      </c>
      <c r="N89" s="167" t="str">
        <f>IFERROR(SUMIFS('caseload data'!P:P,'caseload data'!$C:$C,'custody %'!$B$85,'caseload data'!$D:$D,"TPO",'caseload data'!$B:$B,"custody")/SUMIFS('caseload data'!P:P,'caseload data'!$B:$B,"custody",'caseload data'!$C:$C,'custody %'!$B$85),"")</f>
        <v/>
      </c>
      <c r="O89" s="167" t="str">
        <f>IFERROR(SUMIFS('caseload data'!Q:Q,'caseload data'!$C:$C,'custody %'!$B$85,'caseload data'!$D:$D,"TPO",'caseload data'!$B:$B,"custody")/SUMIFS('caseload data'!Q:Q,'caseload data'!$B:$B,"custody",'caseload data'!$C:$C,'custody %'!$B$85),"")</f>
        <v/>
      </c>
      <c r="P89" s="167" t="str">
        <f>IFERROR(SUMIFS('caseload data'!R:R,'caseload data'!$C:$C,'custody %'!$B$85,'caseload data'!$D:$D,"TPO",'caseload data'!$B:$B,"custody")/SUMIFS('caseload data'!R:R,'caseload data'!$B:$B,"custody",'caseload data'!$C:$C,'custody %'!$B$85),"")</f>
        <v/>
      </c>
      <c r="Q89" s="167" t="str">
        <f>IFERROR(SUMIFS('caseload data'!S:S,'caseload data'!$C:$C,'custody %'!$B$85,'caseload data'!$D:$D,"TPO",'caseload data'!$B:$B,"custody")/SUMIFS('caseload data'!S:S,'caseload data'!$B:$B,"custody",'caseload data'!$C:$C,'custody %'!$B$85),"")</f>
        <v/>
      </c>
      <c r="R89" s="167" t="str">
        <f>IFERROR(SUMIFS('caseload data'!T:T,'caseload data'!$C:$C,'custody %'!$B$85,'caseload data'!$D:$D,"TPO",'caseload data'!$B:$B,"custody")/SUMIFS('caseload data'!T:T,'caseload data'!$B:$B,"custody",'caseload data'!$C:$C,'custody %'!$B$85),"")</f>
        <v/>
      </c>
      <c r="T89" s="97" t="s">
        <v>1008</v>
      </c>
      <c r="U89" s="167" t="str">
        <f>IFERROR(SUMIFS('caseload data'!E:E,'caseload data'!$C:$C,'custody %'!$T$85,'caseload data'!$D:$D,"TPO",'caseload data'!$B:$B,"custody")/SUMIFS('caseload data'!E:E,'caseload data'!$B:$B,"custody",'caseload data'!$C:$C,'custody %'!$T$85),"")</f>
        <v/>
      </c>
      <c r="V89" s="167" t="str">
        <f>IFERROR(SUMIFS('caseload data'!F:F,'caseload data'!$C:$C,'custody %'!$T$85,'caseload data'!$D:$D,"TPO",'caseload data'!$B:$B,"custody")/SUMIFS('caseload data'!F:F,'caseload data'!$B:$B,"custody",'caseload data'!$C:$C,'custody %'!$T$85),"")</f>
        <v/>
      </c>
      <c r="W89" s="167" t="str">
        <f>IFERROR(SUMIFS('caseload data'!G:G,'caseload data'!$C:$C,'custody %'!$T$85,'caseload data'!$D:$D,"TPO",'caseload data'!$B:$B,"custody")/SUMIFS('caseload data'!G:G,'caseload data'!$B:$B,"custody",'caseload data'!$C:$C,'custody %'!$T$85),"")</f>
        <v/>
      </c>
      <c r="X89" s="167" t="str">
        <f>IFERROR(SUMIFS('caseload data'!H:H,'caseload data'!$C:$C,'custody %'!$T$85,'caseload data'!$D:$D,"TPO",'caseload data'!$B:$B,"custody")/SUMIFS('caseload data'!H:H,'caseload data'!$B:$B,"custody",'caseload data'!$C:$C,'custody %'!$T$85),"")</f>
        <v/>
      </c>
      <c r="Y89" s="167" t="str">
        <f>IFERROR(SUMIFS('caseload data'!I:I,'caseload data'!$C:$C,'custody %'!$T$85,'caseload data'!$D:$D,"TPO",'caseload data'!$B:$B,"custody")/SUMIFS('caseload data'!I:I,'caseload data'!$B:$B,"custody",'caseload data'!$C:$C,'custody %'!$T$85),"")</f>
        <v/>
      </c>
      <c r="Z89" s="167" t="str">
        <f>IFERROR(SUMIFS('caseload data'!J:J,'caseload data'!$C:$C,'custody %'!$T$85,'caseload data'!$D:$D,"TPO",'caseload data'!$B:$B,"custody")/SUMIFS('caseload data'!J:J,'caseload data'!$B:$B,"custody",'caseload data'!$C:$C,'custody %'!$T$85),"")</f>
        <v/>
      </c>
      <c r="AA89" s="167" t="str">
        <f>IFERROR(SUMIFS('caseload data'!K:K,'caseload data'!$C:$C,'custody %'!$T$85,'caseload data'!$D:$D,"TPO",'caseload data'!$B:$B,"custody")/SUMIFS('caseload data'!K:K,'caseload data'!$B:$B,"custody",'caseload data'!$C:$C,'custody %'!$T$85),"")</f>
        <v/>
      </c>
      <c r="AB89" s="167" t="str">
        <f>IFERROR(SUMIFS('caseload data'!L:L,'caseload data'!$C:$C,'custody %'!$T$85,'caseload data'!$D:$D,"TPO",'caseload data'!$B:$B,"custody")/SUMIFS('caseload data'!L:L,'caseload data'!$B:$B,"custody",'caseload data'!$C:$C,'custody %'!$T$85),"")</f>
        <v/>
      </c>
      <c r="AC89" s="167" t="str">
        <f>IFERROR(SUMIFS('caseload data'!M:M,'caseload data'!$C:$C,'custody %'!$T$85,'caseload data'!$D:$D,"TPO",'caseload data'!$B:$B,"custody")/SUMIFS('caseload data'!M:M,'caseload data'!$B:$B,"custody",'caseload data'!$C:$C,'custody %'!$T$85),"")</f>
        <v/>
      </c>
      <c r="AD89" s="167" t="str">
        <f>IFERROR(SUMIFS('caseload data'!N:N,'caseload data'!$C:$C,'custody %'!$T$85,'caseload data'!$D:$D,"TPO",'caseload data'!$B:$B,"custody")/SUMIFS('caseload data'!N:N,'caseload data'!$B:$B,"custody",'caseload data'!$C:$C,'custody %'!$T$85),"")</f>
        <v/>
      </c>
      <c r="AE89" s="167" t="str">
        <f>IFERROR(SUMIFS('caseload data'!O:O,'caseload data'!$C:$C,'custody %'!$T$85,'caseload data'!$D:$D,"TPO",'caseload data'!$B:$B,"custody")/SUMIFS('caseload data'!O:O,'caseload data'!$B:$B,"custody",'caseload data'!$C:$C,'custody %'!$T$85),"")</f>
        <v/>
      </c>
      <c r="AF89" s="167" t="str">
        <f>IFERROR(SUMIFS('caseload data'!P:P,'caseload data'!$C:$C,'custody %'!$T$85,'caseload data'!$D:$D,"TPO",'caseload data'!$B:$B,"custody")/SUMIFS('caseload data'!P:P,'caseload data'!$B:$B,"custody",'caseload data'!$C:$C,'custody %'!$T$85),"")</f>
        <v/>
      </c>
      <c r="AG89" s="167" t="str">
        <f>IFERROR(SUMIFS('caseload data'!Q:Q,'caseload data'!$C:$C,'custody %'!$T$85,'caseload data'!$D:$D,"TPO",'caseload data'!$B:$B,"custody")/SUMIFS('caseload data'!Q:Q,'caseload data'!$B:$B,"custody",'caseload data'!$C:$C,'custody %'!$T$85),"")</f>
        <v/>
      </c>
      <c r="AH89" s="167" t="str">
        <f>IFERROR(SUMIFS('caseload data'!R:R,'caseload data'!$C:$C,'custody %'!$T$85,'caseload data'!$D:$D,"TPO",'caseload data'!$B:$B,"custody")/SUMIFS('caseload data'!R:R,'caseload data'!$B:$B,"custody",'caseload data'!$C:$C,'custody %'!$T$85),"")</f>
        <v/>
      </c>
      <c r="AI89" s="167"/>
      <c r="AJ89" s="167"/>
    </row>
    <row r="90" spans="2:36" x14ac:dyDescent="0.15">
      <c r="B90" s="98" t="s">
        <v>1009</v>
      </c>
      <c r="C90" s="167" t="str">
        <f>IFERROR(SUMIFS('caseload data'!E:E,'caseload data'!$C:$C,'custody %'!$B$85,'caseload data'!$D:$D,"SPO",'caseload data'!$B:$B,"custody")/SUMIFS('caseload data'!E:E,'caseload data'!$B:$B,"custody",'caseload data'!$C:$C,'custody %'!$B$85),"")</f>
        <v/>
      </c>
      <c r="D90" s="167" t="str">
        <f>IFERROR(SUMIFS('caseload data'!F:F,'caseload data'!$C:$C,'custody %'!$B$85,'caseload data'!$D:$D,"SPO",'caseload data'!$B:$B,"custody")/SUMIFS('caseload data'!F:F,'caseload data'!$B:$B,"custody",'caseload data'!$C:$C,'custody %'!$B$85),"")</f>
        <v/>
      </c>
      <c r="E90" s="167" t="str">
        <f>IFERROR(SUMIFS('caseload data'!G:G,'caseload data'!$C:$C,'custody %'!$B$85,'caseload data'!$D:$D,"SPO",'caseload data'!$B:$B,"custody")/SUMIFS('caseload data'!G:G,'caseload data'!$B:$B,"custody",'caseload data'!$C:$C,'custody %'!$B$85),"")</f>
        <v/>
      </c>
      <c r="F90" s="167" t="str">
        <f>IFERROR(SUMIFS('caseload data'!H:H,'caseload data'!$C:$C,'custody %'!$B$85,'caseload data'!$D:$D,"SPO",'caseload data'!$B:$B,"custody")/SUMIFS('caseload data'!H:H,'caseload data'!$B:$B,"custody",'caseload data'!$C:$C,'custody %'!$B$85),"")</f>
        <v/>
      </c>
      <c r="G90" s="167" t="str">
        <f>IFERROR(SUMIFS('caseload data'!I:I,'caseload data'!$C:$C,'custody %'!$B$85,'caseload data'!$D:$D,"SPO",'caseload data'!$B:$B,"custody")/SUMIFS('caseload data'!I:I,'caseload data'!$B:$B,"custody",'caseload data'!$C:$C,'custody %'!$B$85),"")</f>
        <v/>
      </c>
      <c r="H90" s="167" t="str">
        <f>IFERROR(SUMIFS('caseload data'!J:J,'caseload data'!$C:$C,'custody %'!$B$85,'caseload data'!$D:$D,"SPO",'caseload data'!$B:$B,"custody")/SUMIFS('caseload data'!J:J,'caseload data'!$B:$B,"custody",'caseload data'!$C:$C,'custody %'!$B$85),"")</f>
        <v/>
      </c>
      <c r="I90" s="167" t="str">
        <f>IFERROR(SUMIFS('caseload data'!K:K,'caseload data'!$C:$C,'custody %'!$B$85,'caseload data'!$D:$D,"SPO",'caseload data'!$B:$B,"custody")/SUMIFS('caseload data'!K:K,'caseload data'!$B:$B,"custody",'caseload data'!$C:$C,'custody %'!$B$85),"")</f>
        <v/>
      </c>
      <c r="J90" s="167" t="str">
        <f>IFERROR(SUMIFS('caseload data'!L:L,'caseload data'!$C:$C,'custody %'!$B$85,'caseload data'!$D:$D,"SPO",'caseload data'!$B:$B,"custody")/SUMIFS('caseload data'!L:L,'caseload data'!$B:$B,"custody",'caseload data'!$C:$C,'custody %'!$B$85),"")</f>
        <v/>
      </c>
      <c r="K90" s="167" t="str">
        <f>IFERROR(SUMIFS('caseload data'!M:M,'caseload data'!$C:$C,'custody %'!$B$85,'caseload data'!$D:$D,"SPO",'caseload data'!$B:$B,"custody")/SUMIFS('caseload data'!M:M,'caseload data'!$B:$B,"custody",'caseload data'!$C:$C,'custody %'!$B$85),"")</f>
        <v/>
      </c>
      <c r="L90" s="167" t="str">
        <f>IFERROR(SUMIFS('caseload data'!N:N,'caseload data'!$C:$C,'custody %'!$B$85,'caseload data'!$D:$D,"SPO",'caseload data'!$B:$B,"custody")/SUMIFS('caseload data'!N:N,'caseload data'!$B:$B,"custody",'caseload data'!$C:$C,'custody %'!$B$85),"")</f>
        <v/>
      </c>
      <c r="M90" s="167" t="str">
        <f>IFERROR(SUMIFS('caseload data'!O:O,'caseload data'!$C:$C,'custody %'!$B$85,'caseload data'!$D:$D,"SPO",'caseload data'!$B:$B,"custody")/SUMIFS('caseload data'!O:O,'caseload data'!$B:$B,"custody",'caseload data'!$C:$C,'custody %'!$B$85),"")</f>
        <v/>
      </c>
      <c r="N90" s="167" t="str">
        <f>IFERROR(SUMIFS('caseload data'!P:P,'caseload data'!$C:$C,'custody %'!$B$85,'caseload data'!$D:$D,"SPO",'caseload data'!$B:$B,"custody")/SUMIFS('caseload data'!P:P,'caseload data'!$B:$B,"custody",'caseload data'!$C:$C,'custody %'!$B$85),"")</f>
        <v/>
      </c>
      <c r="O90" s="167" t="str">
        <f>IFERROR(SUMIFS('caseload data'!Q:Q,'caseload data'!$C:$C,'custody %'!$B$85,'caseload data'!$D:$D,"SPO",'caseload data'!$B:$B,"custody")/SUMIFS('caseload data'!Q:Q,'caseload data'!$B:$B,"custody",'caseload data'!$C:$C,'custody %'!$B$85),"")</f>
        <v/>
      </c>
      <c r="P90" s="167" t="str">
        <f>IFERROR(SUMIFS('caseload data'!R:R,'caseload data'!$C:$C,'custody %'!$B$85,'caseload data'!$D:$D,"SPO",'caseload data'!$B:$B,"custody")/SUMIFS('caseload data'!R:R,'caseload data'!$B:$B,"custody",'caseload data'!$C:$C,'custody %'!$B$85),"")</f>
        <v/>
      </c>
      <c r="Q90" s="167" t="str">
        <f>IFERROR(SUMIFS('caseload data'!S:S,'caseload data'!$C:$C,'custody %'!$B$85,'caseload data'!$D:$D,"SPO",'caseload data'!$B:$B,"custody")/SUMIFS('caseload data'!S:S,'caseload data'!$B:$B,"custody",'caseload data'!$C:$C,'custody %'!$B$85),"")</f>
        <v/>
      </c>
      <c r="R90" s="167" t="str">
        <f>IFERROR(SUMIFS('caseload data'!T:T,'caseload data'!$C:$C,'custody %'!$B$85,'caseload data'!$D:$D,"SPO",'caseload data'!$B:$B,"custody")/SUMIFS('caseload data'!T:T,'caseload data'!$B:$B,"custody",'caseload data'!$C:$C,'custody %'!$B$85),"")</f>
        <v/>
      </c>
      <c r="T90" s="98" t="s">
        <v>1009</v>
      </c>
      <c r="U90" s="167" t="str">
        <f>IFERROR(SUMIFS('caseload data'!E:E,'caseload data'!$C:$C,'custody %'!$T$85,'caseload data'!$D:$D,"SPO",'caseload data'!$B:$B,"custody")/SUMIFS('caseload data'!E:E,'caseload data'!$B:$B,"custody",'caseload data'!$C:$C,'custody %'!$T$85),"")</f>
        <v/>
      </c>
      <c r="V90" s="167" t="str">
        <f>IFERROR(SUMIFS('caseload data'!F:F,'caseload data'!$C:$C,'custody %'!$T$85,'caseload data'!$D:$D,"SPO",'caseload data'!$B:$B,"custody")/SUMIFS('caseload data'!F:F,'caseload data'!$B:$B,"custody",'caseload data'!$C:$C,'custody %'!$T$85),"")</f>
        <v/>
      </c>
      <c r="W90" s="167" t="str">
        <f>IFERROR(SUMIFS('caseload data'!G:G,'caseload data'!$C:$C,'custody %'!$T$85,'caseload data'!$D:$D,"SPO",'caseload data'!$B:$B,"custody")/SUMIFS('caseload data'!G:G,'caseload data'!$B:$B,"custody",'caseload data'!$C:$C,'custody %'!$T$85),"")</f>
        <v/>
      </c>
      <c r="X90" s="167" t="str">
        <f>IFERROR(SUMIFS('caseload data'!H:H,'caseload data'!$C:$C,'custody %'!$T$85,'caseload data'!$D:$D,"SPO",'caseload data'!$B:$B,"custody")/SUMIFS('caseload data'!H:H,'caseload data'!$B:$B,"custody",'caseload data'!$C:$C,'custody %'!$T$85),"")</f>
        <v/>
      </c>
      <c r="Y90" s="167" t="str">
        <f>IFERROR(SUMIFS('caseload data'!I:I,'caseload data'!$C:$C,'custody %'!$T$85,'caseload data'!$D:$D,"SPO",'caseload data'!$B:$B,"custody")/SUMIFS('caseload data'!I:I,'caseload data'!$B:$B,"custody",'caseload data'!$C:$C,'custody %'!$T$85),"")</f>
        <v/>
      </c>
      <c r="Z90" s="167" t="str">
        <f>IFERROR(SUMIFS('caseload data'!J:J,'caseload data'!$C:$C,'custody %'!$T$85,'caseload data'!$D:$D,"SPO",'caseload data'!$B:$B,"custody")/SUMIFS('caseload data'!J:J,'caseload data'!$B:$B,"custody",'caseload data'!$C:$C,'custody %'!$T$85),"")</f>
        <v/>
      </c>
      <c r="AA90" s="167" t="str">
        <f>IFERROR(SUMIFS('caseload data'!K:K,'caseload data'!$C:$C,'custody %'!$T$85,'caseload data'!$D:$D,"SPO",'caseload data'!$B:$B,"custody")/SUMIFS('caseload data'!K:K,'caseload data'!$B:$B,"custody",'caseload data'!$C:$C,'custody %'!$T$85),"")</f>
        <v/>
      </c>
      <c r="AB90" s="167" t="str">
        <f>IFERROR(SUMIFS('caseload data'!L:L,'caseload data'!$C:$C,'custody %'!$T$85,'caseload data'!$D:$D,"SPO",'caseload data'!$B:$B,"custody")/SUMIFS('caseload data'!L:L,'caseload data'!$B:$B,"custody",'caseload data'!$C:$C,'custody %'!$T$85),"")</f>
        <v/>
      </c>
      <c r="AC90" s="167" t="str">
        <f>IFERROR(SUMIFS('caseload data'!M:M,'caseload data'!$C:$C,'custody %'!$T$85,'caseload data'!$D:$D,"SPO",'caseload data'!$B:$B,"custody")/SUMIFS('caseload data'!M:M,'caseload data'!$B:$B,"custody",'caseload data'!$C:$C,'custody %'!$T$85),"")</f>
        <v/>
      </c>
      <c r="AD90" s="167" t="str">
        <f>IFERROR(SUMIFS('caseload data'!N:N,'caseload data'!$C:$C,'custody %'!$T$85,'caseload data'!$D:$D,"SPO",'caseload data'!$B:$B,"custody")/SUMIFS('caseload data'!N:N,'caseload data'!$B:$B,"custody",'caseload data'!$C:$C,'custody %'!$T$85),"")</f>
        <v/>
      </c>
      <c r="AE90" s="167" t="str">
        <f>IFERROR(SUMIFS('caseload data'!O:O,'caseload data'!$C:$C,'custody %'!$T$85,'caseload data'!$D:$D,"SPO",'caseload data'!$B:$B,"custody")/SUMIFS('caseload data'!O:O,'caseload data'!$B:$B,"custody",'caseload data'!$C:$C,'custody %'!$T$85),"")</f>
        <v/>
      </c>
      <c r="AF90" s="167" t="str">
        <f>IFERROR(SUMIFS('caseload data'!P:P,'caseload data'!$C:$C,'custody %'!$T$85,'caseload data'!$D:$D,"SPO",'caseload data'!$B:$B,"custody")/SUMIFS('caseload data'!P:P,'caseload data'!$B:$B,"custody",'caseload data'!$C:$C,'custody %'!$T$85),"")</f>
        <v/>
      </c>
      <c r="AG90" s="167" t="str">
        <f>IFERROR(SUMIFS('caseload data'!Q:Q,'caseload data'!$C:$C,'custody %'!$T$85,'caseload data'!$D:$D,"SPO",'caseload data'!$B:$B,"custody")/SUMIFS('caseload data'!Q:Q,'caseload data'!$B:$B,"custody",'caseload data'!$C:$C,'custody %'!$T$85),"")</f>
        <v/>
      </c>
      <c r="AH90" s="167" t="str">
        <f>IFERROR(SUMIFS('caseload data'!R:R,'caseload data'!$C:$C,'custody %'!$T$85,'caseload data'!$D:$D,"SPO",'caseload data'!$B:$B,"custody")/SUMIFS('caseload data'!R:R,'caseload data'!$B:$B,"custody",'caseload data'!$C:$C,'custody %'!$T$85),"")</f>
        <v/>
      </c>
      <c r="AI90" s="167"/>
      <c r="AJ90" s="167"/>
    </row>
    <row r="92" spans="2:36" ht="21" customHeight="1" x14ac:dyDescent="0.15">
      <c r="B92" s="289">
        <f>HLOOKUP($B$5,Region_Table,26,0)</f>
        <v>0</v>
      </c>
      <c r="C92" s="515" t="s">
        <v>1131</v>
      </c>
      <c r="D92" s="516"/>
      <c r="E92" s="516"/>
      <c r="F92" s="516"/>
      <c r="G92" s="516"/>
      <c r="H92" s="516"/>
      <c r="I92" s="516"/>
      <c r="J92" s="516"/>
      <c r="K92" s="516"/>
      <c r="L92" s="516"/>
      <c r="M92" s="535"/>
      <c r="N92" s="535"/>
      <c r="O92" s="536"/>
      <c r="P92" s="510">
        <f>SUMIF('caseload data'!$C:$C,'custody %'!B92,'caseload data'!V:V)</f>
        <v>0</v>
      </c>
      <c r="Q92" s="527"/>
      <c r="R92" s="528"/>
      <c r="T92" s="289">
        <f>HLOOKUP($B$5,Region_Table,27,0)</f>
        <v>0</v>
      </c>
      <c r="U92" s="515" t="s">
        <v>1131</v>
      </c>
      <c r="V92" s="516"/>
      <c r="W92" s="516"/>
      <c r="X92" s="516"/>
      <c r="Y92" s="516"/>
      <c r="Z92" s="516"/>
      <c r="AA92" s="516"/>
      <c r="AB92" s="516"/>
      <c r="AC92" s="535"/>
      <c r="AD92" s="535"/>
      <c r="AE92" s="536"/>
      <c r="AF92" s="510">
        <f>SUMIF('caseload data'!$C:$C,'custody %'!T92,'caseload data'!V:V)</f>
        <v>0</v>
      </c>
      <c r="AG92" s="527"/>
      <c r="AH92" s="528"/>
    </row>
    <row r="93" spans="2:36" x14ac:dyDescent="0.15">
      <c r="B93" s="95" t="s">
        <v>1005</v>
      </c>
      <c r="C93" s="38" t="s">
        <v>869</v>
      </c>
      <c r="D93" s="38" t="s">
        <v>870</v>
      </c>
      <c r="E93" s="38" t="s">
        <v>871</v>
      </c>
      <c r="F93" s="38" t="s">
        <v>872</v>
      </c>
      <c r="G93" s="38" t="s">
        <v>873</v>
      </c>
      <c r="H93" s="38" t="s">
        <v>874</v>
      </c>
      <c r="I93" s="38" t="s">
        <v>875</v>
      </c>
      <c r="J93" s="38" t="s">
        <v>876</v>
      </c>
      <c r="K93" s="38" t="s">
        <v>877</v>
      </c>
      <c r="L93" s="38" t="s">
        <v>878</v>
      </c>
      <c r="M93" s="38" t="s">
        <v>879</v>
      </c>
      <c r="N93" s="38" t="s">
        <v>880</v>
      </c>
      <c r="O93" s="38" t="s">
        <v>881</v>
      </c>
      <c r="P93" s="38" t="s">
        <v>882</v>
      </c>
      <c r="Q93" s="38" t="s">
        <v>883</v>
      </c>
      <c r="R93" s="38" t="s">
        <v>884</v>
      </c>
      <c r="T93" s="95" t="s">
        <v>1005</v>
      </c>
      <c r="U93" s="38" t="s">
        <v>869</v>
      </c>
      <c r="V93" s="38" t="s">
        <v>870</v>
      </c>
      <c r="W93" s="38" t="s">
        <v>871</v>
      </c>
      <c r="X93" s="38" t="s">
        <v>872</v>
      </c>
      <c r="Y93" s="38" t="s">
        <v>873</v>
      </c>
      <c r="Z93" s="38" t="s">
        <v>874</v>
      </c>
      <c r="AA93" s="38" t="s">
        <v>875</v>
      </c>
      <c r="AB93" s="38" t="s">
        <v>876</v>
      </c>
      <c r="AC93" s="38" t="s">
        <v>877</v>
      </c>
      <c r="AD93" s="38" t="s">
        <v>878</v>
      </c>
      <c r="AE93" s="38" t="s">
        <v>879</v>
      </c>
      <c r="AF93" s="38" t="s">
        <v>880</v>
      </c>
      <c r="AG93" s="38" t="s">
        <v>881</v>
      </c>
      <c r="AH93" s="38" t="s">
        <v>882</v>
      </c>
      <c r="AI93" s="38" t="s">
        <v>883</v>
      </c>
      <c r="AJ93" s="38" t="s">
        <v>884</v>
      </c>
    </row>
    <row r="94" spans="2:36" x14ac:dyDescent="0.15">
      <c r="B94" s="96" t="s">
        <v>1002</v>
      </c>
      <c r="C94" s="167" t="str">
        <f>IFERROR(SUMIFS('caseload data'!E:E,'caseload data'!$C:$C,'custody %'!$B$92,'caseload data'!$D:$D,"PO",'caseload data'!$B:$B,"custody")/SUMIFS('caseload data'!E:E,'caseload data'!$B:$B,"custody",'caseload data'!$C:$C,'custody %'!$B$92),"")</f>
        <v/>
      </c>
      <c r="D94" s="167" t="str">
        <f>IFERROR(SUMIFS('caseload data'!F:F,'caseload data'!$C:$C,'custody %'!$B$92,'caseload data'!$D:$D,"PO",'caseload data'!$B:$B,"custody")/SUMIFS('caseload data'!F:F,'caseload data'!$B:$B,"custody",'caseload data'!$C:$C,'custody %'!$B$92),"")</f>
        <v/>
      </c>
      <c r="E94" s="167" t="str">
        <f>IFERROR(SUMIFS('caseload data'!G:G,'caseload data'!$C:$C,'custody %'!$B$92,'caseload data'!$D:$D,"PO",'caseload data'!$B:$B,"custody")/SUMIFS('caseload data'!G:G,'caseload data'!$B:$B,"custody",'caseload data'!$C:$C,'custody %'!$B$92),"")</f>
        <v/>
      </c>
      <c r="F94" s="167" t="str">
        <f>IFERROR(SUMIFS('caseload data'!H:H,'caseload data'!$C:$C,'custody %'!$B$92,'caseload data'!$D:$D,"PO",'caseload data'!$B:$B,"custody")/SUMIFS('caseload data'!H:H,'caseload data'!$B:$B,"custody",'caseload data'!$C:$C,'custody %'!$B$92),"")</f>
        <v/>
      </c>
      <c r="G94" s="167" t="str">
        <f>IFERROR(SUMIFS('caseload data'!I:I,'caseload data'!$C:$C,'custody %'!$B$92,'caseload data'!$D:$D,"PO",'caseload data'!$B:$B,"custody")/SUMIFS('caseload data'!I:I,'caseload data'!$B:$B,"custody",'caseload data'!$C:$C,'custody %'!$B$92),"")</f>
        <v/>
      </c>
      <c r="H94" s="167" t="str">
        <f>IFERROR(SUMIFS('caseload data'!J:J,'caseload data'!$C:$C,'custody %'!$B$92,'caseload data'!$D:$D,"PO",'caseload data'!$B:$B,"custody")/SUMIFS('caseload data'!J:J,'caseload data'!$B:$B,"custody",'caseload data'!$C:$C,'custody %'!$B$92),"")</f>
        <v/>
      </c>
      <c r="I94" s="167" t="str">
        <f>IFERROR(SUMIFS('caseload data'!K:K,'caseload data'!$C:$C,'custody %'!$B$92,'caseload data'!$D:$D,"PO",'caseload data'!$B:$B,"custody")/SUMIFS('caseload data'!K:K,'caseload data'!$B:$B,"custody",'caseload data'!$C:$C,'custody %'!$B$92),"")</f>
        <v/>
      </c>
      <c r="J94" s="167" t="str">
        <f>IFERROR(SUMIFS('caseload data'!L:L,'caseload data'!$C:$C,'custody %'!$B$92,'caseload data'!$D:$D,"PO",'caseload data'!$B:$B,"custody")/SUMIFS('caseload data'!L:L,'caseload data'!$B:$B,"custody",'caseload data'!$C:$C,'custody %'!$B$92),"")</f>
        <v/>
      </c>
      <c r="K94" s="167" t="str">
        <f>IFERROR(SUMIFS('caseload data'!M:M,'caseload data'!$C:$C,'custody %'!$B$92,'caseload data'!$D:$D,"PO",'caseload data'!$B:$B,"custody")/SUMIFS('caseload data'!M:M,'caseload data'!$B:$B,"custody",'caseload data'!$C:$C,'custody %'!$B$92),"")</f>
        <v/>
      </c>
      <c r="L94" s="167" t="str">
        <f>IFERROR(SUMIFS('caseload data'!N:N,'caseload data'!$C:$C,'custody %'!$B$92,'caseload data'!$D:$D,"PO",'caseload data'!$B:$B,"custody")/SUMIFS('caseload data'!N:N,'caseload data'!$B:$B,"custody",'caseload data'!$C:$C,'custody %'!$B$92),"")</f>
        <v/>
      </c>
      <c r="M94" s="167" t="str">
        <f>IFERROR(SUMIFS('caseload data'!O:O,'caseload data'!$C:$C,'custody %'!$B$92,'caseload data'!$D:$D,"PO",'caseload data'!$B:$B,"custody")/SUMIFS('caseload data'!O:O,'caseload data'!$B:$B,"custody",'caseload data'!$C:$C,'custody %'!$B$92),"")</f>
        <v/>
      </c>
      <c r="N94" s="167" t="str">
        <f>IFERROR(SUMIFS('caseload data'!P:P,'caseload data'!$C:$C,'custody %'!$B$92,'caseload data'!$D:$D,"PO",'caseload data'!$B:$B,"custody")/SUMIFS('caseload data'!P:P,'caseload data'!$B:$B,"custody",'caseload data'!$C:$C,'custody %'!$B$92),"")</f>
        <v/>
      </c>
      <c r="O94" s="167" t="str">
        <f>IFERROR(SUMIFS('caseload data'!Q:Q,'caseload data'!$C:$C,'custody %'!$B$92,'caseload data'!$D:$D,"PO",'caseload data'!$B:$B,"custody")/SUMIFS('caseload data'!Q:Q,'caseload data'!$B:$B,"custody",'caseload data'!$C:$C,'custody %'!$B$92),"")</f>
        <v/>
      </c>
      <c r="P94" s="167" t="str">
        <f>IFERROR(SUMIFS('caseload data'!R:R,'caseload data'!$C:$C,'custody %'!$B$92,'caseload data'!$D:$D,"PO",'caseload data'!$B:$B,"custody")/SUMIFS('caseload data'!R:R,'caseload data'!$B:$B,"custody",'caseload data'!$C:$C,'custody %'!$B$92),"")</f>
        <v/>
      </c>
      <c r="Q94" s="167" t="str">
        <f>IFERROR(SUMIFS('caseload data'!S:S,'caseload data'!$C:$C,'custody %'!$B$92,'caseload data'!$D:$D,"PO",'caseload data'!$B:$B,"custody")/SUMIFS('caseload data'!S:S,'caseload data'!$B:$B,"custody",'caseload data'!$C:$C,'custody %'!$B$92),"")</f>
        <v/>
      </c>
      <c r="R94" s="167" t="str">
        <f>IFERROR(SUMIFS('caseload data'!T:T,'caseload data'!$C:$C,'custody %'!$B$92,'caseload data'!$D:$D,"PO",'caseload data'!$B:$B,"custody")/SUMIFS('caseload data'!T:T,'caseload data'!$B:$B,"custody",'caseload data'!$C:$C,'custody %'!$B$92),"")</f>
        <v/>
      </c>
      <c r="T94" s="96" t="s">
        <v>1002</v>
      </c>
      <c r="U94" s="167" t="str">
        <f>IFERROR(SUMIFS('caseload data'!E:E,'caseload data'!$C:$C,'custody %'!$T$92,'caseload data'!$D:$D,"PO",'caseload data'!$B:$B,"custody")/SUMIFS('caseload data'!E:E,'caseload data'!$B:$B,"custody",'caseload data'!$C:$C,'custody %'!$T$92),"")</f>
        <v/>
      </c>
      <c r="V94" s="167" t="str">
        <f>IFERROR(SUMIFS('caseload data'!F:F,'caseload data'!$C:$C,'custody %'!$T$92,'caseload data'!$D:$D,"PO",'caseload data'!$B:$B,"custody")/SUMIFS('caseload data'!F:F,'caseload data'!$B:$B,"custody",'caseload data'!$C:$C,'custody %'!$T$92),"")</f>
        <v/>
      </c>
      <c r="W94" s="167" t="str">
        <f>IFERROR(SUMIFS('caseload data'!G:G,'caseload data'!$C:$C,'custody %'!$T$92,'caseload data'!$D:$D,"PO",'caseload data'!$B:$B,"custody")/SUMIFS('caseload data'!G:G,'caseload data'!$B:$B,"custody",'caseload data'!$C:$C,'custody %'!$T$92),"")</f>
        <v/>
      </c>
      <c r="X94" s="167" t="str">
        <f>IFERROR(SUMIFS('caseload data'!H:H,'caseload data'!$C:$C,'custody %'!$T$92,'caseload data'!$D:$D,"PO",'caseload data'!$B:$B,"custody")/SUMIFS('caseload data'!H:H,'caseload data'!$B:$B,"custody",'caseload data'!$C:$C,'custody %'!$T$92),"")</f>
        <v/>
      </c>
      <c r="Y94" s="167" t="str">
        <f>IFERROR(SUMIFS('caseload data'!I:I,'caseload data'!$C:$C,'custody %'!$T$92,'caseload data'!$D:$D,"PO",'caseload data'!$B:$B,"custody")/SUMIFS('caseload data'!I:I,'caseload data'!$B:$B,"custody",'caseload data'!$C:$C,'custody %'!$T$92),"")</f>
        <v/>
      </c>
      <c r="Z94" s="167" t="str">
        <f>IFERROR(SUMIFS('caseload data'!J:J,'caseload data'!$C:$C,'custody %'!$T$92,'caseload data'!$D:$D,"PO",'caseload data'!$B:$B,"custody")/SUMIFS('caseload data'!J:J,'caseload data'!$B:$B,"custody",'caseload data'!$C:$C,'custody %'!$T$92),"")</f>
        <v/>
      </c>
      <c r="AA94" s="167" t="str">
        <f>IFERROR(SUMIFS('caseload data'!K:K,'caseload data'!$C:$C,'custody %'!$T$92,'caseload data'!$D:$D,"PO",'caseload data'!$B:$B,"custody")/SUMIFS('caseload data'!K:K,'caseload data'!$B:$B,"custody",'caseload data'!$C:$C,'custody %'!$T$92),"")</f>
        <v/>
      </c>
      <c r="AB94" s="167" t="str">
        <f>IFERROR(SUMIFS('caseload data'!L:L,'caseload data'!$C:$C,'custody %'!$T$92,'caseload data'!$D:$D,"PO",'caseload data'!$B:$B,"custody")/SUMIFS('caseload data'!L:L,'caseload data'!$B:$B,"custody",'caseload data'!$C:$C,'custody %'!$T$92),"")</f>
        <v/>
      </c>
      <c r="AC94" s="167" t="str">
        <f>IFERROR(SUMIFS('caseload data'!M:M,'caseload data'!$C:$C,'custody %'!$T$92,'caseload data'!$D:$D,"PO",'caseload data'!$B:$B,"custody")/SUMIFS('caseload data'!M:M,'caseload data'!$B:$B,"custody",'caseload data'!$C:$C,'custody %'!$T$92),"")</f>
        <v/>
      </c>
      <c r="AD94" s="167" t="str">
        <f>IFERROR(SUMIFS('caseload data'!N:N,'caseload data'!$C:$C,'custody %'!$T$92,'caseload data'!$D:$D,"PO",'caseload data'!$B:$B,"custody")/SUMIFS('caseload data'!N:N,'caseload data'!$B:$B,"custody",'caseload data'!$C:$C,'custody %'!$T$92),"")</f>
        <v/>
      </c>
      <c r="AE94" s="167" t="str">
        <f>IFERROR(SUMIFS('caseload data'!O:O,'caseload data'!$C:$C,'custody %'!$T$92,'caseload data'!$D:$D,"PO",'caseload data'!$B:$B,"custody")/SUMIFS('caseload data'!O:O,'caseload data'!$B:$B,"custody",'caseload data'!$C:$C,'custody %'!$T$92),"")</f>
        <v/>
      </c>
      <c r="AF94" s="167" t="str">
        <f>IFERROR(SUMIFS('caseload data'!P:P,'caseload data'!$C:$C,'custody %'!$T$92,'caseload data'!$D:$D,"PO",'caseload data'!$B:$B,"custody")/SUMIFS('caseload data'!P:P,'caseload data'!$B:$B,"custody",'caseload data'!$C:$C,'custody %'!$T$92),"")</f>
        <v/>
      </c>
      <c r="AG94" s="167" t="str">
        <f>IFERROR(SUMIFS('caseload data'!Q:Q,'caseload data'!$C:$C,'custody %'!$T$92,'caseload data'!$D:$D,"PO",'caseload data'!$B:$B,"custody")/SUMIFS('caseload data'!Q:Q,'caseload data'!$B:$B,"custody",'caseload data'!$C:$C,'custody %'!$T$92),"")</f>
        <v/>
      </c>
      <c r="AH94" s="167" t="str">
        <f>IFERROR(SUMIFS('caseload data'!R:R,'caseload data'!$C:$C,'custody %'!$T$92,'caseload data'!$D:$D,"PO",'caseload data'!$B:$B,"custody")/SUMIFS('caseload data'!R:R,'caseload data'!$B:$B,"custody",'caseload data'!$C:$C,'custody %'!$T$92),"")</f>
        <v/>
      </c>
      <c r="AI94" s="167"/>
      <c r="AJ94" s="167"/>
    </row>
    <row r="95" spans="2:36" x14ac:dyDescent="0.15">
      <c r="B95" s="97" t="s">
        <v>1007</v>
      </c>
      <c r="C95" s="167" t="str">
        <f>IFERROR(SUMIFS('caseload data'!E:E,'caseload data'!$C:$C,'custody %'!$B$92,'caseload data'!$D:$D,"PSO",'caseload data'!$B:$B,"custody")/SUMIFS('caseload data'!E:E,'caseload data'!$B:$B,"custody",'caseload data'!$C:$C,'custody %'!$B$92),"")</f>
        <v/>
      </c>
      <c r="D95" s="167" t="str">
        <f>IFERROR(SUMIFS('caseload data'!F:F,'caseload data'!$C:$C,'custody %'!$B$92,'caseload data'!$D:$D,"PSO",'caseload data'!$B:$B,"custody")/SUMIFS('caseload data'!F:F,'caseload data'!$B:$B,"custody",'caseload data'!$C:$C,'custody %'!$B$92),"")</f>
        <v/>
      </c>
      <c r="E95" s="167" t="str">
        <f>IFERROR(SUMIFS('caseload data'!G:G,'caseload data'!$C:$C,'custody %'!$B$92,'caseload data'!$D:$D,"PSO",'caseload data'!$B:$B,"custody")/SUMIFS('caseload data'!G:G,'caseload data'!$B:$B,"custody",'caseload data'!$C:$C,'custody %'!$B$92),"")</f>
        <v/>
      </c>
      <c r="F95" s="167" t="str">
        <f>IFERROR(SUMIFS('caseload data'!H:H,'caseload data'!$C:$C,'custody %'!$B$92,'caseload data'!$D:$D,"PSO",'caseload data'!$B:$B,"custody")/SUMIFS('caseload data'!H:H,'caseload data'!$B:$B,"custody",'caseload data'!$C:$C,'custody %'!$B$92),"")</f>
        <v/>
      </c>
      <c r="G95" s="167" t="str">
        <f>IFERROR(SUMIFS('caseload data'!I:I,'caseload data'!$C:$C,'custody %'!$B$92,'caseload data'!$D:$D,"PSO",'caseload data'!$B:$B,"custody")/SUMIFS('caseload data'!I:I,'caseload data'!$B:$B,"custody",'caseload data'!$C:$C,'custody %'!$B$92),"")</f>
        <v/>
      </c>
      <c r="H95" s="167" t="str">
        <f>IFERROR(SUMIFS('caseload data'!J:J,'caseload data'!$C:$C,'custody %'!$B$92,'caseload data'!$D:$D,"PSO",'caseload data'!$B:$B,"custody")/SUMIFS('caseload data'!J:J,'caseload data'!$B:$B,"custody",'caseload data'!$C:$C,'custody %'!$B$92),"")</f>
        <v/>
      </c>
      <c r="I95" s="167" t="str">
        <f>IFERROR(SUMIFS('caseload data'!K:K,'caseload data'!$C:$C,'custody %'!$B$92,'caseload data'!$D:$D,"PSO",'caseload data'!$B:$B,"custody")/SUMIFS('caseload data'!K:K,'caseload data'!$B:$B,"custody",'caseload data'!$C:$C,'custody %'!$B$92),"")</f>
        <v/>
      </c>
      <c r="J95" s="167" t="str">
        <f>IFERROR(SUMIFS('caseload data'!L:L,'caseload data'!$C:$C,'custody %'!$B$92,'caseload data'!$D:$D,"PSO",'caseload data'!$B:$B,"custody")/SUMIFS('caseload data'!L:L,'caseload data'!$B:$B,"custody",'caseload data'!$C:$C,'custody %'!$B$92),"")</f>
        <v/>
      </c>
      <c r="K95" s="167" t="str">
        <f>IFERROR(SUMIFS('caseload data'!M:M,'caseload data'!$C:$C,'custody %'!$B$92,'caseload data'!$D:$D,"PSO",'caseload data'!$B:$B,"custody")/SUMIFS('caseload data'!M:M,'caseload data'!$B:$B,"custody",'caseload data'!$C:$C,'custody %'!$B$92),"")</f>
        <v/>
      </c>
      <c r="L95" s="167" t="str">
        <f>IFERROR(SUMIFS('caseload data'!N:N,'caseload data'!$C:$C,'custody %'!$B$92,'caseload data'!$D:$D,"PSO",'caseload data'!$B:$B,"custody")/SUMIFS('caseload data'!N:N,'caseload data'!$B:$B,"custody",'caseload data'!$C:$C,'custody %'!$B$92),"")</f>
        <v/>
      </c>
      <c r="M95" s="167" t="str">
        <f>IFERROR(SUMIFS('caseload data'!O:O,'caseload data'!$C:$C,'custody %'!$B$92,'caseload data'!$D:$D,"PSO",'caseload data'!$B:$B,"custody")/SUMIFS('caseload data'!O:O,'caseload data'!$B:$B,"custody",'caseload data'!$C:$C,'custody %'!$B$92),"")</f>
        <v/>
      </c>
      <c r="N95" s="167" t="str">
        <f>IFERROR(SUMIFS('caseload data'!P:P,'caseload data'!$C:$C,'custody %'!$B$92,'caseload data'!$D:$D,"PSO",'caseload data'!$B:$B,"custody")/SUMIFS('caseload data'!P:P,'caseload data'!$B:$B,"custody",'caseload data'!$C:$C,'custody %'!$B$92),"")</f>
        <v/>
      </c>
      <c r="O95" s="167" t="str">
        <f>IFERROR(SUMIFS('caseload data'!Q:Q,'caseload data'!$C:$C,'custody %'!$B$92,'caseload data'!$D:$D,"PSO",'caseload data'!$B:$B,"custody")/SUMIFS('caseload data'!Q:Q,'caseload data'!$B:$B,"custody",'caseload data'!$C:$C,'custody %'!$B$92),"")</f>
        <v/>
      </c>
      <c r="P95" s="167" t="str">
        <f>IFERROR(SUMIFS('caseload data'!R:R,'caseload data'!$C:$C,'custody %'!$B$92,'caseload data'!$D:$D,"PSO",'caseload data'!$B:$B,"custody")/SUMIFS('caseload data'!R:R,'caseload data'!$B:$B,"custody",'caseload data'!$C:$C,'custody %'!$B$92),"")</f>
        <v/>
      </c>
      <c r="Q95" s="167" t="str">
        <f>IFERROR(SUMIFS('caseload data'!S:S,'caseload data'!$C:$C,'custody %'!$B$92,'caseload data'!$D:$D,"PSO",'caseload data'!$B:$B,"custody")/SUMIFS('caseload data'!S:S,'caseload data'!$B:$B,"custody",'caseload data'!$C:$C,'custody %'!$B$92),"")</f>
        <v/>
      </c>
      <c r="R95" s="167" t="str">
        <f>IFERROR(SUMIFS('caseload data'!T:T,'caseload data'!$C:$C,'custody %'!$B$92,'caseload data'!$D:$D,"PSO",'caseload data'!$B:$B,"custody")/SUMIFS('caseload data'!T:T,'caseload data'!$B:$B,"custody",'caseload data'!$C:$C,'custody %'!$B$92),"")</f>
        <v/>
      </c>
      <c r="T95" s="97" t="s">
        <v>1007</v>
      </c>
      <c r="U95" s="167" t="str">
        <f>IFERROR(SUMIFS('caseload data'!E:E,'caseload data'!$C:$C,'custody %'!$T$92,'caseload data'!$D:$D,"PSO",'caseload data'!$B:$B,"custody")/SUMIFS('caseload data'!E:E,'caseload data'!$B:$B,"custody",'caseload data'!$C:$C,'custody %'!$T$92),"")</f>
        <v/>
      </c>
      <c r="V95" s="167" t="str">
        <f>IFERROR(SUMIFS('caseload data'!F:F,'caseload data'!$C:$C,'custody %'!$T$92,'caseload data'!$D:$D,"PSO",'caseload data'!$B:$B,"custody")/SUMIFS('caseload data'!F:F,'caseload data'!$B:$B,"custody",'caseload data'!$C:$C,'custody %'!$T$92),"")</f>
        <v/>
      </c>
      <c r="W95" s="167" t="str">
        <f>IFERROR(SUMIFS('caseload data'!G:G,'caseload data'!$C:$C,'custody %'!$T$92,'caseload data'!$D:$D,"PSO",'caseload data'!$B:$B,"custody")/SUMIFS('caseload data'!G:G,'caseload data'!$B:$B,"custody",'caseload data'!$C:$C,'custody %'!$T$92),"")</f>
        <v/>
      </c>
      <c r="X95" s="167" t="str">
        <f>IFERROR(SUMIFS('caseload data'!H:H,'caseload data'!$C:$C,'custody %'!$T$92,'caseload data'!$D:$D,"PSO",'caseload data'!$B:$B,"custody")/SUMIFS('caseload data'!H:H,'caseload data'!$B:$B,"custody",'caseload data'!$C:$C,'custody %'!$T$92),"")</f>
        <v/>
      </c>
      <c r="Y95" s="167" t="str">
        <f>IFERROR(SUMIFS('caseload data'!I:I,'caseload data'!$C:$C,'custody %'!$T$92,'caseload data'!$D:$D,"PSO",'caseload data'!$B:$B,"custody")/SUMIFS('caseload data'!I:I,'caseload data'!$B:$B,"custody",'caseload data'!$C:$C,'custody %'!$T$92),"")</f>
        <v/>
      </c>
      <c r="Z95" s="167" t="str">
        <f>IFERROR(SUMIFS('caseload data'!J:J,'caseload data'!$C:$C,'custody %'!$T$92,'caseload data'!$D:$D,"PSO",'caseload data'!$B:$B,"custody")/SUMIFS('caseload data'!J:J,'caseload data'!$B:$B,"custody",'caseload data'!$C:$C,'custody %'!$T$92),"")</f>
        <v/>
      </c>
      <c r="AA95" s="167" t="str">
        <f>IFERROR(SUMIFS('caseload data'!K:K,'caseload data'!$C:$C,'custody %'!$T$92,'caseload data'!$D:$D,"PSO",'caseload data'!$B:$B,"custody")/SUMIFS('caseload data'!K:K,'caseload data'!$B:$B,"custody",'caseload data'!$C:$C,'custody %'!$T$92),"")</f>
        <v/>
      </c>
      <c r="AB95" s="167" t="str">
        <f>IFERROR(SUMIFS('caseload data'!L:L,'caseload data'!$C:$C,'custody %'!$T$92,'caseload data'!$D:$D,"PSO",'caseload data'!$B:$B,"custody")/SUMIFS('caseload data'!L:L,'caseload data'!$B:$B,"custody",'caseload data'!$C:$C,'custody %'!$T$92),"")</f>
        <v/>
      </c>
      <c r="AC95" s="167" t="str">
        <f>IFERROR(SUMIFS('caseload data'!M:M,'caseload data'!$C:$C,'custody %'!$T$92,'caseload data'!$D:$D,"PSO",'caseload data'!$B:$B,"custody")/SUMIFS('caseload data'!M:M,'caseload data'!$B:$B,"custody",'caseload data'!$C:$C,'custody %'!$T$92),"")</f>
        <v/>
      </c>
      <c r="AD95" s="167" t="str">
        <f>IFERROR(SUMIFS('caseload data'!N:N,'caseload data'!$C:$C,'custody %'!$T$92,'caseload data'!$D:$D,"PSO",'caseload data'!$B:$B,"custody")/SUMIFS('caseload data'!N:N,'caseload data'!$B:$B,"custody",'caseload data'!$C:$C,'custody %'!$T$92),"")</f>
        <v/>
      </c>
      <c r="AE95" s="167" t="str">
        <f>IFERROR(SUMIFS('caseload data'!O:O,'caseload data'!$C:$C,'custody %'!$T$92,'caseload data'!$D:$D,"PSO",'caseload data'!$B:$B,"custody")/SUMIFS('caseload data'!O:O,'caseload data'!$B:$B,"custody",'caseload data'!$C:$C,'custody %'!$T$92),"")</f>
        <v/>
      </c>
      <c r="AF95" s="167" t="str">
        <f>IFERROR(SUMIFS('caseload data'!P:P,'caseload data'!$C:$C,'custody %'!$T$92,'caseload data'!$D:$D,"PSO",'caseload data'!$B:$B,"custody")/SUMIFS('caseload data'!P:P,'caseload data'!$B:$B,"custody",'caseload data'!$C:$C,'custody %'!$T$92),"")</f>
        <v/>
      </c>
      <c r="AG95" s="167" t="str">
        <f>IFERROR(SUMIFS('caseload data'!Q:Q,'caseload data'!$C:$C,'custody %'!$T$92,'caseload data'!$D:$D,"PSO",'caseload data'!$B:$B,"custody")/SUMIFS('caseload data'!Q:Q,'caseload data'!$B:$B,"custody",'caseload data'!$C:$C,'custody %'!$T$92),"")</f>
        <v/>
      </c>
      <c r="AH95" s="167" t="str">
        <f>IFERROR(SUMIFS('caseload data'!R:R,'caseload data'!$C:$C,'custody %'!$T$92,'caseload data'!$D:$D,"PSO",'caseload data'!$B:$B,"custody")/SUMIFS('caseload data'!R:R,'caseload data'!$B:$B,"custody",'caseload data'!$C:$C,'custody %'!$T$92),"")</f>
        <v/>
      </c>
      <c r="AI95" s="167"/>
      <c r="AJ95" s="167"/>
    </row>
    <row r="96" spans="2:36" x14ac:dyDescent="0.15">
      <c r="B96" s="97" t="s">
        <v>1008</v>
      </c>
      <c r="C96" s="167" t="str">
        <f>IFERROR(SUMIFS('caseload data'!E:E,'caseload data'!$C:$C,'custody %'!$B$92,'caseload data'!$D:$D,"TPO",'caseload data'!$B:$B,"custody")/SUMIFS('caseload data'!E:E,'caseload data'!$B:$B,"custody",'caseload data'!$C:$C,'custody %'!$B$92),"")</f>
        <v/>
      </c>
      <c r="D96" s="167" t="str">
        <f>IFERROR(SUMIFS('caseload data'!F:F,'caseload data'!$C:$C,'custody %'!$B$92,'caseload data'!$D:$D,"TPO",'caseload data'!$B:$B,"custody")/SUMIFS('caseload data'!F:F,'caseload data'!$B:$B,"custody",'caseload data'!$C:$C,'custody %'!$B$92),"")</f>
        <v/>
      </c>
      <c r="E96" s="167" t="str">
        <f>IFERROR(SUMIFS('caseload data'!G:G,'caseload data'!$C:$C,'custody %'!$B$92,'caseload data'!$D:$D,"TPO",'caseload data'!$B:$B,"custody")/SUMIFS('caseload data'!G:G,'caseload data'!$B:$B,"custody",'caseload data'!$C:$C,'custody %'!$B$92),"")</f>
        <v/>
      </c>
      <c r="F96" s="167" t="str">
        <f>IFERROR(SUMIFS('caseload data'!H:H,'caseload data'!$C:$C,'custody %'!$B$92,'caseload data'!$D:$D,"TPO",'caseload data'!$B:$B,"custody")/SUMIFS('caseload data'!H:H,'caseload data'!$B:$B,"custody",'caseload data'!$C:$C,'custody %'!$B$92),"")</f>
        <v/>
      </c>
      <c r="G96" s="167" t="str">
        <f>IFERROR(SUMIFS('caseload data'!I:I,'caseload data'!$C:$C,'custody %'!$B$92,'caseload data'!$D:$D,"TPO",'caseload data'!$B:$B,"custody")/SUMIFS('caseload data'!I:I,'caseload data'!$B:$B,"custody",'caseload data'!$C:$C,'custody %'!$B$92),"")</f>
        <v/>
      </c>
      <c r="H96" s="167" t="str">
        <f>IFERROR(SUMIFS('caseload data'!J:J,'caseload data'!$C:$C,'custody %'!$B$92,'caseload data'!$D:$D,"TPO",'caseload data'!$B:$B,"custody")/SUMIFS('caseload data'!J:J,'caseload data'!$B:$B,"custody",'caseload data'!$C:$C,'custody %'!$B$92),"")</f>
        <v/>
      </c>
      <c r="I96" s="167" t="str">
        <f>IFERROR(SUMIFS('caseload data'!K:K,'caseload data'!$C:$C,'custody %'!$B$92,'caseload data'!$D:$D,"TPO",'caseload data'!$B:$B,"custody")/SUMIFS('caseload data'!K:K,'caseload data'!$B:$B,"custody",'caseload data'!$C:$C,'custody %'!$B$92),"")</f>
        <v/>
      </c>
      <c r="J96" s="167" t="str">
        <f>IFERROR(SUMIFS('caseload data'!L:L,'caseload data'!$C:$C,'custody %'!$B$92,'caseload data'!$D:$D,"TPO",'caseload data'!$B:$B,"custody")/SUMIFS('caseload data'!L:L,'caseload data'!$B:$B,"custody",'caseload data'!$C:$C,'custody %'!$B$92),"")</f>
        <v/>
      </c>
      <c r="K96" s="167" t="str">
        <f>IFERROR(SUMIFS('caseload data'!M:M,'caseload data'!$C:$C,'custody %'!$B$92,'caseload data'!$D:$D,"TPO",'caseload data'!$B:$B,"custody")/SUMIFS('caseload data'!M:M,'caseload data'!$B:$B,"custody",'caseload data'!$C:$C,'custody %'!$B$92),"")</f>
        <v/>
      </c>
      <c r="L96" s="167" t="str">
        <f>IFERROR(SUMIFS('caseload data'!N:N,'caseload data'!$C:$C,'custody %'!$B$92,'caseload data'!$D:$D,"TPO",'caseload data'!$B:$B,"custody")/SUMIFS('caseload data'!N:N,'caseload data'!$B:$B,"custody",'caseload data'!$C:$C,'custody %'!$B$92),"")</f>
        <v/>
      </c>
      <c r="M96" s="167" t="str">
        <f>IFERROR(SUMIFS('caseload data'!O:O,'caseload data'!$C:$C,'custody %'!$B$92,'caseload data'!$D:$D,"TPO",'caseload data'!$B:$B,"custody")/SUMIFS('caseload data'!O:O,'caseload data'!$B:$B,"custody",'caseload data'!$C:$C,'custody %'!$B$92),"")</f>
        <v/>
      </c>
      <c r="N96" s="167" t="str">
        <f>IFERROR(SUMIFS('caseload data'!P:P,'caseload data'!$C:$C,'custody %'!$B$92,'caseload data'!$D:$D,"TPO",'caseload data'!$B:$B,"custody")/SUMIFS('caseload data'!P:P,'caseload data'!$B:$B,"custody",'caseload data'!$C:$C,'custody %'!$B$92),"")</f>
        <v/>
      </c>
      <c r="O96" s="167" t="str">
        <f>IFERROR(SUMIFS('caseload data'!Q:Q,'caseload data'!$C:$C,'custody %'!$B$92,'caseload data'!$D:$D,"TPO",'caseload data'!$B:$B,"custody")/SUMIFS('caseload data'!Q:Q,'caseload data'!$B:$B,"custody",'caseload data'!$C:$C,'custody %'!$B$92),"")</f>
        <v/>
      </c>
      <c r="P96" s="167" t="str">
        <f>IFERROR(SUMIFS('caseload data'!R:R,'caseload data'!$C:$C,'custody %'!$B$92,'caseload data'!$D:$D,"TPO",'caseload data'!$B:$B,"custody")/SUMIFS('caseload data'!R:R,'caseload data'!$B:$B,"custody",'caseload data'!$C:$C,'custody %'!$B$92),"")</f>
        <v/>
      </c>
      <c r="Q96" s="167" t="str">
        <f>IFERROR(SUMIFS('caseload data'!S:S,'caseload data'!$C:$C,'custody %'!$B$92,'caseload data'!$D:$D,"TPO",'caseload data'!$B:$B,"custody")/SUMIFS('caseload data'!S:S,'caseload data'!$B:$B,"custody",'caseload data'!$C:$C,'custody %'!$B$92),"")</f>
        <v/>
      </c>
      <c r="R96" s="167" t="str">
        <f>IFERROR(SUMIFS('caseload data'!T:T,'caseload data'!$C:$C,'custody %'!$B$92,'caseload data'!$D:$D,"TPO",'caseload data'!$B:$B,"custody")/SUMIFS('caseload data'!T:T,'caseload data'!$B:$B,"custody",'caseload data'!$C:$C,'custody %'!$B$92),"")</f>
        <v/>
      </c>
      <c r="T96" s="97" t="s">
        <v>1008</v>
      </c>
      <c r="U96" s="167" t="str">
        <f>IFERROR(SUMIFS('caseload data'!E:E,'caseload data'!$C:$C,'custody %'!$T$92,'caseload data'!$D:$D,"TPO",'caseload data'!$B:$B,"custody")/SUMIFS('caseload data'!E:E,'caseload data'!$B:$B,"custody",'caseload data'!$C:$C,'custody %'!$T$92),"")</f>
        <v/>
      </c>
      <c r="V96" s="167" t="str">
        <f>IFERROR(SUMIFS('caseload data'!F:F,'caseload data'!$C:$C,'custody %'!$T$92,'caseload data'!$D:$D,"TPO",'caseload data'!$B:$B,"custody")/SUMIFS('caseload data'!F:F,'caseload data'!$B:$B,"custody",'caseload data'!$C:$C,'custody %'!$T$92),"")</f>
        <v/>
      </c>
      <c r="W96" s="167" t="str">
        <f>IFERROR(SUMIFS('caseload data'!G:G,'caseload data'!$C:$C,'custody %'!$T$92,'caseload data'!$D:$D,"TPO",'caseload data'!$B:$B,"custody")/SUMIFS('caseload data'!G:G,'caseload data'!$B:$B,"custody",'caseload data'!$C:$C,'custody %'!$T$92),"")</f>
        <v/>
      </c>
      <c r="X96" s="167" t="str">
        <f>IFERROR(SUMIFS('caseload data'!H:H,'caseload data'!$C:$C,'custody %'!$T$92,'caseload data'!$D:$D,"TPO",'caseload data'!$B:$B,"custody")/SUMIFS('caseload data'!H:H,'caseload data'!$B:$B,"custody",'caseload data'!$C:$C,'custody %'!$T$92),"")</f>
        <v/>
      </c>
      <c r="Y96" s="167" t="str">
        <f>IFERROR(SUMIFS('caseload data'!I:I,'caseload data'!$C:$C,'custody %'!$T$92,'caseload data'!$D:$D,"TPO",'caseload data'!$B:$B,"custody")/SUMIFS('caseload data'!I:I,'caseload data'!$B:$B,"custody",'caseload data'!$C:$C,'custody %'!$T$92),"")</f>
        <v/>
      </c>
      <c r="Z96" s="167" t="str">
        <f>IFERROR(SUMIFS('caseload data'!J:J,'caseload data'!$C:$C,'custody %'!$T$92,'caseload data'!$D:$D,"TPO",'caseload data'!$B:$B,"custody")/SUMIFS('caseload data'!J:J,'caseload data'!$B:$B,"custody",'caseload data'!$C:$C,'custody %'!$T$92),"")</f>
        <v/>
      </c>
      <c r="AA96" s="167" t="str">
        <f>IFERROR(SUMIFS('caseload data'!K:K,'caseload data'!$C:$C,'custody %'!$T$92,'caseload data'!$D:$D,"TPO",'caseload data'!$B:$B,"custody")/SUMIFS('caseload data'!K:K,'caseload data'!$B:$B,"custody",'caseload data'!$C:$C,'custody %'!$T$92),"")</f>
        <v/>
      </c>
      <c r="AB96" s="167" t="str">
        <f>IFERROR(SUMIFS('caseload data'!L:L,'caseload data'!$C:$C,'custody %'!$T$92,'caseload data'!$D:$D,"TPO",'caseload data'!$B:$B,"custody")/SUMIFS('caseload data'!L:L,'caseload data'!$B:$B,"custody",'caseload data'!$C:$C,'custody %'!$T$92),"")</f>
        <v/>
      </c>
      <c r="AC96" s="167" t="str">
        <f>IFERROR(SUMIFS('caseload data'!M:M,'caseload data'!$C:$C,'custody %'!$T$92,'caseload data'!$D:$D,"TPO",'caseload data'!$B:$B,"custody")/SUMIFS('caseload data'!M:M,'caseload data'!$B:$B,"custody",'caseload data'!$C:$C,'custody %'!$T$92),"")</f>
        <v/>
      </c>
      <c r="AD96" s="167" t="str">
        <f>IFERROR(SUMIFS('caseload data'!N:N,'caseload data'!$C:$C,'custody %'!$T$92,'caseload data'!$D:$D,"TPO",'caseload data'!$B:$B,"custody")/SUMIFS('caseload data'!N:N,'caseload data'!$B:$B,"custody",'caseload data'!$C:$C,'custody %'!$T$92),"")</f>
        <v/>
      </c>
      <c r="AE96" s="167" t="str">
        <f>IFERROR(SUMIFS('caseload data'!O:O,'caseload data'!$C:$C,'custody %'!$T$92,'caseload data'!$D:$D,"TPO",'caseload data'!$B:$B,"custody")/SUMIFS('caseload data'!O:O,'caseload data'!$B:$B,"custody",'caseload data'!$C:$C,'custody %'!$T$92),"")</f>
        <v/>
      </c>
      <c r="AF96" s="167" t="str">
        <f>IFERROR(SUMIFS('caseload data'!P:P,'caseload data'!$C:$C,'custody %'!$T$92,'caseload data'!$D:$D,"TPO",'caseload data'!$B:$B,"custody")/SUMIFS('caseload data'!P:P,'caseload data'!$B:$B,"custody",'caseload data'!$C:$C,'custody %'!$T$92),"")</f>
        <v/>
      </c>
      <c r="AG96" s="167" t="str">
        <f>IFERROR(SUMIFS('caseload data'!Q:Q,'caseload data'!$C:$C,'custody %'!$T$92,'caseload data'!$D:$D,"TPO",'caseload data'!$B:$B,"custody")/SUMIFS('caseload data'!Q:Q,'caseload data'!$B:$B,"custody",'caseload data'!$C:$C,'custody %'!$T$92),"")</f>
        <v/>
      </c>
      <c r="AH96" s="167" t="str">
        <f>IFERROR(SUMIFS('caseload data'!R:R,'caseload data'!$C:$C,'custody %'!$T$92,'caseload data'!$D:$D,"TPO",'caseload data'!$B:$B,"custody")/SUMIFS('caseload data'!R:R,'caseload data'!$B:$B,"custody",'caseload data'!$C:$C,'custody %'!$T$92),"")</f>
        <v/>
      </c>
      <c r="AI96" s="167"/>
      <c r="AJ96" s="167"/>
    </row>
    <row r="97" spans="2:36" x14ac:dyDescent="0.15">
      <c r="B97" s="98" t="s">
        <v>1009</v>
      </c>
      <c r="C97" s="167" t="str">
        <f>IFERROR(SUMIFS('caseload data'!E:E,'caseload data'!$C:$C,'custody %'!$B$92,'caseload data'!$D:$D,"SPO",'caseload data'!$B:$B,"custody")/SUMIFS('caseload data'!E:E,'caseload data'!$B:$B,"custody",'caseload data'!$C:$C,'custody %'!$B$92),"")</f>
        <v/>
      </c>
      <c r="D97" s="167" t="str">
        <f>IFERROR(SUMIFS('caseload data'!F:F,'caseload data'!$C:$C,'custody %'!$B$92,'caseload data'!$D:$D,"SPO",'caseload data'!$B:$B,"custody")/SUMIFS('caseload data'!F:F,'caseload data'!$B:$B,"custody",'caseload data'!$C:$C,'custody %'!$B$92),"")</f>
        <v/>
      </c>
      <c r="E97" s="167" t="str">
        <f>IFERROR(SUMIFS('caseload data'!G:G,'caseload data'!$C:$C,'custody %'!$B$92,'caseload data'!$D:$D,"SPO",'caseload data'!$B:$B,"custody")/SUMIFS('caseload data'!G:G,'caseload data'!$B:$B,"custody",'caseload data'!$C:$C,'custody %'!$B$92),"")</f>
        <v/>
      </c>
      <c r="F97" s="167" t="str">
        <f>IFERROR(SUMIFS('caseload data'!H:H,'caseload data'!$C:$C,'custody %'!$B$92,'caseload data'!$D:$D,"SPO",'caseload data'!$B:$B,"custody")/SUMIFS('caseload data'!H:H,'caseload data'!$B:$B,"custody",'caseload data'!$C:$C,'custody %'!$B$92),"")</f>
        <v/>
      </c>
      <c r="G97" s="167" t="str">
        <f>IFERROR(SUMIFS('caseload data'!I:I,'caseload data'!$C:$C,'custody %'!$B$92,'caseload data'!$D:$D,"SPO",'caseload data'!$B:$B,"custody")/SUMIFS('caseload data'!I:I,'caseload data'!$B:$B,"custody",'caseload data'!$C:$C,'custody %'!$B$92),"")</f>
        <v/>
      </c>
      <c r="H97" s="167" t="str">
        <f>IFERROR(SUMIFS('caseload data'!J:J,'caseload data'!$C:$C,'custody %'!$B$92,'caseload data'!$D:$D,"SPO",'caseload data'!$B:$B,"custody")/SUMIFS('caseload data'!J:J,'caseload data'!$B:$B,"custody",'caseload data'!$C:$C,'custody %'!$B$92),"")</f>
        <v/>
      </c>
      <c r="I97" s="167" t="str">
        <f>IFERROR(SUMIFS('caseload data'!K:K,'caseload data'!$C:$C,'custody %'!$B$92,'caseload data'!$D:$D,"SPO",'caseload data'!$B:$B,"custody")/SUMIFS('caseload data'!K:K,'caseload data'!$B:$B,"custody",'caseload data'!$C:$C,'custody %'!$B$92),"")</f>
        <v/>
      </c>
      <c r="J97" s="167" t="str">
        <f>IFERROR(SUMIFS('caseload data'!L:L,'caseload data'!$C:$C,'custody %'!$B$92,'caseload data'!$D:$D,"SPO",'caseload data'!$B:$B,"custody")/SUMIFS('caseload data'!L:L,'caseload data'!$B:$B,"custody",'caseload data'!$C:$C,'custody %'!$B$92),"")</f>
        <v/>
      </c>
      <c r="K97" s="167" t="str">
        <f>IFERROR(SUMIFS('caseload data'!M:M,'caseload data'!$C:$C,'custody %'!$B$92,'caseload data'!$D:$D,"SPO",'caseload data'!$B:$B,"custody")/SUMIFS('caseload data'!M:M,'caseload data'!$B:$B,"custody",'caseload data'!$C:$C,'custody %'!$B$92),"")</f>
        <v/>
      </c>
      <c r="L97" s="167" t="str">
        <f>IFERROR(SUMIFS('caseload data'!N:N,'caseload data'!$C:$C,'custody %'!$B$92,'caseload data'!$D:$D,"SPO",'caseload data'!$B:$B,"custody")/SUMIFS('caseload data'!N:N,'caseload data'!$B:$B,"custody",'caseload data'!$C:$C,'custody %'!$B$92),"")</f>
        <v/>
      </c>
      <c r="M97" s="167" t="str">
        <f>IFERROR(SUMIFS('caseload data'!O:O,'caseload data'!$C:$C,'custody %'!$B$92,'caseload data'!$D:$D,"SPO",'caseload data'!$B:$B,"custody")/SUMIFS('caseload data'!O:O,'caseload data'!$B:$B,"custody",'caseload data'!$C:$C,'custody %'!$B$92),"")</f>
        <v/>
      </c>
      <c r="N97" s="167" t="str">
        <f>IFERROR(SUMIFS('caseload data'!P:P,'caseload data'!$C:$C,'custody %'!$B$92,'caseload data'!$D:$D,"SPO",'caseload data'!$B:$B,"custody")/SUMIFS('caseload data'!P:P,'caseload data'!$B:$B,"custody",'caseload data'!$C:$C,'custody %'!$B$92),"")</f>
        <v/>
      </c>
      <c r="O97" s="167" t="str">
        <f>IFERROR(SUMIFS('caseload data'!Q:Q,'caseload data'!$C:$C,'custody %'!$B$92,'caseload data'!$D:$D,"SPO",'caseload data'!$B:$B,"custody")/SUMIFS('caseload data'!Q:Q,'caseload data'!$B:$B,"custody",'caseload data'!$C:$C,'custody %'!$B$92),"")</f>
        <v/>
      </c>
      <c r="P97" s="167" t="str">
        <f>IFERROR(SUMIFS('caseload data'!R:R,'caseload data'!$C:$C,'custody %'!$B$92,'caseload data'!$D:$D,"SPO",'caseload data'!$B:$B,"custody")/SUMIFS('caseload data'!R:R,'caseload data'!$B:$B,"custody",'caseload data'!$C:$C,'custody %'!$B$92),"")</f>
        <v/>
      </c>
      <c r="Q97" s="167" t="str">
        <f>IFERROR(SUMIFS('caseload data'!S:S,'caseload data'!$C:$C,'custody %'!$B$92,'caseload data'!$D:$D,"SPO",'caseload data'!$B:$B,"custody")/SUMIFS('caseload data'!S:S,'caseload data'!$B:$B,"custody",'caseload data'!$C:$C,'custody %'!$B$92),"")</f>
        <v/>
      </c>
      <c r="R97" s="167" t="str">
        <f>IFERROR(SUMIFS('caseload data'!T:T,'caseload data'!$C:$C,'custody %'!$B$92,'caseload data'!$D:$D,"SPO",'caseload data'!$B:$B,"custody")/SUMIFS('caseload data'!T:T,'caseload data'!$B:$B,"custody",'caseload data'!$C:$C,'custody %'!$B$92),"")</f>
        <v/>
      </c>
      <c r="T97" s="98" t="s">
        <v>1009</v>
      </c>
      <c r="U97" s="167" t="str">
        <f>IFERROR(SUMIFS('caseload data'!E:E,'caseload data'!$C:$C,'custody %'!$T$92,'caseload data'!$D:$D,"SPO",'caseload data'!$B:$B,"custody")/SUMIFS('caseload data'!E:E,'caseload data'!$B:$B,"custody",'caseload data'!$C:$C,'custody %'!$T$92),"")</f>
        <v/>
      </c>
      <c r="V97" s="167" t="str">
        <f>IFERROR(SUMIFS('caseload data'!F:F,'caseload data'!$C:$C,'custody %'!$T$92,'caseload data'!$D:$D,"SPO",'caseload data'!$B:$B,"custody")/SUMIFS('caseload data'!F:F,'caseload data'!$B:$B,"custody",'caseload data'!$C:$C,'custody %'!$T$92),"")</f>
        <v/>
      </c>
      <c r="W97" s="167" t="str">
        <f>IFERROR(SUMIFS('caseload data'!G:G,'caseload data'!$C:$C,'custody %'!$T$92,'caseload data'!$D:$D,"SPO",'caseload data'!$B:$B,"custody")/SUMIFS('caseload data'!G:G,'caseload data'!$B:$B,"custody",'caseload data'!$C:$C,'custody %'!$T$92),"")</f>
        <v/>
      </c>
      <c r="X97" s="167" t="str">
        <f>IFERROR(SUMIFS('caseload data'!H:H,'caseload data'!$C:$C,'custody %'!$T$92,'caseload data'!$D:$D,"SPO",'caseload data'!$B:$B,"custody")/SUMIFS('caseload data'!H:H,'caseload data'!$B:$B,"custody",'caseload data'!$C:$C,'custody %'!$T$92),"")</f>
        <v/>
      </c>
      <c r="Y97" s="167" t="str">
        <f>IFERROR(SUMIFS('caseload data'!I:I,'caseload data'!$C:$C,'custody %'!$T$92,'caseload data'!$D:$D,"SPO",'caseload data'!$B:$B,"custody")/SUMIFS('caseload data'!I:I,'caseload data'!$B:$B,"custody",'caseload data'!$C:$C,'custody %'!$T$92),"")</f>
        <v/>
      </c>
      <c r="Z97" s="167" t="str">
        <f>IFERROR(SUMIFS('caseload data'!J:J,'caseload data'!$C:$C,'custody %'!$T$92,'caseload data'!$D:$D,"SPO",'caseload data'!$B:$B,"custody")/SUMIFS('caseload data'!J:J,'caseload data'!$B:$B,"custody",'caseload data'!$C:$C,'custody %'!$T$92),"")</f>
        <v/>
      </c>
      <c r="AA97" s="167" t="str">
        <f>IFERROR(SUMIFS('caseload data'!K:K,'caseload data'!$C:$C,'custody %'!$T$92,'caseload data'!$D:$D,"SPO",'caseload data'!$B:$B,"custody")/SUMIFS('caseload data'!K:K,'caseload data'!$B:$B,"custody",'caseload data'!$C:$C,'custody %'!$T$92),"")</f>
        <v/>
      </c>
      <c r="AB97" s="167" t="str">
        <f>IFERROR(SUMIFS('caseload data'!L:L,'caseload data'!$C:$C,'custody %'!$T$92,'caseload data'!$D:$D,"SPO",'caseload data'!$B:$B,"custody")/SUMIFS('caseload data'!L:L,'caseload data'!$B:$B,"custody",'caseload data'!$C:$C,'custody %'!$T$92),"")</f>
        <v/>
      </c>
      <c r="AC97" s="167" t="str">
        <f>IFERROR(SUMIFS('caseload data'!M:M,'caseload data'!$C:$C,'custody %'!$T$92,'caseload data'!$D:$D,"SPO",'caseload data'!$B:$B,"custody")/SUMIFS('caseload data'!M:M,'caseload data'!$B:$B,"custody",'caseload data'!$C:$C,'custody %'!$T$92),"")</f>
        <v/>
      </c>
      <c r="AD97" s="167" t="str">
        <f>IFERROR(SUMIFS('caseload data'!N:N,'caseload data'!$C:$C,'custody %'!$T$92,'caseload data'!$D:$D,"SPO",'caseload data'!$B:$B,"custody")/SUMIFS('caseload data'!N:N,'caseload data'!$B:$B,"custody",'caseload data'!$C:$C,'custody %'!$T$92),"")</f>
        <v/>
      </c>
      <c r="AE97" s="167" t="str">
        <f>IFERROR(SUMIFS('caseload data'!O:O,'caseload data'!$C:$C,'custody %'!$T$92,'caseload data'!$D:$D,"SPO",'caseload data'!$B:$B,"custody")/SUMIFS('caseload data'!O:O,'caseload data'!$B:$B,"custody",'caseload data'!$C:$C,'custody %'!$T$92),"")</f>
        <v/>
      </c>
      <c r="AF97" s="167" t="str">
        <f>IFERROR(SUMIFS('caseload data'!P:P,'caseload data'!$C:$C,'custody %'!$T$92,'caseload data'!$D:$D,"SPO",'caseload data'!$B:$B,"custody")/SUMIFS('caseload data'!P:P,'caseload data'!$B:$B,"custody",'caseload data'!$C:$C,'custody %'!$T$92),"")</f>
        <v/>
      </c>
      <c r="AG97" s="167" t="str">
        <f>IFERROR(SUMIFS('caseload data'!Q:Q,'caseload data'!$C:$C,'custody %'!$T$92,'caseload data'!$D:$D,"SPO",'caseload data'!$B:$B,"custody")/SUMIFS('caseload data'!Q:Q,'caseload data'!$B:$B,"custody",'caseload data'!$C:$C,'custody %'!$T$92),"")</f>
        <v/>
      </c>
      <c r="AH97" s="167" t="str">
        <f>IFERROR(SUMIFS('caseload data'!R:R,'caseload data'!$C:$C,'custody %'!$T$92,'caseload data'!$D:$D,"SPO",'caseload data'!$B:$B,"custody")/SUMIFS('caseload data'!R:R,'caseload data'!$B:$B,"custody",'caseload data'!$C:$C,'custody %'!$T$92),"")</f>
        <v/>
      </c>
      <c r="AI97" s="167"/>
      <c r="AJ97" s="167"/>
    </row>
    <row r="99" spans="2:36" ht="23.25" customHeight="1" x14ac:dyDescent="0.15">
      <c r="B99" s="289">
        <f>HLOOKUP($B$5,Region_Table,28,0)</f>
        <v>0</v>
      </c>
      <c r="C99" s="515" t="s">
        <v>1131</v>
      </c>
      <c r="D99" s="516"/>
      <c r="E99" s="516"/>
      <c r="F99" s="516"/>
      <c r="G99" s="516"/>
      <c r="H99" s="516"/>
      <c r="I99" s="516"/>
      <c r="J99" s="516"/>
      <c r="K99" s="516"/>
      <c r="L99" s="516"/>
      <c r="M99" s="535"/>
      <c r="N99" s="535"/>
      <c r="O99" s="536"/>
      <c r="P99" s="510">
        <f>SUMIF('caseload data'!$C:$C,'custody %'!B99,'caseload data'!V:V)</f>
        <v>0</v>
      </c>
      <c r="Q99" s="527"/>
      <c r="R99" s="528"/>
    </row>
    <row r="100" spans="2:36" x14ac:dyDescent="0.15">
      <c r="B100" s="95" t="s">
        <v>1005</v>
      </c>
      <c r="C100" s="38" t="s">
        <v>869</v>
      </c>
      <c r="D100" s="38" t="s">
        <v>870</v>
      </c>
      <c r="E100" s="38" t="s">
        <v>871</v>
      </c>
      <c r="F100" s="38" t="s">
        <v>872</v>
      </c>
      <c r="G100" s="38" t="s">
        <v>873</v>
      </c>
      <c r="H100" s="38" t="s">
        <v>874</v>
      </c>
      <c r="I100" s="38" t="s">
        <v>875</v>
      </c>
      <c r="J100" s="38" t="s">
        <v>876</v>
      </c>
      <c r="K100" s="38" t="s">
        <v>877</v>
      </c>
      <c r="L100" s="38" t="s">
        <v>878</v>
      </c>
      <c r="M100" s="38" t="s">
        <v>879</v>
      </c>
      <c r="N100" s="38" t="s">
        <v>880</v>
      </c>
      <c r="O100" s="38" t="s">
        <v>881</v>
      </c>
      <c r="P100" s="38" t="s">
        <v>882</v>
      </c>
      <c r="Q100" s="38" t="s">
        <v>883</v>
      </c>
      <c r="R100" s="38" t="s">
        <v>884</v>
      </c>
    </row>
    <row r="101" spans="2:36" x14ac:dyDescent="0.15">
      <c r="B101" s="96" t="s">
        <v>1002</v>
      </c>
      <c r="C101" s="167" t="str">
        <f>IFERROR(SUMIFS('caseload data'!E:E,'caseload data'!$C:$C,'custody %'!$B$99,'caseload data'!$D:$D,"PO",'caseload data'!$B:$B,"custody")/SUMIFS('caseload data'!E:E,'caseload data'!$B:$B,"custody",'caseload data'!$C:$C,'custody %'!$B$99),"")</f>
        <v/>
      </c>
      <c r="D101" s="167" t="str">
        <f>IFERROR(SUMIFS('caseload data'!F:F,'caseload data'!$C:$C,'custody %'!$B$99,'caseload data'!$D:$D,"PO",'caseload data'!$B:$B,"custody")/SUMIFS('caseload data'!F:F,'caseload data'!$B:$B,"custody",'caseload data'!$C:$C,'custody %'!$B$99),"")</f>
        <v/>
      </c>
      <c r="E101" s="167" t="str">
        <f>IFERROR(SUMIFS('caseload data'!G:G,'caseload data'!$C:$C,'custody %'!$B$99,'caseload data'!$D:$D,"PO",'caseload data'!$B:$B,"custody")/SUMIFS('caseload data'!G:G,'caseload data'!$B:$B,"custody",'caseload data'!$C:$C,'custody %'!$B$99),"")</f>
        <v/>
      </c>
      <c r="F101" s="167" t="str">
        <f>IFERROR(SUMIFS('caseload data'!H:H,'caseload data'!$C:$C,'custody %'!$B$99,'caseload data'!$D:$D,"PO",'caseload data'!$B:$B,"custody")/SUMIFS('caseload data'!H:H,'caseload data'!$B:$B,"custody",'caseload data'!$C:$C,'custody %'!$B$99),"")</f>
        <v/>
      </c>
      <c r="G101" s="167" t="str">
        <f>IFERROR(SUMIFS('caseload data'!I:I,'caseload data'!$C:$C,'custody %'!$B$99,'caseload data'!$D:$D,"PO",'caseload data'!$B:$B,"custody")/SUMIFS('caseload data'!I:I,'caseload data'!$B:$B,"custody",'caseload data'!$C:$C,'custody %'!$B$99),"")</f>
        <v/>
      </c>
      <c r="H101" s="167" t="str">
        <f>IFERROR(SUMIFS('caseload data'!J:J,'caseload data'!$C:$C,'custody %'!$B$99,'caseload data'!$D:$D,"PO",'caseload data'!$B:$B,"custody")/SUMIFS('caseload data'!J:J,'caseload data'!$B:$B,"custody",'caseload data'!$C:$C,'custody %'!$B$99),"")</f>
        <v/>
      </c>
      <c r="I101" s="167" t="str">
        <f>IFERROR(SUMIFS('caseload data'!K:K,'caseload data'!$C:$C,'custody %'!$B$99,'caseload data'!$D:$D,"PO",'caseload data'!$B:$B,"custody")/SUMIFS('caseload data'!K:K,'caseload data'!$B:$B,"custody",'caseload data'!$C:$C,'custody %'!$B$99),"")</f>
        <v/>
      </c>
      <c r="J101" s="167" t="str">
        <f>IFERROR(SUMIFS('caseload data'!L:L,'caseload data'!$C:$C,'custody %'!$B$99,'caseload data'!$D:$D,"PO",'caseload data'!$B:$B,"custody")/SUMIFS('caseload data'!L:L,'caseload data'!$B:$B,"custody",'caseload data'!$C:$C,'custody %'!$B$99),"")</f>
        <v/>
      </c>
      <c r="K101" s="167" t="str">
        <f>IFERROR(SUMIFS('caseload data'!M:M,'caseload data'!$C:$C,'custody %'!$B$99,'caseload data'!$D:$D,"PO",'caseload data'!$B:$B,"custody")/SUMIFS('caseload data'!M:M,'caseload data'!$B:$B,"custody",'caseload data'!$C:$C,'custody %'!$B$99),"")</f>
        <v/>
      </c>
      <c r="L101" s="167" t="str">
        <f>IFERROR(SUMIFS('caseload data'!N:N,'caseload data'!$C:$C,'custody %'!$B$99,'caseload data'!$D:$D,"PO",'caseload data'!$B:$B,"custody")/SUMIFS('caseload data'!N:N,'caseload data'!$B:$B,"custody",'caseload data'!$C:$C,'custody %'!$B$99),"")</f>
        <v/>
      </c>
      <c r="M101" s="167" t="str">
        <f>IFERROR(SUMIFS('caseload data'!O:O,'caseload data'!$C:$C,'custody %'!$B$99,'caseload data'!$D:$D,"PO",'caseload data'!$B:$B,"custody")/SUMIFS('caseload data'!O:O,'caseload data'!$B:$B,"custody",'caseload data'!$C:$C,'custody %'!$B$99),"")</f>
        <v/>
      </c>
      <c r="N101" s="167" t="str">
        <f>IFERROR(SUMIFS('caseload data'!P:P,'caseload data'!$C:$C,'custody %'!$B$99,'caseload data'!$D:$D,"PO",'caseload data'!$B:$B,"custody")/SUMIFS('caseload data'!P:P,'caseload data'!$B:$B,"custody",'caseload data'!$C:$C,'custody %'!$B$99),"")</f>
        <v/>
      </c>
      <c r="O101" s="167" t="str">
        <f>IFERROR(SUMIFS('caseload data'!Q:Q,'caseload data'!$C:$C,'custody %'!$B$99,'caseload data'!$D:$D,"PO",'caseload data'!$B:$B,"custody")/SUMIFS('caseload data'!Q:Q,'caseload data'!$B:$B,"custody",'caseload data'!$C:$C,'custody %'!$B$99),"")</f>
        <v/>
      </c>
      <c r="P101" s="167" t="str">
        <f>IFERROR(SUMIFS('caseload data'!R:R,'caseload data'!$C:$C,'custody %'!$B$99,'caseload data'!$D:$D,"PO",'caseload data'!$B:$B,"custody")/SUMIFS('caseload data'!R:R,'caseload data'!$B:$B,"custody",'caseload data'!$C:$C,'custody %'!$B$99),"")</f>
        <v/>
      </c>
      <c r="Q101" s="167" t="str">
        <f>IFERROR(SUMIFS('caseload data'!S:S,'caseload data'!$C:$C,'custody %'!$B$99,'caseload data'!$D:$D,"PO",'caseload data'!$B:$B,"custody")/SUMIFS('caseload data'!S:S,'caseload data'!$B:$B,"custody",'caseload data'!$C:$C,'custody %'!$B$99),"")</f>
        <v/>
      </c>
      <c r="R101" s="167" t="str">
        <f>IFERROR(SUMIFS('caseload data'!T:T,'caseload data'!$C:$C,'custody %'!$B$99,'caseload data'!$D:$D,"PO",'caseload data'!$B:$B,"custody")/SUMIFS('caseload data'!T:T,'caseload data'!$B:$B,"custody",'caseload data'!$C:$C,'custody %'!$B$99),"")</f>
        <v/>
      </c>
    </row>
    <row r="102" spans="2:36" x14ac:dyDescent="0.15">
      <c r="B102" s="97" t="s">
        <v>1007</v>
      </c>
      <c r="C102" s="167" t="str">
        <f>IFERROR(SUMIFS('caseload data'!E:E,'caseload data'!$C:$C,'custody %'!$B$99,'caseload data'!$D:$D,"PSO",'caseload data'!$B:$B,"custody")/SUMIFS('caseload data'!E:E,'caseload data'!$B:$B,"custody",'caseload data'!$C:$C,'custody %'!$B$99),"")</f>
        <v/>
      </c>
      <c r="D102" s="167" t="str">
        <f>IFERROR(SUMIFS('caseload data'!F:F,'caseload data'!$C:$C,'custody %'!$B$99,'caseload data'!$D:$D,"PSO",'caseload data'!$B:$B,"custody")/SUMIFS('caseload data'!F:F,'caseload data'!$B:$B,"custody",'caseload data'!$C:$C,'custody %'!$B$99),"")</f>
        <v/>
      </c>
      <c r="E102" s="167" t="str">
        <f>IFERROR(SUMIFS('caseload data'!G:G,'caseload data'!$C:$C,'custody %'!$B$99,'caseload data'!$D:$D,"PSO",'caseload data'!$B:$B,"custody")/SUMIFS('caseload data'!G:G,'caseload data'!$B:$B,"custody",'caseload data'!$C:$C,'custody %'!$B$99),"")</f>
        <v/>
      </c>
      <c r="F102" s="167" t="str">
        <f>IFERROR(SUMIFS('caseload data'!H:H,'caseload data'!$C:$C,'custody %'!$B$99,'caseload data'!$D:$D,"PSO",'caseload data'!$B:$B,"custody")/SUMIFS('caseload data'!H:H,'caseload data'!$B:$B,"custody",'caseload data'!$C:$C,'custody %'!$B$99),"")</f>
        <v/>
      </c>
      <c r="G102" s="167" t="str">
        <f>IFERROR(SUMIFS('caseload data'!I:I,'caseload data'!$C:$C,'custody %'!$B$99,'caseload data'!$D:$D,"PSO",'caseload data'!$B:$B,"custody")/SUMIFS('caseload data'!I:I,'caseload data'!$B:$B,"custody",'caseload data'!$C:$C,'custody %'!$B$99),"")</f>
        <v/>
      </c>
      <c r="H102" s="167" t="str">
        <f>IFERROR(SUMIFS('caseload data'!J:J,'caseload data'!$C:$C,'custody %'!$B$99,'caseload data'!$D:$D,"PSO",'caseload data'!$B:$B,"custody")/SUMIFS('caseload data'!J:J,'caseload data'!$B:$B,"custody",'caseload data'!$C:$C,'custody %'!$B$99),"")</f>
        <v/>
      </c>
      <c r="I102" s="167" t="str">
        <f>IFERROR(SUMIFS('caseload data'!K:K,'caseload data'!$C:$C,'custody %'!$B$99,'caseload data'!$D:$D,"PSO",'caseload data'!$B:$B,"custody")/SUMIFS('caseload data'!K:K,'caseload data'!$B:$B,"custody",'caseload data'!$C:$C,'custody %'!$B$99),"")</f>
        <v/>
      </c>
      <c r="J102" s="167" t="str">
        <f>IFERROR(SUMIFS('caseload data'!L:L,'caseload data'!$C:$C,'custody %'!$B$99,'caseload data'!$D:$D,"PSO",'caseload data'!$B:$B,"custody")/SUMIFS('caseload data'!L:L,'caseload data'!$B:$B,"custody",'caseload data'!$C:$C,'custody %'!$B$99),"")</f>
        <v/>
      </c>
      <c r="K102" s="167" t="str">
        <f>IFERROR(SUMIFS('caseload data'!M:M,'caseload data'!$C:$C,'custody %'!$B$99,'caseload data'!$D:$D,"PSO",'caseload data'!$B:$B,"custody")/SUMIFS('caseload data'!M:M,'caseload data'!$B:$B,"custody",'caseload data'!$C:$C,'custody %'!$B$99),"")</f>
        <v/>
      </c>
      <c r="L102" s="167" t="str">
        <f>IFERROR(SUMIFS('caseload data'!N:N,'caseload data'!$C:$C,'custody %'!$B$99,'caseload data'!$D:$D,"PSO",'caseload data'!$B:$B,"custody")/SUMIFS('caseload data'!N:N,'caseload data'!$B:$B,"custody",'caseload data'!$C:$C,'custody %'!$B$99),"")</f>
        <v/>
      </c>
      <c r="M102" s="167" t="str">
        <f>IFERROR(SUMIFS('caseload data'!O:O,'caseload data'!$C:$C,'custody %'!$B$99,'caseload data'!$D:$D,"PSO",'caseload data'!$B:$B,"custody")/SUMIFS('caseload data'!O:O,'caseload data'!$B:$B,"custody",'caseload data'!$C:$C,'custody %'!$B$99),"")</f>
        <v/>
      </c>
      <c r="N102" s="167" t="str">
        <f>IFERROR(SUMIFS('caseload data'!P:P,'caseload data'!$C:$C,'custody %'!$B$99,'caseload data'!$D:$D,"PSO",'caseload data'!$B:$B,"custody")/SUMIFS('caseload data'!P:P,'caseload data'!$B:$B,"custody",'caseload data'!$C:$C,'custody %'!$B$99),"")</f>
        <v/>
      </c>
      <c r="O102" s="167" t="str">
        <f>IFERROR(SUMIFS('caseload data'!Q:Q,'caseload data'!$C:$C,'custody %'!$B$99,'caseload data'!$D:$D,"PSO",'caseload data'!$B:$B,"custody")/SUMIFS('caseload data'!Q:Q,'caseload data'!$B:$B,"custody",'caseload data'!$C:$C,'custody %'!$B$99),"")</f>
        <v/>
      </c>
      <c r="P102" s="167" t="str">
        <f>IFERROR(SUMIFS('caseload data'!R:R,'caseload data'!$C:$C,'custody %'!$B$99,'caseload data'!$D:$D,"PSO",'caseload data'!$B:$B,"custody")/SUMIFS('caseload data'!R:R,'caseload data'!$B:$B,"custody",'caseload data'!$C:$C,'custody %'!$B$99),"")</f>
        <v/>
      </c>
      <c r="Q102" s="167" t="str">
        <f>IFERROR(SUMIFS('caseload data'!S:S,'caseload data'!$C:$C,'custody %'!$B$99,'caseload data'!$D:$D,"PSO",'caseload data'!$B:$B,"custody")/SUMIFS('caseload data'!S:S,'caseload data'!$B:$B,"custody",'caseload data'!$C:$C,'custody %'!$B$99),"")</f>
        <v/>
      </c>
      <c r="R102" s="167" t="str">
        <f>IFERROR(SUMIFS('caseload data'!T:T,'caseload data'!$C:$C,'custody %'!$B$99,'caseload data'!$D:$D,"PSO",'caseload data'!$B:$B,"custody")/SUMIFS('caseload data'!T:T,'caseload data'!$B:$B,"custody",'caseload data'!$C:$C,'custody %'!$B$99),"")</f>
        <v/>
      </c>
    </row>
    <row r="103" spans="2:36" x14ac:dyDescent="0.15">
      <c r="B103" s="97" t="s">
        <v>1008</v>
      </c>
      <c r="C103" s="167" t="str">
        <f>IFERROR(SUMIFS('caseload data'!E:E,'caseload data'!$C:$C,'custody %'!$B$99,'caseload data'!$D:$D,"TPO",'caseload data'!$B:$B,"custody")/SUMIFS('caseload data'!E:E,'caseload data'!$B:$B,"custody",'caseload data'!$C:$C,'custody %'!$B$99),"")</f>
        <v/>
      </c>
      <c r="D103" s="167" t="str">
        <f>IFERROR(SUMIFS('caseload data'!F:F,'caseload data'!$C:$C,'custody %'!$B$99,'caseload data'!$D:$D,"TPO",'caseload data'!$B:$B,"custody")/SUMIFS('caseload data'!F:F,'caseload data'!$B:$B,"custody",'caseload data'!$C:$C,'custody %'!$B$99),"")</f>
        <v/>
      </c>
      <c r="E103" s="167" t="str">
        <f>IFERROR(SUMIFS('caseload data'!G:G,'caseload data'!$C:$C,'custody %'!$B$99,'caseload data'!$D:$D,"TPO",'caseload data'!$B:$B,"custody")/SUMIFS('caseload data'!G:G,'caseload data'!$B:$B,"custody",'caseload data'!$C:$C,'custody %'!$B$99),"")</f>
        <v/>
      </c>
      <c r="F103" s="167" t="str">
        <f>IFERROR(SUMIFS('caseload data'!H:H,'caseload data'!$C:$C,'custody %'!$B$99,'caseload data'!$D:$D,"TPO",'caseload data'!$B:$B,"custody")/SUMIFS('caseload data'!H:H,'caseload data'!$B:$B,"custody",'caseload data'!$C:$C,'custody %'!$B$99),"")</f>
        <v/>
      </c>
      <c r="G103" s="167" t="str">
        <f>IFERROR(SUMIFS('caseload data'!I:I,'caseload data'!$C:$C,'custody %'!$B$99,'caseload data'!$D:$D,"TPO",'caseload data'!$B:$B,"custody")/SUMIFS('caseload data'!I:I,'caseload data'!$B:$B,"custody",'caseload data'!$C:$C,'custody %'!$B$99),"")</f>
        <v/>
      </c>
      <c r="H103" s="167" t="str">
        <f>IFERROR(SUMIFS('caseload data'!J:J,'caseload data'!$C:$C,'custody %'!$B$99,'caseload data'!$D:$D,"TPO",'caseload data'!$B:$B,"custody")/SUMIFS('caseload data'!J:J,'caseload data'!$B:$B,"custody",'caseload data'!$C:$C,'custody %'!$B$99),"")</f>
        <v/>
      </c>
      <c r="I103" s="167" t="str">
        <f>IFERROR(SUMIFS('caseload data'!K:K,'caseload data'!$C:$C,'custody %'!$B$99,'caseload data'!$D:$D,"TPO",'caseload data'!$B:$B,"custody")/SUMIFS('caseload data'!K:K,'caseload data'!$B:$B,"custody",'caseload data'!$C:$C,'custody %'!$B$99),"")</f>
        <v/>
      </c>
      <c r="J103" s="167" t="str">
        <f>IFERROR(SUMIFS('caseload data'!L:L,'caseload data'!$C:$C,'custody %'!$B$99,'caseload data'!$D:$D,"TPO",'caseload data'!$B:$B,"custody")/SUMIFS('caseload data'!L:L,'caseload data'!$B:$B,"custody",'caseload data'!$C:$C,'custody %'!$B$99),"")</f>
        <v/>
      </c>
      <c r="K103" s="167" t="str">
        <f>IFERROR(SUMIFS('caseload data'!M:M,'caseload data'!$C:$C,'custody %'!$B$99,'caseload data'!$D:$D,"TPO",'caseload data'!$B:$B,"custody")/SUMIFS('caseload data'!M:M,'caseload data'!$B:$B,"custody",'caseload data'!$C:$C,'custody %'!$B$99),"")</f>
        <v/>
      </c>
      <c r="L103" s="167" t="str">
        <f>IFERROR(SUMIFS('caseload data'!N:N,'caseload data'!$C:$C,'custody %'!$B$99,'caseload data'!$D:$D,"TPO",'caseload data'!$B:$B,"custody")/SUMIFS('caseload data'!N:N,'caseload data'!$B:$B,"custody",'caseload data'!$C:$C,'custody %'!$B$99),"")</f>
        <v/>
      </c>
      <c r="M103" s="167" t="str">
        <f>IFERROR(SUMIFS('caseload data'!O:O,'caseload data'!$C:$C,'custody %'!$B$99,'caseload data'!$D:$D,"TPO",'caseload data'!$B:$B,"custody")/SUMIFS('caseload data'!O:O,'caseload data'!$B:$B,"custody",'caseload data'!$C:$C,'custody %'!$B$99),"")</f>
        <v/>
      </c>
      <c r="N103" s="167" t="str">
        <f>IFERROR(SUMIFS('caseload data'!P:P,'caseload data'!$C:$C,'custody %'!$B$99,'caseload data'!$D:$D,"TPO",'caseload data'!$B:$B,"custody")/SUMIFS('caseload data'!P:P,'caseload data'!$B:$B,"custody",'caseload data'!$C:$C,'custody %'!$B$99),"")</f>
        <v/>
      </c>
      <c r="O103" s="167" t="str">
        <f>IFERROR(SUMIFS('caseload data'!Q:Q,'caseload data'!$C:$C,'custody %'!$B$99,'caseload data'!$D:$D,"TPO",'caseload data'!$B:$B,"custody")/SUMIFS('caseload data'!Q:Q,'caseload data'!$B:$B,"custody",'caseload data'!$C:$C,'custody %'!$B$99),"")</f>
        <v/>
      </c>
      <c r="P103" s="167" t="str">
        <f>IFERROR(SUMIFS('caseload data'!R:R,'caseload data'!$C:$C,'custody %'!$B$99,'caseload data'!$D:$D,"TPO",'caseload data'!$B:$B,"custody")/SUMIFS('caseload data'!R:R,'caseload data'!$B:$B,"custody",'caseload data'!$C:$C,'custody %'!$B$99),"")</f>
        <v/>
      </c>
      <c r="Q103" s="167" t="str">
        <f>IFERROR(SUMIFS('caseload data'!S:S,'caseload data'!$C:$C,'custody %'!$B$99,'caseload data'!$D:$D,"TPO",'caseload data'!$B:$B,"custody")/SUMIFS('caseload data'!S:S,'caseload data'!$B:$B,"custody",'caseload data'!$C:$C,'custody %'!$B$99),"")</f>
        <v/>
      </c>
      <c r="R103" s="167" t="str">
        <f>IFERROR(SUMIFS('caseload data'!T:T,'caseload data'!$C:$C,'custody %'!$B$99,'caseload data'!$D:$D,"TPO",'caseload data'!$B:$B,"custody")/SUMIFS('caseload data'!T:T,'caseload data'!$B:$B,"custody",'caseload data'!$C:$C,'custody %'!$B$99),"")</f>
        <v/>
      </c>
    </row>
    <row r="104" spans="2:36" x14ac:dyDescent="0.15">
      <c r="B104" s="98" t="s">
        <v>1009</v>
      </c>
      <c r="C104" s="167" t="str">
        <f>IFERROR(SUMIFS('caseload data'!E:E,'caseload data'!$C:$C,'custody %'!$B$99,'caseload data'!$D:$D,"SPO",'caseload data'!$B:$B,"custody")/SUMIFS('caseload data'!E:E,'caseload data'!$B:$B,"custody",'caseload data'!$C:$C,'custody %'!$B$99),"")</f>
        <v/>
      </c>
      <c r="D104" s="167" t="str">
        <f>IFERROR(SUMIFS('caseload data'!F:F,'caseload data'!$C:$C,'custody %'!$B$99,'caseload data'!$D:$D,"SPO",'caseload data'!$B:$B,"custody")/SUMIFS('caseload data'!F:F,'caseload data'!$B:$B,"custody",'caseload data'!$C:$C,'custody %'!$B$99),"")</f>
        <v/>
      </c>
      <c r="E104" s="167" t="str">
        <f>IFERROR(SUMIFS('caseload data'!G:G,'caseload data'!$C:$C,'custody %'!$B$99,'caseload data'!$D:$D,"SPO",'caseload data'!$B:$B,"custody")/SUMIFS('caseload data'!G:G,'caseload data'!$B:$B,"custody",'caseload data'!$C:$C,'custody %'!$B$99),"")</f>
        <v/>
      </c>
      <c r="F104" s="167" t="str">
        <f>IFERROR(SUMIFS('caseload data'!H:H,'caseload data'!$C:$C,'custody %'!$B$99,'caseload data'!$D:$D,"SPO",'caseload data'!$B:$B,"custody")/SUMIFS('caseload data'!H:H,'caseload data'!$B:$B,"custody",'caseload data'!$C:$C,'custody %'!$B$99),"")</f>
        <v/>
      </c>
      <c r="G104" s="167" t="str">
        <f>IFERROR(SUMIFS('caseload data'!I:I,'caseload data'!$C:$C,'custody %'!$B$99,'caseload data'!$D:$D,"SPO",'caseload data'!$B:$B,"custody")/SUMIFS('caseload data'!I:I,'caseload data'!$B:$B,"custody",'caseload data'!$C:$C,'custody %'!$B$99),"")</f>
        <v/>
      </c>
      <c r="H104" s="167" t="str">
        <f>IFERROR(SUMIFS('caseload data'!J:J,'caseload data'!$C:$C,'custody %'!$B$99,'caseload data'!$D:$D,"SPO",'caseload data'!$B:$B,"custody")/SUMIFS('caseload data'!J:J,'caseload data'!$B:$B,"custody",'caseload data'!$C:$C,'custody %'!$B$99),"")</f>
        <v/>
      </c>
      <c r="I104" s="167" t="str">
        <f>IFERROR(SUMIFS('caseload data'!K:K,'caseload data'!$C:$C,'custody %'!$B$99,'caseload data'!$D:$D,"SPO",'caseload data'!$B:$B,"custody")/SUMIFS('caseload data'!K:K,'caseload data'!$B:$B,"custody",'caseload data'!$C:$C,'custody %'!$B$99),"")</f>
        <v/>
      </c>
      <c r="J104" s="167" t="str">
        <f>IFERROR(SUMIFS('caseload data'!L:L,'caseload data'!$C:$C,'custody %'!$B$99,'caseload data'!$D:$D,"SPO",'caseload data'!$B:$B,"custody")/SUMIFS('caseload data'!L:L,'caseload data'!$B:$B,"custody",'caseload data'!$C:$C,'custody %'!$B$99),"")</f>
        <v/>
      </c>
      <c r="K104" s="167" t="str">
        <f>IFERROR(SUMIFS('caseload data'!M:M,'caseload data'!$C:$C,'custody %'!$B$99,'caseload data'!$D:$D,"SPO",'caseload data'!$B:$B,"custody")/SUMIFS('caseload data'!M:M,'caseload data'!$B:$B,"custody",'caseload data'!$C:$C,'custody %'!$B$99),"")</f>
        <v/>
      </c>
      <c r="L104" s="167" t="str">
        <f>IFERROR(SUMIFS('caseload data'!N:N,'caseload data'!$C:$C,'custody %'!$B$99,'caseload data'!$D:$D,"SPO",'caseload data'!$B:$B,"custody")/SUMIFS('caseload data'!N:N,'caseload data'!$B:$B,"custody",'caseload data'!$C:$C,'custody %'!$B$99),"")</f>
        <v/>
      </c>
      <c r="M104" s="167" t="str">
        <f>IFERROR(SUMIFS('caseload data'!O:O,'caseload data'!$C:$C,'custody %'!$B$99,'caseload data'!$D:$D,"SPO",'caseload data'!$B:$B,"custody")/SUMIFS('caseload data'!O:O,'caseload data'!$B:$B,"custody",'caseload data'!$C:$C,'custody %'!$B$99),"")</f>
        <v/>
      </c>
      <c r="N104" s="167" t="str">
        <f>IFERROR(SUMIFS('caseload data'!P:P,'caseload data'!$C:$C,'custody %'!$B$99,'caseload data'!$D:$D,"SPO",'caseload data'!$B:$B,"custody")/SUMIFS('caseload data'!P:P,'caseload data'!$B:$B,"custody",'caseload data'!$C:$C,'custody %'!$B$99),"")</f>
        <v/>
      </c>
      <c r="O104" s="167" t="str">
        <f>IFERROR(SUMIFS('caseload data'!Q:Q,'caseload data'!$C:$C,'custody %'!$B$99,'caseload data'!$D:$D,"SPO",'caseload data'!$B:$B,"custody")/SUMIFS('caseload data'!Q:Q,'caseload data'!$B:$B,"custody",'caseload data'!$C:$C,'custody %'!$B$99),"")</f>
        <v/>
      </c>
      <c r="P104" s="167" t="str">
        <f>IFERROR(SUMIFS('caseload data'!R:R,'caseload data'!$C:$C,'custody %'!$B$99,'caseload data'!$D:$D,"SPO",'caseload data'!$B:$B,"custody")/SUMIFS('caseload data'!R:R,'caseload data'!$B:$B,"custody",'caseload data'!$C:$C,'custody %'!$B$99),"")</f>
        <v/>
      </c>
      <c r="Q104" s="167" t="str">
        <f>IFERROR(SUMIFS('caseload data'!S:S,'caseload data'!$C:$C,'custody %'!$B$99,'caseload data'!$D:$D,"SPO",'caseload data'!$B:$B,"custody")/SUMIFS('caseload data'!S:S,'caseload data'!$B:$B,"custody",'caseload data'!$C:$C,'custody %'!$B$99),"")</f>
        <v/>
      </c>
      <c r="R104" s="167" t="str">
        <f>IFERROR(SUMIFS('caseload data'!T:T,'caseload data'!$C:$C,'custody %'!$B$99,'caseload data'!$D:$D,"SPO",'caseload data'!$B:$B,"custody")/SUMIFS('caseload data'!T:T,'caseload data'!$B:$B,"custody",'caseload data'!$C:$C,'custody %'!$B$99),"")</f>
        <v/>
      </c>
    </row>
  </sheetData>
  <mergeCells count="56">
    <mergeCell ref="AF78:AH78"/>
    <mergeCell ref="U85:AE85"/>
    <mergeCell ref="AF85:AH85"/>
    <mergeCell ref="U92:AE92"/>
    <mergeCell ref="AF92:AH92"/>
    <mergeCell ref="C99:O99"/>
    <mergeCell ref="P99:R99"/>
    <mergeCell ref="U71:AE71"/>
    <mergeCell ref="U78:AE78"/>
    <mergeCell ref="C78:O78"/>
    <mergeCell ref="P78:R78"/>
    <mergeCell ref="C85:O85"/>
    <mergeCell ref="P85:R85"/>
    <mergeCell ref="C92:O92"/>
    <mergeCell ref="P92:R92"/>
    <mergeCell ref="C64:O64"/>
    <mergeCell ref="P64:R64"/>
    <mergeCell ref="U64:AE64"/>
    <mergeCell ref="AF64:AH64"/>
    <mergeCell ref="C71:O71"/>
    <mergeCell ref="P71:R71"/>
    <mergeCell ref="AF71:AH71"/>
    <mergeCell ref="C8:O8"/>
    <mergeCell ref="P8:R8"/>
    <mergeCell ref="U8:AE8"/>
    <mergeCell ref="AF8:AH8"/>
    <mergeCell ref="A1:AJ1"/>
    <mergeCell ref="A2:AJ2"/>
    <mergeCell ref="C15:O15"/>
    <mergeCell ref="P15:R15"/>
    <mergeCell ref="U15:AE15"/>
    <mergeCell ref="AF15:AH15"/>
    <mergeCell ref="C22:O22"/>
    <mergeCell ref="P22:R22"/>
    <mergeCell ref="U22:AE22"/>
    <mergeCell ref="AF22:AH22"/>
    <mergeCell ref="C29:O29"/>
    <mergeCell ref="P29:R29"/>
    <mergeCell ref="U29:AE29"/>
    <mergeCell ref="AF29:AH29"/>
    <mergeCell ref="C36:O36"/>
    <mergeCell ref="P36:R36"/>
    <mergeCell ref="U36:AE36"/>
    <mergeCell ref="AF36:AH36"/>
    <mergeCell ref="C57:O57"/>
    <mergeCell ref="P57:R57"/>
    <mergeCell ref="U57:AE57"/>
    <mergeCell ref="AF57:AH57"/>
    <mergeCell ref="C43:O43"/>
    <mergeCell ref="P43:R43"/>
    <mergeCell ref="U43:AE43"/>
    <mergeCell ref="AF43:AH43"/>
    <mergeCell ref="C50:O50"/>
    <mergeCell ref="P50:R50"/>
    <mergeCell ref="U50:AE50"/>
    <mergeCell ref="AF50:AH50"/>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sqref="A1:AJ1"/>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531" t="s">
        <v>1134</v>
      </c>
      <c r="B1" s="531"/>
      <c r="C1" s="531"/>
      <c r="D1" s="531"/>
      <c r="E1" s="531"/>
      <c r="F1" s="531"/>
      <c r="G1" s="531"/>
      <c r="H1" s="531"/>
      <c r="I1" s="531"/>
      <c r="J1" s="531"/>
      <c r="K1" s="531"/>
      <c r="L1" s="531"/>
      <c r="M1" s="531"/>
      <c r="N1" s="531"/>
      <c r="O1" s="531"/>
      <c r="P1" s="531"/>
      <c r="Q1" s="531"/>
      <c r="R1" s="531"/>
      <c r="S1" s="531"/>
      <c r="T1" s="531"/>
      <c r="U1" s="531"/>
      <c r="V1" s="531"/>
      <c r="W1" s="531"/>
      <c r="X1" s="531"/>
      <c r="Y1" s="531"/>
      <c r="Z1" s="531"/>
      <c r="AA1" s="531"/>
      <c r="AB1" s="531"/>
      <c r="AC1" s="531"/>
      <c r="AD1" s="531"/>
      <c r="AE1" s="531"/>
      <c r="AF1" s="531"/>
      <c r="AG1" s="531"/>
      <c r="AH1" s="531"/>
      <c r="AI1" s="531"/>
      <c r="AJ1" s="531"/>
      <c r="AK1" s="261"/>
      <c r="AL1" s="261"/>
      <c r="AM1" s="261"/>
      <c r="AN1" s="261"/>
      <c r="AO1" s="261"/>
      <c r="AP1" s="261"/>
      <c r="AQ1" s="261"/>
      <c r="AR1" s="261"/>
      <c r="AS1" s="261"/>
      <c r="AT1" s="261"/>
      <c r="AU1" s="261"/>
      <c r="AV1" s="261"/>
      <c r="AW1" s="261"/>
      <c r="AX1" s="261"/>
    </row>
    <row r="2" spans="1:50" ht="49.5" customHeight="1" x14ac:dyDescent="0.15">
      <c r="A2" s="539"/>
      <c r="B2" s="539"/>
      <c r="C2" s="539"/>
      <c r="D2" s="539"/>
      <c r="E2" s="539"/>
      <c r="F2" s="539"/>
      <c r="G2" s="539"/>
      <c r="H2" s="539"/>
      <c r="I2" s="539"/>
      <c r="J2" s="539"/>
      <c r="K2" s="539"/>
      <c r="L2" s="539"/>
      <c r="M2" s="539"/>
      <c r="N2" s="539"/>
      <c r="O2" s="539"/>
      <c r="P2" s="539"/>
      <c r="Q2" s="539"/>
      <c r="R2" s="539"/>
      <c r="S2" s="539"/>
      <c r="T2" s="539"/>
      <c r="U2" s="539"/>
      <c r="V2" s="539"/>
      <c r="W2" s="539"/>
      <c r="X2" s="539"/>
      <c r="Y2" s="539"/>
      <c r="Z2" s="539"/>
      <c r="AA2" s="539"/>
      <c r="AB2" s="539"/>
      <c r="AC2" s="539"/>
      <c r="AD2" s="539"/>
      <c r="AE2" s="539"/>
      <c r="AF2" s="539"/>
      <c r="AG2" s="539"/>
      <c r="AH2" s="539"/>
      <c r="AI2" s="539"/>
      <c r="AJ2" s="539"/>
      <c r="AK2" s="264"/>
      <c r="AL2" s="264"/>
      <c r="AM2" s="264"/>
      <c r="AN2" s="264"/>
      <c r="AO2" s="264"/>
      <c r="AP2" s="264"/>
      <c r="AQ2" s="264"/>
      <c r="AR2" s="264"/>
      <c r="AS2" s="264"/>
      <c r="AT2" s="264"/>
      <c r="AU2" s="264"/>
      <c r="AV2" s="264"/>
      <c r="AW2" s="264"/>
      <c r="AX2" s="264"/>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940</v>
      </c>
    </row>
    <row r="5" spans="1:50" ht="29.25" customHeight="1" x14ac:dyDescent="0.15">
      <c r="B5" s="242" t="s">
        <v>17</v>
      </c>
      <c r="K5" s="239"/>
      <c r="P5" s="40"/>
      <c r="Q5" s="40"/>
    </row>
    <row r="6" spans="1:50" x14ac:dyDescent="0.15">
      <c r="B6" s="46"/>
    </row>
    <row r="8" spans="1:50" ht="36.75" customHeight="1" x14ac:dyDescent="0.15">
      <c r="B8" s="289" t="str">
        <f>HLOOKUP($B$5,Region_Table,2,0)</f>
        <v>All East Midlands Region</v>
      </c>
      <c r="C8" s="507" t="s">
        <v>1135</v>
      </c>
      <c r="D8" s="508"/>
      <c r="E8" s="508"/>
      <c r="F8" s="508"/>
      <c r="G8" s="508"/>
      <c r="H8" s="508"/>
      <c r="I8" s="508"/>
      <c r="J8" s="508"/>
      <c r="K8" s="508"/>
      <c r="L8" s="508"/>
      <c r="M8" s="537"/>
      <c r="N8" s="537"/>
      <c r="O8" s="538"/>
      <c r="P8" s="510">
        <f>SUM(SUMIFS('caseload data'!V:V,'caseload data'!B:B,{"licence","community"},'caseload data'!C:C,'community caseload'!B8))</f>
        <v>0</v>
      </c>
      <c r="Q8" s="527"/>
      <c r="R8" s="528"/>
      <c r="S8" s="291"/>
      <c r="T8" s="289" t="str">
        <f>HLOOKUP($B$5,Region_Table,3,0)</f>
        <v>Derby City - N53</v>
      </c>
      <c r="U8" s="507" t="s">
        <v>1135</v>
      </c>
      <c r="V8" s="508"/>
      <c r="W8" s="508"/>
      <c r="X8" s="508"/>
      <c r="Y8" s="508"/>
      <c r="Z8" s="508"/>
      <c r="AA8" s="508"/>
      <c r="AB8" s="508"/>
      <c r="AC8" s="508"/>
      <c r="AD8" s="508"/>
      <c r="AE8" s="537"/>
      <c r="AF8" s="537"/>
      <c r="AG8" s="538"/>
      <c r="AH8" s="510">
        <f>SUM(SUMIFS('caseload data'!V:V,'caseload data'!B:B,{"licence","community"},'caseload data'!C:C,'community caseload'!T8))</f>
        <v>0</v>
      </c>
      <c r="AI8" s="527"/>
      <c r="AJ8" s="528"/>
    </row>
    <row r="9" spans="1:50" x14ac:dyDescent="0.15">
      <c r="B9" s="95" t="s">
        <v>1005</v>
      </c>
      <c r="C9" s="38" t="s">
        <v>869</v>
      </c>
      <c r="D9" s="38" t="s">
        <v>870</v>
      </c>
      <c r="E9" s="38" t="s">
        <v>871</v>
      </c>
      <c r="F9" s="38" t="s">
        <v>872</v>
      </c>
      <c r="G9" s="38" t="s">
        <v>873</v>
      </c>
      <c r="H9" s="38" t="s">
        <v>874</v>
      </c>
      <c r="I9" s="38" t="s">
        <v>875</v>
      </c>
      <c r="J9" s="38" t="s">
        <v>876</v>
      </c>
      <c r="K9" s="38" t="s">
        <v>877</v>
      </c>
      <c r="L9" s="38" t="s">
        <v>878</v>
      </c>
      <c r="M9" s="38" t="s">
        <v>879</v>
      </c>
      <c r="N9" s="38" t="s">
        <v>880</v>
      </c>
      <c r="O9" s="38" t="s">
        <v>881</v>
      </c>
      <c r="P9" s="38" t="s">
        <v>882</v>
      </c>
      <c r="Q9" s="38" t="s">
        <v>883</v>
      </c>
      <c r="R9" s="38" t="s">
        <v>884</v>
      </c>
      <c r="S9" s="64"/>
      <c r="T9" s="95" t="s">
        <v>1005</v>
      </c>
      <c r="U9" s="38" t="s">
        <v>869</v>
      </c>
      <c r="V9" s="38" t="s">
        <v>870</v>
      </c>
      <c r="W9" s="38" t="s">
        <v>871</v>
      </c>
      <c r="X9" s="38" t="s">
        <v>872</v>
      </c>
      <c r="Y9" s="38" t="s">
        <v>873</v>
      </c>
      <c r="Z9" s="38" t="s">
        <v>874</v>
      </c>
      <c r="AA9" s="38" t="s">
        <v>875</v>
      </c>
      <c r="AB9" s="38" t="s">
        <v>876</v>
      </c>
      <c r="AC9" s="38" t="s">
        <v>877</v>
      </c>
      <c r="AD9" s="38" t="s">
        <v>878</v>
      </c>
      <c r="AE9" s="38" t="s">
        <v>879</v>
      </c>
      <c r="AF9" s="38" t="s">
        <v>880</v>
      </c>
      <c r="AG9" s="38" t="s">
        <v>881</v>
      </c>
      <c r="AH9" s="38" t="s">
        <v>882</v>
      </c>
      <c r="AI9" s="38" t="s">
        <v>883</v>
      </c>
      <c r="AJ9" s="38" t="s">
        <v>884</v>
      </c>
    </row>
    <row r="10" spans="1:50" x14ac:dyDescent="0.15">
      <c r="B10" s="96" t="s">
        <v>1002</v>
      </c>
      <c r="C10" s="94">
        <f>SUM(SUMIFS('caseload data'!E:E,'caseload data'!$D:$D,"PO",'caseload data'!$C:$C,'community caseload'!$B$8,'caseload data'!$B:$B,{"licence","community"}))</f>
        <v>0</v>
      </c>
      <c r="D10" s="94">
        <f>SUM(SUMIFS('caseload data'!F:F,'caseload data'!$D:$D,"PO",'caseload data'!$C:$C,'community caseload'!$B$8,'caseload data'!$B:$B,{"licence","community"}))</f>
        <v>0</v>
      </c>
      <c r="E10" s="94">
        <f>SUM(SUMIFS('caseload data'!G:G,'caseload data'!$D:$D,"PO",'caseload data'!$C:$C,'community caseload'!$B$8,'caseload data'!$B:$B,{"licence","community"}))</f>
        <v>0</v>
      </c>
      <c r="F10" s="94">
        <f>SUM(SUMIFS('caseload data'!H:H,'caseload data'!$D:$D,"PO",'caseload data'!$C:$C,'community caseload'!$B$8,'caseload data'!$B:$B,{"licence","community"}))</f>
        <v>0</v>
      </c>
      <c r="G10" s="94">
        <f>SUM(SUMIFS('caseload data'!I:I,'caseload data'!$D:$D,"PO",'caseload data'!$C:$C,'community caseload'!$B$8,'caseload data'!$B:$B,{"licence","community"}))</f>
        <v>0</v>
      </c>
      <c r="H10" s="94">
        <f>SUM(SUMIFS('caseload data'!J:J,'caseload data'!$D:$D,"PO",'caseload data'!$C:$C,'community caseload'!$B$8,'caseload data'!$B:$B,{"licence","community"}))</f>
        <v>0</v>
      </c>
      <c r="I10" s="94">
        <f>SUM(SUMIFS('caseload data'!K:K,'caseload data'!$D:$D,"PO",'caseload data'!$C:$C,'community caseload'!$B$8,'caseload data'!$B:$B,{"licence","community"}))</f>
        <v>0</v>
      </c>
      <c r="J10" s="94">
        <f>SUM(SUMIFS('caseload data'!L:L,'caseload data'!$D:$D,"PO",'caseload data'!$C:$C,'community caseload'!$B$8,'caseload data'!$B:$B,{"licence","community"}))</f>
        <v>0</v>
      </c>
      <c r="K10" s="94">
        <f>SUM(SUMIFS('caseload data'!M:M,'caseload data'!$D:$D,"PO",'caseload data'!$C:$C,'community caseload'!$B$8,'caseload data'!$B:$B,{"licence","community"}))</f>
        <v>0</v>
      </c>
      <c r="L10" s="94">
        <f>SUM(SUMIFS('caseload data'!N:N,'caseload data'!$D:$D,"PO",'caseload data'!$C:$C,'community caseload'!$B$8,'caseload data'!$B:$B,{"licence","community"}))</f>
        <v>0</v>
      </c>
      <c r="M10" s="94">
        <f>SUM(SUMIFS('caseload data'!O:O,'caseload data'!$D:$D,"PO",'caseload data'!$C:$C,'community caseload'!$B$8,'caseload data'!$B:$B,{"licence","community"}))</f>
        <v>0</v>
      </c>
      <c r="N10" s="94">
        <f>SUM(SUMIFS('caseload data'!P:P,'caseload data'!$D:$D,"PO",'caseload data'!$C:$C,'community caseload'!$B$8,'caseload data'!$B:$B,{"licence","community"}))</f>
        <v>0</v>
      </c>
      <c r="O10" s="94">
        <f>SUM(SUMIFS('caseload data'!Q:Q,'caseload data'!$D:$D,"PO",'caseload data'!$C:$C,'community caseload'!$B$8,'caseload data'!$B:$B,{"licence","community"}))</f>
        <v>0</v>
      </c>
      <c r="P10" s="94">
        <f>SUM(SUMIFS('caseload data'!R:R,'caseload data'!$D:$D,"PO",'caseload data'!$C:$C,'community caseload'!$B$8,'caseload data'!$B:$B,{"licence","community"}))</f>
        <v>0</v>
      </c>
      <c r="Q10" s="94">
        <f>SUM(SUMIFS('caseload data'!S:S,'caseload data'!$D:$D,"PO",'caseload data'!$C:$C,'community caseload'!$B$8,'caseload data'!$B:$B,{"licence","community"}))</f>
        <v>0</v>
      </c>
      <c r="R10" s="94">
        <f>SUM(SUMIFS('caseload data'!T:T,'caseload data'!$D:$D,"PO",'caseload data'!$C:$C,'community caseload'!$B$8,'caseload data'!$B:$B,{"licence","community"}))</f>
        <v>0</v>
      </c>
      <c r="S10" s="64"/>
      <c r="T10" s="96" t="s">
        <v>1002</v>
      </c>
      <c r="U10" s="94">
        <f>SUM(SUMIFS('caseload data'!E:E,'caseload data'!$D:$D,"PO",'caseload data'!$C:$C,'community caseload'!$T$8,'caseload data'!$B:$B,{"licence","community"}))</f>
        <v>0</v>
      </c>
      <c r="V10" s="94"/>
      <c r="W10" s="94"/>
      <c r="X10" s="94"/>
      <c r="Y10" s="94"/>
      <c r="Z10" s="94"/>
      <c r="AA10" s="94"/>
      <c r="AB10" s="94"/>
      <c r="AC10" s="94"/>
      <c r="AD10" s="94"/>
      <c r="AE10" s="94">
        <f>SUM(SUMIFS('caseload data'!J:J,'caseload data'!$D:$D,"PO",'caseload data'!$C:$C,'community caseload'!$T$8,'caseload data'!$B:$B,{"licence","community"}))</f>
        <v>0</v>
      </c>
      <c r="AF10" s="94">
        <f>SUM(SUMIFS('caseload data'!K:K,'caseload data'!$D:$D,"PO",'caseload data'!$C:$C,'community caseload'!$T$8,'caseload data'!$B:$B,{"licence","community"}))</f>
        <v>0</v>
      </c>
      <c r="AG10" s="94">
        <f>SUM(SUMIFS('caseload data'!N:N,'caseload data'!$D:$D,"PO",'caseload data'!$C:$C,'community caseload'!$T$8,'caseload data'!$B:$B,{"licence","community"}))</f>
        <v>0</v>
      </c>
      <c r="AH10" s="94">
        <f>SUM(SUMIFS('caseload data'!O:O,'caseload data'!$D:$D,"PO",'caseload data'!$C:$C,'community caseload'!$T$8,'caseload data'!$B:$B,{"licence","community"}))</f>
        <v>0</v>
      </c>
      <c r="AI10" s="94">
        <f>SUM(SUMIFS('caseload data'!R:R,'caseload data'!$D:$D,"PO",'caseload data'!$C:$C,'community caseload'!$T$8,'caseload data'!$B:$B,{"licence","community"}))</f>
        <v>0</v>
      </c>
      <c r="AJ10" s="94">
        <f>SUM(SUMIFS('caseload data'!S:S,'caseload data'!$D:$D,"PO",'caseload data'!$C:$C,'community caseload'!$T$8,'caseload data'!$B:$B,{"licence","community"}))</f>
        <v>0</v>
      </c>
    </row>
    <row r="11" spans="1:50" x14ac:dyDescent="0.15">
      <c r="B11" s="97" t="s">
        <v>1007</v>
      </c>
      <c r="C11" s="94">
        <f>SUM(SUMIFS('caseload data'!E:E,'caseload data'!$D:$D,"PSO",'caseload data'!$C:$C,'community caseload'!$B$8,'caseload data'!$B:$B,{"licence","community"}))</f>
        <v>0</v>
      </c>
      <c r="D11" s="94">
        <f>SUM(SUMIFS('caseload data'!F:F,'caseload data'!$D:$D,"PSO",'caseload data'!$C:$C,'community caseload'!$B$8,'caseload data'!$B:$B,{"licence","community"}))</f>
        <v>0</v>
      </c>
      <c r="E11" s="94">
        <f>SUM(SUMIFS('caseload data'!G:G,'caseload data'!$D:$D,"PSO",'caseload data'!$C:$C,'community caseload'!$B$8,'caseload data'!$B:$B,{"licence","community"}))</f>
        <v>0</v>
      </c>
      <c r="F11" s="94">
        <f>SUM(SUMIFS('caseload data'!H:H,'caseload data'!$D:$D,"PSO",'caseload data'!$C:$C,'community caseload'!$B$8,'caseload data'!$B:$B,{"licence","community"}))</f>
        <v>0</v>
      </c>
      <c r="G11" s="94">
        <f>SUM(SUMIFS('caseload data'!I:I,'caseload data'!$D:$D,"PSO",'caseload data'!$C:$C,'community caseload'!$B$8,'caseload data'!$B:$B,{"licence","community"}))</f>
        <v>0</v>
      </c>
      <c r="H11" s="94">
        <f>SUM(SUMIFS('caseload data'!J:J,'caseload data'!$D:$D,"PSO",'caseload data'!$C:$C,'community caseload'!$B$8,'caseload data'!$B:$B,{"licence","community"}))</f>
        <v>0</v>
      </c>
      <c r="I11" s="94">
        <f>SUM(SUMIFS('caseload data'!K:K,'caseload data'!$D:$D,"PSO",'caseload data'!$C:$C,'community caseload'!$B$8,'caseload data'!$B:$B,{"licence","community"}))</f>
        <v>0</v>
      </c>
      <c r="J11" s="94">
        <f>SUM(SUMIFS('caseload data'!L:L,'caseload data'!$D:$D,"PSO",'caseload data'!$C:$C,'community caseload'!$B$8,'caseload data'!$B:$B,{"licence","community"}))</f>
        <v>0</v>
      </c>
      <c r="K11" s="94">
        <f>SUM(SUMIFS('caseload data'!M:M,'caseload data'!$D:$D,"PSO",'caseload data'!$C:$C,'community caseload'!$B$8,'caseload data'!$B:$B,{"licence","community"}))</f>
        <v>0</v>
      </c>
      <c r="L11" s="94">
        <f>SUM(SUMIFS('caseload data'!N:N,'caseload data'!$D:$D,"PSO",'caseload data'!$C:$C,'community caseload'!$B$8,'caseload data'!$B:$B,{"licence","community"}))</f>
        <v>0</v>
      </c>
      <c r="M11" s="94">
        <f>SUM(SUMIFS('caseload data'!O:O,'caseload data'!$D:$D,"PSO",'caseload data'!$C:$C,'community caseload'!$B$8,'caseload data'!$B:$B,{"licence","community"}))</f>
        <v>0</v>
      </c>
      <c r="N11" s="94">
        <f>SUM(SUMIFS('caseload data'!P:P,'caseload data'!$D:$D,"PSO",'caseload data'!$C:$C,'community caseload'!$B$8,'caseload data'!$B:$B,{"licence","community"}))</f>
        <v>0</v>
      </c>
      <c r="O11" s="94">
        <f>SUM(SUMIFS('caseload data'!Q:Q,'caseload data'!$D:$D,"PSO",'caseload data'!$C:$C,'community caseload'!$B$8,'caseload data'!$B:$B,{"licence","community"}))</f>
        <v>0</v>
      </c>
      <c r="P11" s="94">
        <f>SUM(SUMIFS('caseload data'!R:R,'caseload data'!$D:$D,"PSO",'caseload data'!$C:$C,'community caseload'!$B$8,'caseload data'!$B:$B,{"licence","community"}))</f>
        <v>0</v>
      </c>
      <c r="Q11" s="94">
        <f>SUM(SUMIFS('caseload data'!S:S,'caseload data'!$D:$D,"PSO",'caseload data'!$C:$C,'community caseload'!$B$8,'caseload data'!$B:$B,{"licence","community"}))</f>
        <v>0</v>
      </c>
      <c r="R11" s="94">
        <f>SUM(SUMIFS('caseload data'!T:T,'caseload data'!$D:$D,"PSO",'caseload data'!$C:$C,'community caseload'!$B$8,'caseload data'!$B:$B,{"licence","community"}))</f>
        <v>0</v>
      </c>
      <c r="S11" s="64"/>
      <c r="T11" s="97" t="s">
        <v>1007</v>
      </c>
      <c r="U11" s="94">
        <f>SUM(SUMIFS('caseload data'!E:E,'caseload data'!$D:$D,"PSO",'caseload data'!$C:$C,'community caseload'!$T$8,'caseload data'!$B:$B,{"licence","community"}))</f>
        <v>0</v>
      </c>
      <c r="V11" s="94"/>
      <c r="W11" s="94"/>
      <c r="X11" s="94"/>
      <c r="Y11" s="94"/>
      <c r="Z11" s="94"/>
      <c r="AA11" s="94"/>
      <c r="AB11" s="94"/>
      <c r="AC11" s="94"/>
      <c r="AD11" s="94"/>
      <c r="AE11" s="94">
        <f>SUM(SUMIFS('caseload data'!J:J,'caseload data'!$D:$D,"PSO",'caseload data'!$C:$C,'community caseload'!$T$8,'caseload data'!$B:$B,{"licence","community"}))</f>
        <v>0</v>
      </c>
      <c r="AF11" s="94">
        <f>SUM(SUMIFS('caseload data'!K:K,'caseload data'!$D:$D,"PSO",'caseload data'!$C:$C,'community caseload'!$T$8,'caseload data'!$B:$B,{"licence","community"}))</f>
        <v>0</v>
      </c>
      <c r="AG11" s="94">
        <f>SUM(SUMIFS('caseload data'!N:N,'caseload data'!$D:$D,"PSO",'caseload data'!$C:$C,'community caseload'!$T$8,'caseload data'!$B:$B,{"licence","community"}))</f>
        <v>0</v>
      </c>
      <c r="AH11" s="94">
        <f>SUM(SUMIFS('caseload data'!O:O,'caseload data'!$D:$D,"PSO",'caseload data'!$C:$C,'community caseload'!$T$8,'caseload data'!$B:$B,{"licence","community"}))</f>
        <v>0</v>
      </c>
      <c r="AI11" s="94">
        <f>SUM(SUMIFS('caseload data'!R:R,'caseload data'!$D:$D,"PSO",'caseload data'!$C:$C,'community caseload'!$T$8,'caseload data'!$B:$B,{"licence","community"}))</f>
        <v>0</v>
      </c>
      <c r="AJ11" s="94">
        <f>SUM(SUMIFS('caseload data'!S:S,'caseload data'!$D:$D,"PSO",'caseload data'!$C:$C,'community caseload'!$T$8,'caseload data'!$B:$B,{"licence","community"}))</f>
        <v>0</v>
      </c>
    </row>
    <row r="12" spans="1:50" x14ac:dyDescent="0.15">
      <c r="B12" s="97" t="s">
        <v>1008</v>
      </c>
      <c r="C12" s="94">
        <f>SUM(SUMIFS('caseload data'!E:E,'caseload data'!$D:$D,"TPO",'caseload data'!$C:$C,'community caseload'!$B$8,'caseload data'!$B:$B,{"licence","community"}))</f>
        <v>0</v>
      </c>
      <c r="D12" s="94">
        <f>SUM(SUMIFS('caseload data'!F:F,'caseload data'!$D:$D,"TPO",'caseload data'!$C:$C,'community caseload'!$B$8,'caseload data'!$B:$B,{"licence","community"}))</f>
        <v>0</v>
      </c>
      <c r="E12" s="94">
        <f>SUM(SUMIFS('caseload data'!G:G,'caseload data'!$D:$D,"TPO",'caseload data'!$C:$C,'community caseload'!$B$8,'caseload data'!$B:$B,{"licence","community"}))</f>
        <v>0</v>
      </c>
      <c r="F12" s="94">
        <f>SUM(SUMIFS('caseload data'!H:H,'caseload data'!$D:$D,"TPO",'caseload data'!$C:$C,'community caseload'!$B$8,'caseload data'!$B:$B,{"licence","community"}))</f>
        <v>0</v>
      </c>
      <c r="G12" s="94">
        <f>SUM(SUMIFS('caseload data'!I:I,'caseload data'!$D:$D,"TPO",'caseload data'!$C:$C,'community caseload'!$B$8,'caseload data'!$B:$B,{"licence","community"}))</f>
        <v>0</v>
      </c>
      <c r="H12" s="94">
        <f>SUM(SUMIFS('caseload data'!J:J,'caseload data'!$D:$D,"TPO",'caseload data'!$C:$C,'community caseload'!$B$8,'caseload data'!$B:$B,{"licence","community"}))</f>
        <v>0</v>
      </c>
      <c r="I12" s="94">
        <f>SUM(SUMIFS('caseload data'!K:K,'caseload data'!$D:$D,"TPO",'caseload data'!$C:$C,'community caseload'!$B$8,'caseload data'!$B:$B,{"licence","community"}))</f>
        <v>0</v>
      </c>
      <c r="J12" s="94">
        <f>SUM(SUMIFS('caseload data'!L:L,'caseload data'!$D:$D,"TPO",'caseload data'!$C:$C,'community caseload'!$B$8,'caseload data'!$B:$B,{"licence","community"}))</f>
        <v>0</v>
      </c>
      <c r="K12" s="94">
        <f>SUM(SUMIFS('caseload data'!M:M,'caseload data'!$D:$D,"TPO",'caseload data'!$C:$C,'community caseload'!$B$8,'caseload data'!$B:$B,{"licence","community"}))</f>
        <v>0</v>
      </c>
      <c r="L12" s="94">
        <f>SUM(SUMIFS('caseload data'!N:N,'caseload data'!$D:$D,"TPO",'caseload data'!$C:$C,'community caseload'!$B$8,'caseload data'!$B:$B,{"licence","community"}))</f>
        <v>0</v>
      </c>
      <c r="M12" s="94">
        <f>SUM(SUMIFS('caseload data'!O:O,'caseload data'!$D:$D,"TPO",'caseload data'!$C:$C,'community caseload'!$B$8,'caseload data'!$B:$B,{"licence","community"}))</f>
        <v>0</v>
      </c>
      <c r="N12" s="94">
        <f>SUM(SUMIFS('caseload data'!P:P,'caseload data'!$D:$D,"TPO",'caseload data'!$C:$C,'community caseload'!$B$8,'caseload data'!$B:$B,{"licence","community"}))</f>
        <v>0</v>
      </c>
      <c r="O12" s="94">
        <f>SUM(SUMIFS('caseload data'!Q:Q,'caseload data'!$D:$D,"TPO",'caseload data'!$C:$C,'community caseload'!$B$8,'caseload data'!$B:$B,{"licence","community"}))</f>
        <v>0</v>
      </c>
      <c r="P12" s="94">
        <f>SUM(SUMIFS('caseload data'!R:R,'caseload data'!$D:$D,"TPO",'caseload data'!$C:$C,'community caseload'!$B$8,'caseload data'!$B:$B,{"licence","community"}))</f>
        <v>0</v>
      </c>
      <c r="Q12" s="94">
        <f>SUM(SUMIFS('caseload data'!S:S,'caseload data'!$D:$D,"TPO",'caseload data'!$C:$C,'community caseload'!$B$8,'caseload data'!$B:$B,{"licence","community"}))</f>
        <v>0</v>
      </c>
      <c r="R12" s="94">
        <f>SUM(SUMIFS('caseload data'!T:T,'caseload data'!$D:$D,"TPO",'caseload data'!$C:$C,'community caseload'!$B$8,'caseload data'!$B:$B,{"licence","community"}))</f>
        <v>0</v>
      </c>
      <c r="S12" s="64"/>
      <c r="T12" s="97" t="s">
        <v>1008</v>
      </c>
      <c r="U12" s="94">
        <f>SUM(SUMIFS('caseload data'!E:E,'caseload data'!$D:$D,"TPO",'caseload data'!$C:$C,'community caseload'!$T$8,'caseload data'!$B:$B,{"licence","community"}))</f>
        <v>0</v>
      </c>
      <c r="V12" s="94"/>
      <c r="W12" s="94"/>
      <c r="X12" s="94"/>
      <c r="Y12" s="94"/>
      <c r="Z12" s="94"/>
      <c r="AA12" s="94"/>
      <c r="AB12" s="94"/>
      <c r="AC12" s="94"/>
      <c r="AD12" s="94"/>
      <c r="AE12" s="94">
        <f>SUM(SUMIFS('caseload data'!J:J,'caseload data'!$D:$D,"TPO",'caseload data'!$C:$C,'community caseload'!$T$8,'caseload data'!$B:$B,{"licence","community"}))</f>
        <v>0</v>
      </c>
      <c r="AF12" s="94">
        <f>SUM(SUMIFS('caseload data'!K:K,'caseload data'!$D:$D,"TPO",'caseload data'!$C:$C,'community caseload'!$T$8,'caseload data'!$B:$B,{"licence","community"}))</f>
        <v>0</v>
      </c>
      <c r="AG12" s="94">
        <f>SUM(SUMIFS('caseload data'!N:N,'caseload data'!$D:$D,"TPO",'caseload data'!$C:$C,'community caseload'!$T$8,'caseload data'!$B:$B,{"licence","community"}))</f>
        <v>0</v>
      </c>
      <c r="AH12" s="94">
        <f>SUM(SUMIFS('caseload data'!O:O,'caseload data'!$D:$D,"TPO",'caseload data'!$C:$C,'community caseload'!$T$8,'caseload data'!$B:$B,{"licence","community"}))</f>
        <v>0</v>
      </c>
      <c r="AI12" s="94">
        <f>SUM(SUMIFS('caseload data'!R:R,'caseload data'!$D:$D,"TPO",'caseload data'!$C:$C,'community caseload'!$T$8,'caseload data'!$B:$B,{"licence","community"}))</f>
        <v>0</v>
      </c>
      <c r="AJ12" s="94">
        <f>SUM(SUMIFS('caseload data'!S:S,'caseload data'!$D:$D,"TPO",'caseload data'!$C:$C,'community caseload'!$T$8,'caseload data'!$B:$B,{"licence","community"}))</f>
        <v>0</v>
      </c>
    </row>
    <row r="13" spans="1:50" x14ac:dyDescent="0.15">
      <c r="B13" s="98" t="s">
        <v>1009</v>
      </c>
      <c r="C13" s="94">
        <f>SUM(SUMIFS('caseload data'!E:E,'caseload data'!$D:$D,"SPO",'caseload data'!$C:$C,'community caseload'!$B$8,'caseload data'!$B:$B,{"licence","community"}))</f>
        <v>0</v>
      </c>
      <c r="D13" s="94">
        <f>SUM(SUMIFS('caseload data'!F:F,'caseload data'!$D:$D,"SPO",'caseload data'!$C:$C,'community caseload'!$B$8,'caseload data'!$B:$B,{"licence","community"}))</f>
        <v>0</v>
      </c>
      <c r="E13" s="94">
        <f>SUM(SUMIFS('caseload data'!G:G,'caseload data'!$D:$D,"SPO",'caseload data'!$C:$C,'community caseload'!$B$8,'caseload data'!$B:$B,{"licence","community"}))</f>
        <v>0</v>
      </c>
      <c r="F13" s="94">
        <f>SUM(SUMIFS('caseload data'!H:H,'caseload data'!$D:$D,"SPO",'caseload data'!$C:$C,'community caseload'!$B$8,'caseload data'!$B:$B,{"licence","community"}))</f>
        <v>0</v>
      </c>
      <c r="G13" s="94">
        <f>SUM(SUMIFS('caseload data'!I:I,'caseload data'!$D:$D,"SPO",'caseload data'!$C:$C,'community caseload'!$B$8,'caseload data'!$B:$B,{"licence","community"}))</f>
        <v>0</v>
      </c>
      <c r="H13" s="94">
        <f>SUM(SUMIFS('caseload data'!J:J,'caseload data'!$D:$D,"SPO",'caseload data'!$C:$C,'community caseload'!$B$8,'caseload data'!$B:$B,{"licence","community"}))</f>
        <v>0</v>
      </c>
      <c r="I13" s="94">
        <f>SUM(SUMIFS('caseload data'!K:K,'caseload data'!$D:$D,"SPO",'caseload data'!$C:$C,'community caseload'!$B$8,'caseload data'!$B:$B,{"licence","community"}))</f>
        <v>0</v>
      </c>
      <c r="J13" s="94">
        <f>SUM(SUMIFS('caseload data'!L:L,'caseload data'!$D:$D,"SPO",'caseload data'!$C:$C,'community caseload'!$B$8,'caseload data'!$B:$B,{"licence","community"}))</f>
        <v>0</v>
      </c>
      <c r="K13" s="94">
        <f>SUM(SUMIFS('caseload data'!M:M,'caseload data'!$D:$D,"SPO",'caseload data'!$C:$C,'community caseload'!$B$8,'caseload data'!$B:$B,{"licence","community"}))</f>
        <v>0</v>
      </c>
      <c r="L13" s="94">
        <f>SUM(SUMIFS('caseload data'!N:N,'caseload data'!$D:$D,"SPO",'caseload data'!$C:$C,'community caseload'!$B$8,'caseload data'!$B:$B,{"licence","community"}))</f>
        <v>0</v>
      </c>
      <c r="M13" s="94">
        <f>SUM(SUMIFS('caseload data'!O:O,'caseload data'!$D:$D,"SPO",'caseload data'!$C:$C,'community caseload'!$B$8,'caseload data'!$B:$B,{"licence","community"}))</f>
        <v>0</v>
      </c>
      <c r="N13" s="94">
        <f>SUM(SUMIFS('caseload data'!P:P,'caseload data'!$D:$D,"SPO",'caseload data'!$C:$C,'community caseload'!$B$8,'caseload data'!$B:$B,{"licence","community"}))</f>
        <v>0</v>
      </c>
      <c r="O13" s="94">
        <f>SUM(SUMIFS('caseload data'!Q:Q,'caseload data'!$D:$D,"SPO",'caseload data'!$C:$C,'community caseload'!$B$8,'caseload data'!$B:$B,{"licence","community"}))</f>
        <v>0</v>
      </c>
      <c r="P13" s="94">
        <f>SUM(SUMIFS('caseload data'!R:R,'caseload data'!$D:$D,"SPO",'caseload data'!$C:$C,'community caseload'!$B$8,'caseload data'!$B:$B,{"licence","community"}))</f>
        <v>0</v>
      </c>
      <c r="Q13" s="94">
        <f>SUM(SUMIFS('caseload data'!S:S,'caseload data'!$D:$D,"SPO",'caseload data'!$C:$C,'community caseload'!$B$8,'caseload data'!$B:$B,{"licence","community"}))</f>
        <v>0</v>
      </c>
      <c r="R13" s="94">
        <f>SUM(SUMIFS('caseload data'!T:T,'caseload data'!$D:$D,"SPO",'caseload data'!$C:$C,'community caseload'!$B$8,'caseload data'!$B:$B,{"licence","community"}))</f>
        <v>0</v>
      </c>
      <c r="S13" s="64"/>
      <c r="T13" s="98" t="s">
        <v>1009</v>
      </c>
      <c r="U13" s="94">
        <f>SUM(SUMIFS('caseload data'!E:E,'caseload data'!$D:$D,"SPO",'caseload data'!$C:$C,'community caseload'!$T$8,'caseload data'!$B:$B,{"licence","community"}))</f>
        <v>0</v>
      </c>
      <c r="V13" s="94"/>
      <c r="W13" s="94"/>
      <c r="X13" s="94"/>
      <c r="Y13" s="94"/>
      <c r="Z13" s="94"/>
      <c r="AA13" s="94"/>
      <c r="AB13" s="94"/>
      <c r="AC13" s="94"/>
      <c r="AD13" s="94"/>
      <c r="AE13" s="94">
        <f>SUM(SUMIFS('caseload data'!J:J,'caseload data'!$D:$D,"SPO",'caseload data'!$C:$C,'community caseload'!$T$8,'caseload data'!$B:$B,{"licence","community"}))</f>
        <v>0</v>
      </c>
      <c r="AF13" s="94">
        <f>SUM(SUMIFS('caseload data'!K:K,'caseload data'!$D:$D,"SPO",'caseload data'!$C:$C,'community caseload'!$T$8,'caseload data'!$B:$B,{"licence","community"}))</f>
        <v>0</v>
      </c>
      <c r="AG13" s="94">
        <f>SUM(SUMIFS('caseload data'!N:N,'caseload data'!$D:$D,"SPO",'caseload data'!$C:$C,'community caseload'!$T$8,'caseload data'!$B:$B,{"licence","community"}))</f>
        <v>0</v>
      </c>
      <c r="AH13" s="94">
        <f>SUM(SUMIFS('caseload data'!O:O,'caseload data'!$D:$D,"SPO",'caseload data'!$C:$C,'community caseload'!$T$8,'caseload data'!$B:$B,{"licence","community"}))</f>
        <v>0</v>
      </c>
      <c r="AI13" s="94">
        <f>SUM(SUMIFS('caseload data'!R:R,'caseload data'!$D:$D,"SPO",'caseload data'!$C:$C,'community caseload'!$T$8,'caseload data'!$B:$B,{"licence","community"}))</f>
        <v>0</v>
      </c>
      <c r="AJ13" s="94">
        <f>SUM(SUMIFS('caseload data'!S:S,'caseload data'!$D:$D,"SPO",'caseload data'!$C:$C,'community caseload'!$T$8,'caseload data'!$B:$B,{"licence","community"}))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4.5" customHeight="1" x14ac:dyDescent="0.15">
      <c r="B15" s="289" t="str">
        <f>HLOOKUP($B$5,Region_Table,4,0)</f>
        <v>Derbyshire - N53</v>
      </c>
      <c r="C15" s="507" t="s">
        <v>1135</v>
      </c>
      <c r="D15" s="508"/>
      <c r="E15" s="508"/>
      <c r="F15" s="508"/>
      <c r="G15" s="508"/>
      <c r="H15" s="508"/>
      <c r="I15" s="508"/>
      <c r="J15" s="508"/>
      <c r="K15" s="508"/>
      <c r="L15" s="508"/>
      <c r="M15" s="537"/>
      <c r="N15" s="537"/>
      <c r="O15" s="538"/>
      <c r="P15" s="510" cm="1">
        <f t="array" ref="P15">SUM(SUMIFS('caseload data'!V:V,'caseload data'!B:B,{"licence","community"},'caseload data'!$C:$C,'community caseload'!B15))</f>
        <v>0</v>
      </c>
      <c r="Q15" s="527"/>
      <c r="R15" s="528"/>
      <c r="S15" s="291"/>
      <c r="T15" s="289" t="str">
        <f>HLOOKUP($B$5,Region_Table,5,0)</f>
        <v>Leicester, Leicestershire and Rutland</v>
      </c>
      <c r="U15" s="507" t="s">
        <v>1135</v>
      </c>
      <c r="V15" s="508"/>
      <c r="W15" s="508"/>
      <c r="X15" s="508"/>
      <c r="Y15" s="508"/>
      <c r="Z15" s="508"/>
      <c r="AA15" s="508"/>
      <c r="AB15" s="508"/>
      <c r="AC15" s="508"/>
      <c r="AD15" s="508"/>
      <c r="AE15" s="537"/>
      <c r="AF15" s="537"/>
      <c r="AG15" s="538"/>
      <c r="AH15" s="510" cm="1">
        <f t="array" ref="AH15">SUM(SUMIFS('caseload data'!V:V,'caseload data'!B:B,{"licence","community"},'caseload data'!$C:$C,'community caseload'!T15))</f>
        <v>0</v>
      </c>
      <c r="AI15" s="527"/>
      <c r="AJ15" s="528"/>
    </row>
    <row r="16" spans="1:50" x14ac:dyDescent="0.15">
      <c r="B16" s="95" t="s">
        <v>1005</v>
      </c>
      <c r="C16" s="38" t="s">
        <v>869</v>
      </c>
      <c r="D16" s="38" t="s">
        <v>870</v>
      </c>
      <c r="E16" s="38" t="s">
        <v>871</v>
      </c>
      <c r="F16" s="38" t="s">
        <v>872</v>
      </c>
      <c r="G16" s="38" t="s">
        <v>873</v>
      </c>
      <c r="H16" s="38" t="s">
        <v>874</v>
      </c>
      <c r="I16" s="38" t="s">
        <v>875</v>
      </c>
      <c r="J16" s="38" t="s">
        <v>876</v>
      </c>
      <c r="K16" s="38" t="s">
        <v>877</v>
      </c>
      <c r="L16" s="38" t="s">
        <v>878</v>
      </c>
      <c r="M16" s="38" t="s">
        <v>879</v>
      </c>
      <c r="N16" s="38" t="s">
        <v>880</v>
      </c>
      <c r="O16" s="38" t="s">
        <v>881</v>
      </c>
      <c r="P16" s="38" t="s">
        <v>882</v>
      </c>
      <c r="Q16" s="38" t="s">
        <v>883</v>
      </c>
      <c r="R16" s="38" t="s">
        <v>884</v>
      </c>
      <c r="S16" s="64"/>
      <c r="T16" s="95" t="s">
        <v>1005</v>
      </c>
      <c r="U16" s="38" t="s">
        <v>869</v>
      </c>
      <c r="V16" s="38" t="s">
        <v>870</v>
      </c>
      <c r="W16" s="38" t="s">
        <v>871</v>
      </c>
      <c r="X16" s="38" t="s">
        <v>872</v>
      </c>
      <c r="Y16" s="38" t="s">
        <v>873</v>
      </c>
      <c r="Z16" s="38" t="s">
        <v>874</v>
      </c>
      <c r="AA16" s="38" t="s">
        <v>875</v>
      </c>
      <c r="AB16" s="38" t="s">
        <v>876</v>
      </c>
      <c r="AC16" s="38" t="s">
        <v>877</v>
      </c>
      <c r="AD16" s="38" t="s">
        <v>878</v>
      </c>
      <c r="AE16" s="38" t="s">
        <v>879</v>
      </c>
      <c r="AF16" s="38" t="s">
        <v>880</v>
      </c>
      <c r="AG16" s="38" t="s">
        <v>881</v>
      </c>
      <c r="AH16" s="38" t="s">
        <v>882</v>
      </c>
      <c r="AI16" s="38" t="s">
        <v>883</v>
      </c>
      <c r="AJ16" s="38" t="s">
        <v>884</v>
      </c>
    </row>
    <row r="17" spans="2:36" x14ac:dyDescent="0.15">
      <c r="B17" s="96" t="s">
        <v>1002</v>
      </c>
      <c r="C17" s="94">
        <f>SUM(SUMIFS('caseload data'!E:E,'caseload data'!$D:$D,"PO",'caseload data'!$C:$C,'community caseload'!$B$15,'caseload data'!$B:$B,{"licence","community"}))</f>
        <v>0</v>
      </c>
      <c r="D17" s="94">
        <f>SUM(SUMIFS('caseload data'!F:F,'caseload data'!$D:$D,"PO",'caseload data'!$C:$C,'community caseload'!$B$15,'caseload data'!$B:$B,{"licence","community"}))</f>
        <v>0</v>
      </c>
      <c r="E17" s="94">
        <f>SUM(SUMIFS('caseload data'!G:G,'caseload data'!$D:$D,"PO",'caseload data'!$C:$C,'community caseload'!$B$15,'caseload data'!$B:$B,{"licence","community"}))</f>
        <v>0</v>
      </c>
      <c r="F17" s="94">
        <f>SUM(SUMIFS('caseload data'!H:H,'caseload data'!$D:$D,"PO",'caseload data'!$C:$C,'community caseload'!$B$15,'caseload data'!$B:$B,{"licence","community"}))</f>
        <v>0</v>
      </c>
      <c r="G17" s="94">
        <f>SUM(SUMIFS('caseload data'!I:I,'caseload data'!$D:$D,"PO",'caseload data'!$C:$C,'community caseload'!$B$15,'caseload data'!$B:$B,{"licence","community"}))</f>
        <v>0</v>
      </c>
      <c r="H17" s="94">
        <f>SUM(SUMIFS('caseload data'!J:J,'caseload data'!$D:$D,"PO",'caseload data'!$C:$C,'community caseload'!$B$15,'caseload data'!$B:$B,{"licence","community"}))</f>
        <v>0</v>
      </c>
      <c r="I17" s="94">
        <f>SUM(SUMIFS('caseload data'!K:K,'caseload data'!$D:$D,"PO",'caseload data'!$C:$C,'community caseload'!$B$15,'caseload data'!$B:$B,{"licence","community"}))</f>
        <v>0</v>
      </c>
      <c r="J17" s="94">
        <f>SUM(SUMIFS('caseload data'!L:L,'caseload data'!$D:$D,"PO",'caseload data'!$C:$C,'community caseload'!$B$15,'caseload data'!$B:$B,{"licence","community"}))</f>
        <v>0</v>
      </c>
      <c r="K17" s="94">
        <f>SUM(SUMIFS('caseload data'!M:M,'caseload data'!$D:$D,"PO",'caseload data'!$C:$C,'community caseload'!$B$15,'caseload data'!$B:$B,{"licence","community"}))</f>
        <v>0</v>
      </c>
      <c r="L17" s="94">
        <f>SUM(SUMIFS('caseload data'!N:N,'caseload data'!$D:$D,"PO",'caseload data'!$C:$C,'community caseload'!$B$15,'caseload data'!$B:$B,{"licence","community"}))</f>
        <v>0</v>
      </c>
      <c r="M17" s="94">
        <f>SUM(SUMIFS('caseload data'!O:O,'caseload data'!$D:$D,"PO",'caseload data'!$C:$C,'community caseload'!$B$15,'caseload data'!$B:$B,{"licence","community"}))</f>
        <v>0</v>
      </c>
      <c r="N17" s="94">
        <f>SUM(SUMIFS('caseload data'!P:P,'caseload data'!$D:$D,"PO",'caseload data'!$C:$C,'community caseload'!$B$15,'caseload data'!$B:$B,{"licence","community"}))</f>
        <v>0</v>
      </c>
      <c r="O17" s="94">
        <f>SUM(SUMIFS('caseload data'!Q:Q,'caseload data'!$D:$D,"PO",'caseload data'!$C:$C,'community caseload'!$B$15,'caseload data'!$B:$B,{"licence","community"}))</f>
        <v>0</v>
      </c>
      <c r="P17" s="94">
        <f>SUM(SUMIFS('caseload data'!R:R,'caseload data'!$D:$D,"PO",'caseload data'!$C:$C,'community caseload'!$B$15,'caseload data'!$B:$B,{"licence","community"}))</f>
        <v>0</v>
      </c>
      <c r="Q17" s="94">
        <f>SUM(SUMIFS('caseload data'!S:S,'caseload data'!$D:$D,"PO",'caseload data'!$C:$C,'community caseload'!$B$15,'caseload data'!$B:$B,{"licence","community"}))</f>
        <v>0</v>
      </c>
      <c r="R17" s="94">
        <f>SUM(SUMIFS('caseload data'!T:T,'caseload data'!$D:$D,"PO",'caseload data'!$C:$C,'community caseload'!$B$15,'caseload data'!$B:$B,{"licence","community"}))</f>
        <v>0</v>
      </c>
      <c r="S17" s="64"/>
      <c r="T17" s="96" t="s">
        <v>1002</v>
      </c>
      <c r="U17" s="94">
        <f>SUM(SUMIFS('caseload data'!E:E,'caseload data'!$D:$D,"PO",'caseload data'!$C:$C,'community caseload'!$T$15,'caseload data'!$B:$B,{"licence","community"}))</f>
        <v>0</v>
      </c>
      <c r="V17" s="94"/>
      <c r="W17" s="94"/>
      <c r="X17" s="94"/>
      <c r="Y17" s="94"/>
      <c r="Z17" s="94"/>
      <c r="AA17" s="94"/>
      <c r="AB17" s="94"/>
      <c r="AC17" s="94"/>
      <c r="AD17" s="94"/>
      <c r="AE17" s="94">
        <f>SUM(SUMIFS('caseload data'!J:J,'caseload data'!$D:$D,"PO",'caseload data'!$C:$C,'community caseload'!$T$15,'caseload data'!$B:$B,{"licence","community"}))</f>
        <v>0</v>
      </c>
      <c r="AF17" s="94">
        <f>SUM(SUMIFS('caseload data'!K:K,'caseload data'!$D:$D,"PO",'caseload data'!$C:$C,'community caseload'!$T$15,'caseload data'!$B:$B,{"licence","community"}))</f>
        <v>0</v>
      </c>
      <c r="AG17" s="94">
        <f>SUM(SUMIFS('caseload data'!N:N,'caseload data'!$D:$D,"PO",'caseload data'!$C:$C,'community caseload'!$T$15,'caseload data'!$B:$B,{"licence","community"}))</f>
        <v>0</v>
      </c>
      <c r="AH17" s="94">
        <f>SUM(SUMIFS('caseload data'!O:O,'caseload data'!$D:$D,"PO",'caseload data'!$C:$C,'community caseload'!$T$15,'caseload data'!$B:$B,{"licence","community"}))</f>
        <v>0</v>
      </c>
      <c r="AI17" s="94">
        <f>SUM(SUMIFS('caseload data'!R:R,'caseload data'!$D:$D,"PO",'caseload data'!$C:$C,'community caseload'!$T$15,'caseload data'!$B:$B,{"licence","community"}))</f>
        <v>0</v>
      </c>
      <c r="AJ17" s="94">
        <f>SUM(SUMIFS('caseload data'!S:S,'caseload data'!$D:$D,"PO",'caseload data'!$C:$C,'community caseload'!$T$15,'caseload data'!$B:$B,{"licence","community"}))</f>
        <v>0</v>
      </c>
    </row>
    <row r="18" spans="2:36" x14ac:dyDescent="0.15">
      <c r="B18" s="97" t="s">
        <v>1007</v>
      </c>
      <c r="C18" s="94">
        <f>SUM(SUMIFS('caseload data'!E:E,'caseload data'!$D:$D,"PSO",'caseload data'!$C:$C,'community caseload'!$B$15,'caseload data'!$B:$B,{"licence","community"}))</f>
        <v>0</v>
      </c>
      <c r="D18" s="94">
        <f>SUM(SUMIFS('caseload data'!F:F,'caseload data'!$D:$D,"PSO",'caseload data'!$C:$C,'community caseload'!$B$15,'caseload data'!$B:$B,{"licence","community"}))</f>
        <v>0</v>
      </c>
      <c r="E18" s="94">
        <f>SUM(SUMIFS('caseload data'!G:G,'caseload data'!$D:$D,"PSO",'caseload data'!$C:$C,'community caseload'!$B$15,'caseload data'!$B:$B,{"licence","community"}))</f>
        <v>0</v>
      </c>
      <c r="F18" s="94">
        <f>SUM(SUMIFS('caseload data'!H:H,'caseload data'!$D:$D,"PSO",'caseload data'!$C:$C,'community caseload'!$B$15,'caseload data'!$B:$B,{"licence","community"}))</f>
        <v>0</v>
      </c>
      <c r="G18" s="94">
        <f>SUM(SUMIFS('caseload data'!I:I,'caseload data'!$D:$D,"PSO",'caseload data'!$C:$C,'community caseload'!$B$15,'caseload data'!$B:$B,{"licence","community"}))</f>
        <v>0</v>
      </c>
      <c r="H18" s="94">
        <f>SUM(SUMIFS('caseload data'!J:J,'caseload data'!$D:$D,"PSO",'caseload data'!$C:$C,'community caseload'!$B$15,'caseload data'!$B:$B,{"licence","community"}))</f>
        <v>0</v>
      </c>
      <c r="I18" s="94">
        <f>SUM(SUMIFS('caseload data'!K:K,'caseload data'!$D:$D,"PSO",'caseload data'!$C:$C,'community caseload'!$B$15,'caseload data'!$B:$B,{"licence","community"}))</f>
        <v>0</v>
      </c>
      <c r="J18" s="94">
        <f>SUM(SUMIFS('caseload data'!L:L,'caseload data'!$D:$D,"PSO",'caseload data'!$C:$C,'community caseload'!$B$15,'caseload data'!$B:$B,{"licence","community"}))</f>
        <v>0</v>
      </c>
      <c r="K18" s="94">
        <f>SUM(SUMIFS('caseload data'!M:M,'caseload data'!$D:$D,"PSO",'caseload data'!$C:$C,'community caseload'!$B$15,'caseload data'!$B:$B,{"licence","community"}))</f>
        <v>0</v>
      </c>
      <c r="L18" s="94">
        <f>SUM(SUMIFS('caseload data'!N:N,'caseload data'!$D:$D,"PSO",'caseload data'!$C:$C,'community caseload'!$B$15,'caseload data'!$B:$B,{"licence","community"}))</f>
        <v>0</v>
      </c>
      <c r="M18" s="94">
        <f>SUM(SUMIFS('caseload data'!O:O,'caseload data'!$D:$D,"PSO",'caseload data'!$C:$C,'community caseload'!$B$15,'caseload data'!$B:$B,{"licence","community"}))</f>
        <v>0</v>
      </c>
      <c r="N18" s="94">
        <f>SUM(SUMIFS('caseload data'!P:P,'caseload data'!$D:$D,"PSO",'caseload data'!$C:$C,'community caseload'!$B$15,'caseload data'!$B:$B,{"licence","community"}))</f>
        <v>0</v>
      </c>
      <c r="O18" s="94">
        <f>SUM(SUMIFS('caseload data'!Q:Q,'caseload data'!$D:$D,"PSO",'caseload data'!$C:$C,'community caseload'!$B$15,'caseload data'!$B:$B,{"licence","community"}))</f>
        <v>0</v>
      </c>
      <c r="P18" s="94">
        <f>SUM(SUMIFS('caseload data'!R:R,'caseload data'!$D:$D,"PSO",'caseload data'!$C:$C,'community caseload'!$B$15,'caseload data'!$B:$B,{"licence","community"}))</f>
        <v>0</v>
      </c>
      <c r="Q18" s="94">
        <f>SUM(SUMIFS('caseload data'!S:S,'caseload data'!$D:$D,"PSO",'caseload data'!$C:$C,'community caseload'!$B$15,'caseload data'!$B:$B,{"licence","community"}))</f>
        <v>0</v>
      </c>
      <c r="R18" s="94">
        <f>SUM(SUMIFS('caseload data'!T:T,'caseload data'!$D:$D,"PSO",'caseload data'!$C:$C,'community caseload'!$B$15,'caseload data'!$B:$B,{"licence","community"}))</f>
        <v>0</v>
      </c>
      <c r="S18" s="64"/>
      <c r="T18" s="97" t="s">
        <v>1007</v>
      </c>
      <c r="U18" s="94">
        <f>SUM(SUMIFS('caseload data'!E:E,'caseload data'!$D:$D,"PSO",'caseload data'!$C:$C,'community caseload'!$T$15,'caseload data'!$B:$B,{"licence","community"}))</f>
        <v>0</v>
      </c>
      <c r="V18" s="94"/>
      <c r="W18" s="94"/>
      <c r="X18" s="94"/>
      <c r="Y18" s="94"/>
      <c r="Z18" s="94"/>
      <c r="AA18" s="94"/>
      <c r="AB18" s="94"/>
      <c r="AC18" s="94"/>
      <c r="AD18" s="94"/>
      <c r="AE18" s="94">
        <f>SUM(SUMIFS('caseload data'!J:J,'caseload data'!$D:$D,"PSO",'caseload data'!$C:$C,'community caseload'!$T$15,'caseload data'!$B:$B,{"licence","community"}))</f>
        <v>0</v>
      </c>
      <c r="AF18" s="94">
        <f>SUM(SUMIFS('caseload data'!K:K,'caseload data'!$D:$D,"PSO",'caseload data'!$C:$C,'community caseload'!$T$15,'caseload data'!$B:$B,{"licence","community"}))</f>
        <v>0</v>
      </c>
      <c r="AG18" s="94">
        <f>SUM(SUMIFS('caseload data'!N:N,'caseload data'!$D:$D,"PSO",'caseload data'!$C:$C,'community caseload'!$T$15,'caseload data'!$B:$B,{"licence","community"}))</f>
        <v>0</v>
      </c>
      <c r="AH18" s="94">
        <f>SUM(SUMIFS('caseload data'!O:O,'caseload data'!$D:$D,"PSO",'caseload data'!$C:$C,'community caseload'!$T$15,'caseload data'!$B:$B,{"licence","community"}))</f>
        <v>0</v>
      </c>
      <c r="AI18" s="94">
        <f>SUM(SUMIFS('caseload data'!R:R,'caseload data'!$D:$D,"PSO",'caseload data'!$C:$C,'community caseload'!$T$15,'caseload data'!$B:$B,{"licence","community"}))</f>
        <v>0</v>
      </c>
      <c r="AJ18" s="94">
        <f>SUM(SUMIFS('caseload data'!S:S,'caseload data'!$D:$D,"PSO",'caseload data'!$C:$C,'community caseload'!$T$15,'caseload data'!$B:$B,{"licence","community"}))</f>
        <v>0</v>
      </c>
    </row>
    <row r="19" spans="2:36" x14ac:dyDescent="0.15">
      <c r="B19" s="97" t="s">
        <v>1008</v>
      </c>
      <c r="C19" s="94">
        <f>SUM(SUMIFS('caseload data'!E:E,'caseload data'!$D:$D,"TPO",'caseload data'!$C:$C,'community caseload'!$B$15,'caseload data'!$B:$B,{"licence","community"}))</f>
        <v>0</v>
      </c>
      <c r="D19" s="94">
        <f>SUM(SUMIFS('caseload data'!F:F,'caseload data'!$D:$D,"TPO",'caseload data'!$C:$C,'community caseload'!$B$15,'caseload data'!$B:$B,{"licence","community"}))</f>
        <v>0</v>
      </c>
      <c r="E19" s="94">
        <f>SUM(SUMIFS('caseload data'!G:G,'caseload data'!$D:$D,"TPO",'caseload data'!$C:$C,'community caseload'!$B$15,'caseload data'!$B:$B,{"licence","community"}))</f>
        <v>0</v>
      </c>
      <c r="F19" s="94">
        <f>SUM(SUMIFS('caseload data'!H:H,'caseload data'!$D:$D,"TPO",'caseload data'!$C:$C,'community caseload'!$B$15,'caseload data'!$B:$B,{"licence","community"}))</f>
        <v>0</v>
      </c>
      <c r="G19" s="94">
        <f>SUM(SUMIFS('caseload data'!I:I,'caseload data'!$D:$D,"TPO",'caseload data'!$C:$C,'community caseload'!$B$15,'caseload data'!$B:$B,{"licence","community"}))</f>
        <v>0</v>
      </c>
      <c r="H19" s="94">
        <f>SUM(SUMIFS('caseload data'!J:J,'caseload data'!$D:$D,"TPO",'caseload data'!$C:$C,'community caseload'!$B$15,'caseload data'!$B:$B,{"licence","community"}))</f>
        <v>0</v>
      </c>
      <c r="I19" s="94">
        <f>SUM(SUMIFS('caseload data'!K:K,'caseload data'!$D:$D,"TPO",'caseload data'!$C:$C,'community caseload'!$B$15,'caseload data'!$B:$B,{"licence","community"}))</f>
        <v>0</v>
      </c>
      <c r="J19" s="94">
        <f>SUM(SUMIFS('caseload data'!L:L,'caseload data'!$D:$D,"TPO",'caseload data'!$C:$C,'community caseload'!$B$15,'caseload data'!$B:$B,{"licence","community"}))</f>
        <v>0</v>
      </c>
      <c r="K19" s="94">
        <f>SUM(SUMIFS('caseload data'!M:M,'caseload data'!$D:$D,"TPO",'caseload data'!$C:$C,'community caseload'!$B$15,'caseload data'!$B:$B,{"licence","community"}))</f>
        <v>0</v>
      </c>
      <c r="L19" s="94">
        <f>SUM(SUMIFS('caseload data'!N:N,'caseload data'!$D:$D,"TPO",'caseload data'!$C:$C,'community caseload'!$B$15,'caseload data'!$B:$B,{"licence","community"}))</f>
        <v>0</v>
      </c>
      <c r="M19" s="94">
        <f>SUM(SUMIFS('caseload data'!O:O,'caseload data'!$D:$D,"TPO",'caseload data'!$C:$C,'community caseload'!$B$15,'caseload data'!$B:$B,{"licence","community"}))</f>
        <v>0</v>
      </c>
      <c r="N19" s="94">
        <f>SUM(SUMIFS('caseload data'!P:P,'caseload data'!$D:$D,"TPO",'caseload data'!$C:$C,'community caseload'!$B$15,'caseload data'!$B:$B,{"licence","community"}))</f>
        <v>0</v>
      </c>
      <c r="O19" s="94">
        <f>SUM(SUMIFS('caseload data'!Q:Q,'caseload data'!$D:$D,"TPO",'caseload data'!$C:$C,'community caseload'!$B$15,'caseload data'!$B:$B,{"licence","community"}))</f>
        <v>0</v>
      </c>
      <c r="P19" s="94">
        <f>SUM(SUMIFS('caseload data'!R:R,'caseload data'!$D:$D,"TPO",'caseload data'!$C:$C,'community caseload'!$B$15,'caseload data'!$B:$B,{"licence","community"}))</f>
        <v>0</v>
      </c>
      <c r="Q19" s="94">
        <f>SUM(SUMIFS('caseload data'!S:S,'caseload data'!$D:$D,"TPO",'caseload data'!$C:$C,'community caseload'!$B$15,'caseload data'!$B:$B,{"licence","community"}))</f>
        <v>0</v>
      </c>
      <c r="R19" s="94">
        <f>SUM(SUMIFS('caseload data'!T:T,'caseload data'!$D:$D,"TPO",'caseload data'!$C:$C,'community caseload'!$B$15,'caseload data'!$B:$B,{"licence","community"}))</f>
        <v>0</v>
      </c>
      <c r="S19" s="64"/>
      <c r="T19" s="97" t="s">
        <v>1008</v>
      </c>
      <c r="U19" s="94">
        <f>SUM(SUMIFS('caseload data'!E:E,'caseload data'!$D:$D,"TPO",'caseload data'!$C:$C,'community caseload'!$T$15,'caseload data'!$B:$B,{"licence","community"}))</f>
        <v>0</v>
      </c>
      <c r="V19" s="94"/>
      <c r="W19" s="94"/>
      <c r="X19" s="94"/>
      <c r="Y19" s="94"/>
      <c r="Z19" s="94"/>
      <c r="AA19" s="94"/>
      <c r="AB19" s="94"/>
      <c r="AC19" s="94"/>
      <c r="AD19" s="94"/>
      <c r="AE19" s="94">
        <f>SUM(SUMIFS('caseload data'!J:J,'caseload data'!$D:$D,"TPO",'caseload data'!$C:$C,'community caseload'!$T$15,'caseload data'!$B:$B,{"licence","community"}))</f>
        <v>0</v>
      </c>
      <c r="AF19" s="94">
        <f>SUM(SUMIFS('caseload data'!K:K,'caseload data'!$D:$D,"TPO",'caseload data'!$C:$C,'community caseload'!$T$15,'caseload data'!$B:$B,{"licence","community"}))</f>
        <v>0</v>
      </c>
      <c r="AG19" s="94">
        <f>SUM(SUMIFS('caseload data'!N:N,'caseload data'!$D:$D,"TPO",'caseload data'!$C:$C,'community caseload'!$T$15,'caseload data'!$B:$B,{"licence","community"}))</f>
        <v>0</v>
      </c>
      <c r="AH19" s="94">
        <f>SUM(SUMIFS('caseload data'!O:O,'caseload data'!$D:$D,"TPO",'caseload data'!$C:$C,'community caseload'!$T$15,'caseload data'!$B:$B,{"licence","community"}))</f>
        <v>0</v>
      </c>
      <c r="AI19" s="94">
        <f>SUM(SUMIFS('caseload data'!R:R,'caseload data'!$D:$D,"TPO",'caseload data'!$C:$C,'community caseload'!$T$15,'caseload data'!$B:$B,{"licence","community"}))</f>
        <v>0</v>
      </c>
      <c r="AJ19" s="94">
        <f>SUM(SUMIFS('caseload data'!S:S,'caseload data'!$D:$D,"TPO",'caseload data'!$C:$C,'community caseload'!$T$15,'caseload data'!$B:$B,{"licence","community"}))</f>
        <v>0</v>
      </c>
    </row>
    <row r="20" spans="2:36" x14ac:dyDescent="0.15">
      <c r="B20" s="98" t="s">
        <v>1009</v>
      </c>
      <c r="C20" s="94">
        <f>SUM(SUMIFS('caseload data'!E:E,'caseload data'!$D:$D,"SPO",'caseload data'!$C:$C,'community caseload'!$B$15,'caseload data'!$B:$B,{"licence","community"}))</f>
        <v>0</v>
      </c>
      <c r="D20" s="94">
        <f>SUM(SUMIFS('caseload data'!F:F,'caseload data'!$D:$D,"SPO",'caseload data'!$C:$C,'community caseload'!$B$15,'caseload data'!$B:$B,{"licence","community"}))</f>
        <v>0</v>
      </c>
      <c r="E20" s="94">
        <f>SUM(SUMIFS('caseload data'!G:G,'caseload data'!$D:$D,"SPO",'caseload data'!$C:$C,'community caseload'!$B$15,'caseload data'!$B:$B,{"licence","community"}))</f>
        <v>0</v>
      </c>
      <c r="F20" s="94">
        <f>SUM(SUMIFS('caseload data'!H:H,'caseload data'!$D:$D,"SPO",'caseload data'!$C:$C,'community caseload'!$B$15,'caseload data'!$B:$B,{"licence","community"}))</f>
        <v>0</v>
      </c>
      <c r="G20" s="94">
        <f>SUM(SUMIFS('caseload data'!I:I,'caseload data'!$D:$D,"SPO",'caseload data'!$C:$C,'community caseload'!$B$15,'caseload data'!$B:$B,{"licence","community"}))</f>
        <v>0</v>
      </c>
      <c r="H20" s="94">
        <f>SUM(SUMIFS('caseload data'!J:J,'caseload data'!$D:$D,"SPO",'caseload data'!$C:$C,'community caseload'!$B$15,'caseload data'!$B:$B,{"licence","community"}))</f>
        <v>0</v>
      </c>
      <c r="I20" s="94">
        <f>SUM(SUMIFS('caseload data'!K:K,'caseload data'!$D:$D,"SPO",'caseload data'!$C:$C,'community caseload'!$B$15,'caseload data'!$B:$B,{"licence","community"}))</f>
        <v>0</v>
      </c>
      <c r="J20" s="94">
        <f>SUM(SUMIFS('caseload data'!L:L,'caseload data'!$D:$D,"SPO",'caseload data'!$C:$C,'community caseload'!$B$15,'caseload data'!$B:$B,{"licence","community"}))</f>
        <v>0</v>
      </c>
      <c r="K20" s="94">
        <f>SUM(SUMIFS('caseload data'!M:M,'caseload data'!$D:$D,"SPO",'caseload data'!$C:$C,'community caseload'!$B$15,'caseload data'!$B:$B,{"licence","community"}))</f>
        <v>0</v>
      </c>
      <c r="L20" s="94">
        <f>SUM(SUMIFS('caseload data'!N:N,'caseload data'!$D:$D,"SPO",'caseload data'!$C:$C,'community caseload'!$B$15,'caseload data'!$B:$B,{"licence","community"}))</f>
        <v>0</v>
      </c>
      <c r="M20" s="94">
        <f>SUM(SUMIFS('caseload data'!O:O,'caseload data'!$D:$D,"SPO",'caseload data'!$C:$C,'community caseload'!$B$15,'caseload data'!$B:$B,{"licence","community"}))</f>
        <v>0</v>
      </c>
      <c r="N20" s="94">
        <f>SUM(SUMIFS('caseload data'!P:P,'caseload data'!$D:$D,"SPO",'caseload data'!$C:$C,'community caseload'!$B$15,'caseload data'!$B:$B,{"licence","community"}))</f>
        <v>0</v>
      </c>
      <c r="O20" s="94">
        <f>SUM(SUMIFS('caseload data'!Q:Q,'caseload data'!$D:$D,"SPO",'caseload data'!$C:$C,'community caseload'!$B$15,'caseload data'!$B:$B,{"licence","community"}))</f>
        <v>0</v>
      </c>
      <c r="P20" s="94">
        <f>SUM(SUMIFS('caseload data'!R:R,'caseload data'!$D:$D,"SPO",'caseload data'!$C:$C,'community caseload'!$B$15,'caseload data'!$B:$B,{"licence","community"}))</f>
        <v>0</v>
      </c>
      <c r="Q20" s="94">
        <f>SUM(SUMIFS('caseload data'!S:S,'caseload data'!$D:$D,"SPO",'caseload data'!$C:$C,'community caseload'!$B$15,'caseload data'!$B:$B,{"licence","community"}))</f>
        <v>0</v>
      </c>
      <c r="R20" s="94">
        <f>SUM(SUMIFS('caseload data'!T:T,'caseload data'!$D:$D,"SPO",'caseload data'!$C:$C,'community caseload'!$B$15,'caseload data'!$B:$B,{"licence","community"}))</f>
        <v>0</v>
      </c>
      <c r="S20" s="64"/>
      <c r="T20" s="98" t="s">
        <v>1009</v>
      </c>
      <c r="U20" s="94">
        <f>SUM(SUMIFS('caseload data'!E:E,'caseload data'!$D:$D,"SPO",'caseload data'!$C:$C,'community caseload'!$T$15,'caseload data'!$B:$B,{"licence","community"}))</f>
        <v>0</v>
      </c>
      <c r="V20" s="94"/>
      <c r="W20" s="94"/>
      <c r="X20" s="94"/>
      <c r="Y20" s="94"/>
      <c r="Z20" s="94"/>
      <c r="AA20" s="94"/>
      <c r="AB20" s="94"/>
      <c r="AC20" s="94"/>
      <c r="AD20" s="94"/>
      <c r="AE20" s="94">
        <f>SUM(SUMIFS('caseload data'!J:J,'caseload data'!$D:$D,"SPO",'caseload data'!$C:$C,'community caseload'!$T$15,'caseload data'!$B:$B,{"licence","community"}))</f>
        <v>0</v>
      </c>
      <c r="AF20" s="94">
        <f>SUM(SUMIFS('caseload data'!K:K,'caseload data'!$D:$D,"SPO",'caseload data'!$C:$C,'community caseload'!$T$15,'caseload data'!$B:$B,{"licence","community"}))</f>
        <v>0</v>
      </c>
      <c r="AG20" s="94">
        <f>SUM(SUMIFS('caseload data'!N:N,'caseload data'!$D:$D,"SPO",'caseload data'!$C:$C,'community caseload'!$T$15,'caseload data'!$B:$B,{"licence","community"}))</f>
        <v>0</v>
      </c>
      <c r="AH20" s="94">
        <f>SUM(SUMIFS('caseload data'!O:O,'caseload data'!$D:$D,"SPO",'caseload data'!$C:$C,'community caseload'!$T$15,'caseload data'!$B:$B,{"licence","community"}))</f>
        <v>0</v>
      </c>
      <c r="AI20" s="94">
        <f>SUM(SUMIFS('caseload data'!R:R,'caseload data'!$D:$D,"SPO",'caseload data'!$C:$C,'community caseload'!$T$15,'caseload data'!$B:$B,{"licence","community"}))</f>
        <v>0</v>
      </c>
      <c r="AJ20" s="94">
        <f>SUM(SUMIFS('caseload data'!S:S,'caseload data'!$D:$D,"SPO",'caseload data'!$C:$C,'community caseload'!$T$15,'caseload data'!$B:$B,{"licence","community"}))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42" customHeight="1" x14ac:dyDescent="0.15">
      <c r="B22" s="289" t="str">
        <f>HLOOKUP($B$5,Region_Table,6,0)</f>
        <v>Lincolnshire East and West - N53</v>
      </c>
      <c r="C22" s="507" t="s">
        <v>1135</v>
      </c>
      <c r="D22" s="508"/>
      <c r="E22" s="508"/>
      <c r="F22" s="508"/>
      <c r="G22" s="508"/>
      <c r="H22" s="508"/>
      <c r="I22" s="508"/>
      <c r="J22" s="508"/>
      <c r="K22" s="508"/>
      <c r="L22" s="508"/>
      <c r="M22" s="537"/>
      <c r="N22" s="537"/>
      <c r="O22" s="538"/>
      <c r="P22" s="510" cm="1">
        <f t="array" ref="P22">SUM(SUMIFS('caseload data'!V:V,'caseload data'!B:B,{"licence","community"},'caseload data'!$C:$C,'community caseload'!B22))</f>
        <v>0</v>
      </c>
      <c r="Q22" s="527"/>
      <c r="R22" s="528"/>
      <c r="S22" s="291"/>
      <c r="T22" s="289" t="str">
        <f>HLOOKUP($B$5,Region_Table,7,0)</f>
        <v>Nottingham City</v>
      </c>
      <c r="U22" s="507" t="s">
        <v>1135</v>
      </c>
      <c r="V22" s="508"/>
      <c r="W22" s="508"/>
      <c r="X22" s="508"/>
      <c r="Y22" s="508"/>
      <c r="Z22" s="508"/>
      <c r="AA22" s="508"/>
      <c r="AB22" s="508"/>
      <c r="AC22" s="508"/>
      <c r="AD22" s="508"/>
      <c r="AE22" s="537"/>
      <c r="AF22" s="537"/>
      <c r="AG22" s="538"/>
      <c r="AH22" s="510" cm="1">
        <f t="array" ref="AH22">SUM(SUMIFS('caseload data'!V:V,'caseload data'!B:B,{"licence","community"},'caseload data'!$C:$C,'community caseload'!T22))</f>
        <v>0</v>
      </c>
      <c r="AI22" s="527"/>
      <c r="AJ22" s="528"/>
    </row>
    <row r="23" spans="2:36" x14ac:dyDescent="0.15">
      <c r="B23" s="95" t="s">
        <v>1005</v>
      </c>
      <c r="C23" s="38" t="s">
        <v>869</v>
      </c>
      <c r="D23" s="38" t="s">
        <v>870</v>
      </c>
      <c r="E23" s="38" t="s">
        <v>871</v>
      </c>
      <c r="F23" s="38" t="s">
        <v>872</v>
      </c>
      <c r="G23" s="38" t="s">
        <v>873</v>
      </c>
      <c r="H23" s="38" t="s">
        <v>874</v>
      </c>
      <c r="I23" s="38" t="s">
        <v>875</v>
      </c>
      <c r="J23" s="38" t="s">
        <v>876</v>
      </c>
      <c r="K23" s="38" t="s">
        <v>877</v>
      </c>
      <c r="L23" s="38" t="s">
        <v>878</v>
      </c>
      <c r="M23" s="38" t="s">
        <v>879</v>
      </c>
      <c r="N23" s="38" t="s">
        <v>880</v>
      </c>
      <c r="O23" s="38" t="s">
        <v>881</v>
      </c>
      <c r="P23" s="38" t="s">
        <v>882</v>
      </c>
      <c r="Q23" s="38" t="s">
        <v>883</v>
      </c>
      <c r="R23" s="38" t="s">
        <v>884</v>
      </c>
      <c r="S23" s="64"/>
      <c r="T23" s="95" t="s">
        <v>1005</v>
      </c>
      <c r="U23" s="38" t="s">
        <v>869</v>
      </c>
      <c r="V23" s="38" t="s">
        <v>870</v>
      </c>
      <c r="W23" s="38" t="s">
        <v>871</v>
      </c>
      <c r="X23" s="38" t="s">
        <v>872</v>
      </c>
      <c r="Y23" s="38" t="s">
        <v>873</v>
      </c>
      <c r="Z23" s="38" t="s">
        <v>874</v>
      </c>
      <c r="AA23" s="38" t="s">
        <v>875</v>
      </c>
      <c r="AB23" s="38" t="s">
        <v>876</v>
      </c>
      <c r="AC23" s="38" t="s">
        <v>877</v>
      </c>
      <c r="AD23" s="38" t="s">
        <v>878</v>
      </c>
      <c r="AE23" s="38" t="s">
        <v>879</v>
      </c>
      <c r="AF23" s="38" t="s">
        <v>880</v>
      </c>
      <c r="AG23" s="38" t="s">
        <v>881</v>
      </c>
      <c r="AH23" s="38" t="s">
        <v>882</v>
      </c>
      <c r="AI23" s="38" t="s">
        <v>883</v>
      </c>
      <c r="AJ23" s="38" t="s">
        <v>884</v>
      </c>
    </row>
    <row r="24" spans="2:36" x14ac:dyDescent="0.15">
      <c r="B24" s="96" t="s">
        <v>1002</v>
      </c>
      <c r="C24" s="94">
        <f>SUM(SUMIFS('caseload data'!E:E,'caseload data'!$D:$D,"PO",'caseload data'!$C:$C,'community caseload'!$B$22,'caseload data'!$B:$B,{"licence","community"}))</f>
        <v>0</v>
      </c>
      <c r="D24" s="94">
        <f>SUM(SUMIFS('caseload data'!F:F,'caseload data'!$D:$D,"PO",'caseload data'!$C:$C,'community caseload'!$B$22,'caseload data'!$B:$B,{"licence","community"}))</f>
        <v>0</v>
      </c>
      <c r="E24" s="94">
        <f>SUM(SUMIFS('caseload data'!G:G,'caseload data'!$D:$D,"PO",'caseload data'!$C:$C,'community caseload'!$B$22,'caseload data'!$B:$B,{"licence","community"}))</f>
        <v>0</v>
      </c>
      <c r="F24" s="94">
        <f>SUM(SUMIFS('caseload data'!H:H,'caseload data'!$D:$D,"PO",'caseload data'!$C:$C,'community caseload'!$B$22,'caseload data'!$B:$B,{"licence","community"}))</f>
        <v>0</v>
      </c>
      <c r="G24" s="94">
        <f>SUM(SUMIFS('caseload data'!I:I,'caseload data'!$D:$D,"PO",'caseload data'!$C:$C,'community caseload'!$B$22,'caseload data'!$B:$B,{"licence","community"}))</f>
        <v>0</v>
      </c>
      <c r="H24" s="94">
        <f>SUM(SUMIFS('caseload data'!J:J,'caseload data'!$D:$D,"PO",'caseload data'!$C:$C,'community caseload'!$B$22,'caseload data'!$B:$B,{"licence","community"}))</f>
        <v>0</v>
      </c>
      <c r="I24" s="94">
        <f>SUM(SUMIFS('caseload data'!K:K,'caseload data'!$D:$D,"PO",'caseload data'!$C:$C,'community caseload'!$B$22,'caseload data'!$B:$B,{"licence","community"}))</f>
        <v>0</v>
      </c>
      <c r="J24" s="94">
        <f>SUM(SUMIFS('caseload data'!L:L,'caseload data'!$D:$D,"PO",'caseload data'!$C:$C,'community caseload'!$B$22,'caseload data'!$B:$B,{"licence","community"}))</f>
        <v>0</v>
      </c>
      <c r="K24" s="94">
        <f>SUM(SUMIFS('caseload data'!M:M,'caseload data'!$D:$D,"PO",'caseload data'!$C:$C,'community caseload'!$B$22,'caseload data'!$B:$B,{"licence","community"}))</f>
        <v>0</v>
      </c>
      <c r="L24" s="94">
        <f>SUM(SUMIFS('caseload data'!N:N,'caseload data'!$D:$D,"PO",'caseload data'!$C:$C,'community caseload'!$B$22,'caseload data'!$B:$B,{"licence","community"}))</f>
        <v>0</v>
      </c>
      <c r="M24" s="94">
        <f>SUM(SUMIFS('caseload data'!O:O,'caseload data'!$D:$D,"PO",'caseload data'!$C:$C,'community caseload'!$B$22,'caseload data'!$B:$B,{"licence","community"}))</f>
        <v>0</v>
      </c>
      <c r="N24" s="94">
        <f>SUM(SUMIFS('caseload data'!P:P,'caseload data'!$D:$D,"PO",'caseload data'!$C:$C,'community caseload'!$B$22,'caseload data'!$B:$B,{"licence","community"}))</f>
        <v>0</v>
      </c>
      <c r="O24" s="94">
        <f>SUM(SUMIFS('caseload data'!Q:Q,'caseload data'!$D:$D,"PO",'caseload data'!$C:$C,'community caseload'!$B$22,'caseload data'!$B:$B,{"licence","community"}))</f>
        <v>0</v>
      </c>
      <c r="P24" s="94">
        <f>SUM(SUMIFS('caseload data'!R:R,'caseload data'!$D:$D,"PO",'caseload data'!$C:$C,'community caseload'!$B$22,'caseload data'!$B:$B,{"licence","community"}))</f>
        <v>0</v>
      </c>
      <c r="Q24" s="94">
        <f>SUM(SUMIFS('caseload data'!S:S,'caseload data'!$D:$D,"PO",'caseload data'!$C:$C,'community caseload'!$B$22,'caseload data'!$B:$B,{"licence","community"}))</f>
        <v>0</v>
      </c>
      <c r="R24" s="94">
        <f>SUM(SUMIFS('caseload data'!T:T,'caseload data'!$D:$D,"PO",'caseload data'!$C:$C,'community caseload'!$B$22,'caseload data'!$B:$B,{"licence","community"}))</f>
        <v>0</v>
      </c>
      <c r="S24" s="64"/>
      <c r="T24" s="96" t="s">
        <v>1002</v>
      </c>
      <c r="U24" s="94">
        <f>SUM(SUMIFS('caseload data'!E:E,'caseload data'!$D:$D,"PO",'caseload data'!$C:$C,'community caseload'!$T$22,'caseload data'!$B:$B,{"licence","community"}))</f>
        <v>0</v>
      </c>
      <c r="V24" s="94">
        <f>SUM(SUMIFS('caseload data'!F:F,'caseload data'!$D:$D,"PO",'caseload data'!$C:$C,'community caseload'!$T$22,'caseload data'!$B:$B,{"licence","community"}))</f>
        <v>0</v>
      </c>
      <c r="W24" s="94">
        <f>SUM(SUMIFS('caseload data'!G:G,'caseload data'!$D:$D,"PO",'caseload data'!$C:$C,'community caseload'!$T$22,'caseload data'!$B:$B,{"licence","community"}))</f>
        <v>0</v>
      </c>
      <c r="X24" s="94">
        <f>SUM(SUMIFS('caseload data'!H:H,'caseload data'!$D:$D,"PO",'caseload data'!$C:$C,'community caseload'!$T$22,'caseload data'!$B:$B,{"licence","community"}))</f>
        <v>0</v>
      </c>
      <c r="Y24" s="94">
        <f>SUM(SUMIFS('caseload data'!I:I,'caseload data'!$D:$D,"PO",'caseload data'!$C:$C,'community caseload'!$T$22,'caseload data'!$B:$B,{"licence","community"}))</f>
        <v>0</v>
      </c>
      <c r="Z24" s="94">
        <f>SUM(SUMIFS('caseload data'!J:J,'caseload data'!$D:$D,"PO",'caseload data'!$C:$C,'community caseload'!$T$22,'caseload data'!$B:$B,{"licence","community"}))</f>
        <v>0</v>
      </c>
      <c r="AA24" s="94">
        <f>SUM(SUMIFS('caseload data'!K:K,'caseload data'!$D:$D,"PO",'caseload data'!$C:$C,'community caseload'!$T$22,'caseload data'!$B:$B,{"licence","community"}))</f>
        <v>0</v>
      </c>
      <c r="AB24" s="94">
        <f>SUM(SUMIFS('caseload data'!L:L,'caseload data'!$D:$D,"PO",'caseload data'!$C:$C,'community caseload'!$T$22,'caseload data'!$B:$B,{"licence","community"}))</f>
        <v>0</v>
      </c>
      <c r="AC24" s="94">
        <f>SUM(SUMIFS('caseload data'!M:M,'caseload data'!$D:$D,"PO",'caseload data'!$C:$C,'community caseload'!$T$22,'caseload data'!$B:$B,{"licence","community"}))</f>
        <v>0</v>
      </c>
      <c r="AD24" s="94">
        <f>SUM(SUMIFS('caseload data'!N:N,'caseload data'!$D:$D,"PO",'caseload data'!$C:$C,'community caseload'!$T$22,'caseload data'!$B:$B,{"licence","community"}))</f>
        <v>0</v>
      </c>
      <c r="AE24" s="94">
        <f>SUM(SUMIFS('caseload data'!O:O,'caseload data'!$D:$D,"PO",'caseload data'!$C:$C,'community caseload'!$T$22,'caseload data'!$B:$B,{"licence","community"}))</f>
        <v>0</v>
      </c>
      <c r="AF24" s="94">
        <f>SUM(SUMIFS('caseload data'!P:P,'caseload data'!$D:$D,"PO",'caseload data'!$C:$C,'community caseload'!$T$22,'caseload data'!$B:$B,{"licence","community"}))</f>
        <v>0</v>
      </c>
      <c r="AG24" s="94">
        <f>SUM(SUMIFS('caseload data'!Q:Q,'caseload data'!$D:$D,"PO",'caseload data'!$C:$C,'community caseload'!$T$22,'caseload data'!$B:$B,{"licence","community"}))</f>
        <v>0</v>
      </c>
      <c r="AH24" s="94">
        <f>SUM(SUMIFS('caseload data'!R:R,'caseload data'!$D:$D,"PO",'caseload data'!$C:$C,'community caseload'!$T$22,'caseload data'!$B:$B,{"licence","community"}))</f>
        <v>0</v>
      </c>
      <c r="AI24" s="94">
        <f>SUM(SUMIFS('caseload data'!S:S,'caseload data'!$D:$D,"PO",'caseload data'!$C:$C,'community caseload'!$T$22,'caseload data'!$B:$B,{"licence","community"}))</f>
        <v>0</v>
      </c>
      <c r="AJ24" s="94">
        <f>SUM(SUMIFS('caseload data'!T:T,'caseload data'!$D:$D,"PO",'caseload data'!$C:$C,'community caseload'!$T$22,'caseload data'!$B:$B,{"licence","community"}))</f>
        <v>0</v>
      </c>
    </row>
    <row r="25" spans="2:36" x14ac:dyDescent="0.15">
      <c r="B25" s="97" t="s">
        <v>1007</v>
      </c>
      <c r="C25" s="94">
        <f>SUM(SUMIFS('caseload data'!E:E,'caseload data'!$D:$D,"PSO",'caseload data'!$C:$C,'community caseload'!$B$22,'caseload data'!$B:$B,{"licence","community"}))</f>
        <v>0</v>
      </c>
      <c r="D25" s="94">
        <f>SUM(SUMIFS('caseload data'!F:F,'caseload data'!$D:$D,"PSO",'caseload data'!$C:$C,'community caseload'!$B$22,'caseload data'!$B:$B,{"licence","community"}))</f>
        <v>0</v>
      </c>
      <c r="E25" s="94">
        <f>SUM(SUMIFS('caseload data'!G:G,'caseload data'!$D:$D,"PSO",'caseload data'!$C:$C,'community caseload'!$B$22,'caseload data'!$B:$B,{"licence","community"}))</f>
        <v>0</v>
      </c>
      <c r="F25" s="94">
        <f>SUM(SUMIFS('caseload data'!H:H,'caseload data'!$D:$D,"PSO",'caseload data'!$C:$C,'community caseload'!$B$22,'caseload data'!$B:$B,{"licence","community"}))</f>
        <v>0</v>
      </c>
      <c r="G25" s="94">
        <f>SUM(SUMIFS('caseload data'!I:I,'caseload data'!$D:$D,"PSO",'caseload data'!$C:$C,'community caseload'!$B$22,'caseload data'!$B:$B,{"licence","community"}))</f>
        <v>0</v>
      </c>
      <c r="H25" s="94">
        <f>SUM(SUMIFS('caseload data'!J:J,'caseload data'!$D:$D,"PSO",'caseload data'!$C:$C,'community caseload'!$B$22,'caseload data'!$B:$B,{"licence","community"}))</f>
        <v>0</v>
      </c>
      <c r="I25" s="94">
        <f>SUM(SUMIFS('caseload data'!K:K,'caseload data'!$D:$D,"PSO",'caseload data'!$C:$C,'community caseload'!$B$22,'caseload data'!$B:$B,{"licence","community"}))</f>
        <v>0</v>
      </c>
      <c r="J25" s="94">
        <f>SUM(SUMIFS('caseload data'!L:L,'caseload data'!$D:$D,"PSO",'caseload data'!$C:$C,'community caseload'!$B$22,'caseload data'!$B:$B,{"licence","community"}))</f>
        <v>0</v>
      </c>
      <c r="K25" s="94">
        <f>SUM(SUMIFS('caseload data'!M:M,'caseload data'!$D:$D,"PSO",'caseload data'!$C:$C,'community caseload'!$B$22,'caseload data'!$B:$B,{"licence","community"}))</f>
        <v>0</v>
      </c>
      <c r="L25" s="94">
        <f>SUM(SUMIFS('caseload data'!N:N,'caseload data'!$D:$D,"PSO",'caseload data'!$C:$C,'community caseload'!$B$22,'caseload data'!$B:$B,{"licence","community"}))</f>
        <v>0</v>
      </c>
      <c r="M25" s="94">
        <f>SUM(SUMIFS('caseload data'!O:O,'caseload data'!$D:$D,"PSO",'caseload data'!$C:$C,'community caseload'!$B$22,'caseload data'!$B:$B,{"licence","community"}))</f>
        <v>0</v>
      </c>
      <c r="N25" s="94">
        <f>SUM(SUMIFS('caseload data'!P:P,'caseload data'!$D:$D,"PSO",'caseload data'!$C:$C,'community caseload'!$B$22,'caseload data'!$B:$B,{"licence","community"}))</f>
        <v>0</v>
      </c>
      <c r="O25" s="94">
        <f>SUM(SUMIFS('caseload data'!Q:Q,'caseload data'!$D:$D,"PSO",'caseload data'!$C:$C,'community caseload'!$B$22,'caseload data'!$B:$B,{"licence","community"}))</f>
        <v>0</v>
      </c>
      <c r="P25" s="94">
        <f>SUM(SUMIFS('caseload data'!R:R,'caseload data'!$D:$D,"PSO",'caseload data'!$C:$C,'community caseload'!$B$22,'caseload data'!$B:$B,{"licence","community"}))</f>
        <v>0</v>
      </c>
      <c r="Q25" s="94">
        <f>SUM(SUMIFS('caseload data'!S:S,'caseload data'!$D:$D,"PSO",'caseload data'!$C:$C,'community caseload'!$B$22,'caseload data'!$B:$B,{"licence","community"}))</f>
        <v>0</v>
      </c>
      <c r="R25" s="94">
        <f>SUM(SUMIFS('caseload data'!T:T,'caseload data'!$D:$D,"PSO",'caseload data'!$C:$C,'community caseload'!$B$22,'caseload data'!$B:$B,{"licence","community"}))</f>
        <v>0</v>
      </c>
      <c r="S25" s="64"/>
      <c r="T25" s="97" t="s">
        <v>1007</v>
      </c>
      <c r="U25" s="94">
        <f>SUM(SUMIFS('caseload data'!E:E,'caseload data'!$D:$D,"PSO",'caseload data'!$C:$C,'community caseload'!$T$22,'caseload data'!$B:$B,{"licence","community"}))</f>
        <v>0</v>
      </c>
      <c r="V25" s="94">
        <f>SUM(SUMIFS('caseload data'!F:F,'caseload data'!$D:$D,"PSO",'caseload data'!$C:$C,'community caseload'!$T$22,'caseload data'!$B:$B,{"licence","community"}))</f>
        <v>0</v>
      </c>
      <c r="W25" s="94">
        <f>SUM(SUMIFS('caseload data'!G:G,'caseload data'!$D:$D,"PSO",'caseload data'!$C:$C,'community caseload'!$T$22,'caseload data'!$B:$B,{"licence","community"}))</f>
        <v>0</v>
      </c>
      <c r="X25" s="94">
        <f>SUM(SUMIFS('caseload data'!H:H,'caseload data'!$D:$D,"PSO",'caseload data'!$C:$C,'community caseload'!$T$22,'caseload data'!$B:$B,{"licence","community"}))</f>
        <v>0</v>
      </c>
      <c r="Y25" s="94">
        <f>SUM(SUMIFS('caseload data'!I:I,'caseload data'!$D:$D,"PSO",'caseload data'!$C:$C,'community caseload'!$T$22,'caseload data'!$B:$B,{"licence","community"}))</f>
        <v>0</v>
      </c>
      <c r="Z25" s="94">
        <f>SUM(SUMIFS('caseload data'!J:J,'caseload data'!$D:$D,"PSO",'caseload data'!$C:$C,'community caseload'!$T$22,'caseload data'!$B:$B,{"licence","community"}))</f>
        <v>0</v>
      </c>
      <c r="AA25" s="94">
        <f>SUM(SUMIFS('caseload data'!K:K,'caseload data'!$D:$D,"PSO",'caseload data'!$C:$C,'community caseload'!$T$22,'caseload data'!$B:$B,{"licence","community"}))</f>
        <v>0</v>
      </c>
      <c r="AB25" s="94">
        <f>SUM(SUMIFS('caseload data'!L:L,'caseload data'!$D:$D,"PSO",'caseload data'!$C:$C,'community caseload'!$T$22,'caseload data'!$B:$B,{"licence","community"}))</f>
        <v>0</v>
      </c>
      <c r="AC25" s="94">
        <f>SUM(SUMIFS('caseload data'!M:M,'caseload data'!$D:$D,"PSO",'caseload data'!$C:$C,'community caseload'!$T$22,'caseload data'!$B:$B,{"licence","community"}))</f>
        <v>0</v>
      </c>
      <c r="AD25" s="94">
        <f>SUM(SUMIFS('caseload data'!N:N,'caseload data'!$D:$D,"PSO",'caseload data'!$C:$C,'community caseload'!$T$22,'caseload data'!$B:$B,{"licence","community"}))</f>
        <v>0</v>
      </c>
      <c r="AE25" s="94">
        <f>SUM(SUMIFS('caseload data'!O:O,'caseload data'!$D:$D,"PSO",'caseload data'!$C:$C,'community caseload'!$T$22,'caseload data'!$B:$B,{"licence","community"}))</f>
        <v>0</v>
      </c>
      <c r="AF25" s="94">
        <f>SUM(SUMIFS('caseload data'!P:P,'caseload data'!$D:$D,"PSO",'caseload data'!$C:$C,'community caseload'!$T$22,'caseload data'!$B:$B,{"licence","community"}))</f>
        <v>0</v>
      </c>
      <c r="AG25" s="94">
        <f>SUM(SUMIFS('caseload data'!Q:Q,'caseload data'!$D:$D,"PSO",'caseload data'!$C:$C,'community caseload'!$T$22,'caseload data'!$B:$B,{"licence","community"}))</f>
        <v>0</v>
      </c>
      <c r="AH25" s="94">
        <f>SUM(SUMIFS('caseload data'!R:R,'caseload data'!$D:$D,"PSO",'caseload data'!$C:$C,'community caseload'!$T$22,'caseload data'!$B:$B,{"licence","community"}))</f>
        <v>0</v>
      </c>
      <c r="AI25" s="94">
        <f>SUM(SUMIFS('caseload data'!S:S,'caseload data'!$D:$D,"PSO",'caseload data'!$C:$C,'community caseload'!$T$22,'caseload data'!$B:$B,{"licence","community"}))</f>
        <v>0</v>
      </c>
      <c r="AJ25" s="94">
        <f>SUM(SUMIFS('caseload data'!T:T,'caseload data'!$D:$D,"PSO",'caseload data'!$C:$C,'community caseload'!$T$22,'caseload data'!$B:$B,{"licence","community"}))</f>
        <v>0</v>
      </c>
    </row>
    <row r="26" spans="2:36" x14ac:dyDescent="0.15">
      <c r="B26" s="97" t="s">
        <v>1008</v>
      </c>
      <c r="C26" s="94">
        <f>SUM(SUMIFS('caseload data'!E:E,'caseload data'!$D:$D,"TPO",'caseload data'!$C:$C,'community caseload'!$B$22,'caseload data'!$B:$B,{"licence","community"}))</f>
        <v>0</v>
      </c>
      <c r="D26" s="94">
        <f>SUM(SUMIFS('caseload data'!F:F,'caseload data'!$D:$D,"TPO",'caseload data'!$C:$C,'community caseload'!$B$22,'caseload data'!$B:$B,{"licence","community"}))</f>
        <v>0</v>
      </c>
      <c r="E26" s="94">
        <f>SUM(SUMIFS('caseload data'!G:G,'caseload data'!$D:$D,"TPO",'caseload data'!$C:$C,'community caseload'!$B$22,'caseload data'!$B:$B,{"licence","community"}))</f>
        <v>0</v>
      </c>
      <c r="F26" s="94">
        <f>SUM(SUMIFS('caseload data'!H:H,'caseload data'!$D:$D,"TPO",'caseload data'!$C:$C,'community caseload'!$B$22,'caseload data'!$B:$B,{"licence","community"}))</f>
        <v>0</v>
      </c>
      <c r="G26" s="94">
        <f>SUM(SUMIFS('caseload data'!I:I,'caseload data'!$D:$D,"TPO",'caseload data'!$C:$C,'community caseload'!$B$22,'caseload data'!$B:$B,{"licence","community"}))</f>
        <v>0</v>
      </c>
      <c r="H26" s="94">
        <f>SUM(SUMIFS('caseload data'!J:J,'caseload data'!$D:$D,"TPO",'caseload data'!$C:$C,'community caseload'!$B$22,'caseload data'!$B:$B,{"licence","community"}))</f>
        <v>0</v>
      </c>
      <c r="I26" s="94">
        <f>SUM(SUMIFS('caseload data'!K:K,'caseload data'!$D:$D,"TPO",'caseload data'!$C:$C,'community caseload'!$B$22,'caseload data'!$B:$B,{"licence","community"}))</f>
        <v>0</v>
      </c>
      <c r="J26" s="94">
        <f>SUM(SUMIFS('caseload data'!L:L,'caseload data'!$D:$D,"TPO",'caseload data'!$C:$C,'community caseload'!$B$22,'caseload data'!$B:$B,{"licence","community"}))</f>
        <v>0</v>
      </c>
      <c r="K26" s="94">
        <f>SUM(SUMIFS('caseload data'!M:M,'caseload data'!$D:$D,"TPO",'caseload data'!$C:$C,'community caseload'!$B$22,'caseload data'!$B:$B,{"licence","community"}))</f>
        <v>0</v>
      </c>
      <c r="L26" s="94">
        <f>SUM(SUMIFS('caseload data'!N:N,'caseload data'!$D:$D,"TPO",'caseload data'!$C:$C,'community caseload'!$B$22,'caseload data'!$B:$B,{"licence","community"}))</f>
        <v>0</v>
      </c>
      <c r="M26" s="94">
        <f>SUM(SUMIFS('caseload data'!O:O,'caseload data'!$D:$D,"TPO",'caseload data'!$C:$C,'community caseload'!$B$22,'caseload data'!$B:$B,{"licence","community"}))</f>
        <v>0</v>
      </c>
      <c r="N26" s="94">
        <f>SUM(SUMIFS('caseload data'!P:P,'caseload data'!$D:$D,"TPO",'caseload data'!$C:$C,'community caseload'!$B$22,'caseload data'!$B:$B,{"licence","community"}))</f>
        <v>0</v>
      </c>
      <c r="O26" s="94">
        <f>SUM(SUMIFS('caseload data'!Q:Q,'caseload data'!$D:$D,"TPO",'caseload data'!$C:$C,'community caseload'!$B$22,'caseload data'!$B:$B,{"licence","community"}))</f>
        <v>0</v>
      </c>
      <c r="P26" s="94">
        <f>SUM(SUMIFS('caseload data'!R:R,'caseload data'!$D:$D,"TPO",'caseload data'!$C:$C,'community caseload'!$B$22,'caseload data'!$B:$B,{"licence","community"}))</f>
        <v>0</v>
      </c>
      <c r="Q26" s="94">
        <f>SUM(SUMIFS('caseload data'!S:S,'caseload data'!$D:$D,"TPO",'caseload data'!$C:$C,'community caseload'!$B$22,'caseload data'!$B:$B,{"licence","community"}))</f>
        <v>0</v>
      </c>
      <c r="R26" s="94">
        <f>SUM(SUMIFS('caseload data'!T:T,'caseload data'!$D:$D,"TPO",'caseload data'!$C:$C,'community caseload'!$B$22,'caseload data'!$B:$B,{"licence","community"}))</f>
        <v>0</v>
      </c>
      <c r="S26" s="64"/>
      <c r="T26" s="97" t="s">
        <v>1008</v>
      </c>
      <c r="U26" s="94">
        <f>SUM(SUMIFS('caseload data'!E:E,'caseload data'!$D:$D,"TPO",'caseload data'!$C:$C,'community caseload'!$T$22,'caseload data'!$B:$B,{"licence","community"}))</f>
        <v>0</v>
      </c>
      <c r="V26" s="94">
        <f>SUM(SUMIFS('caseload data'!F:F,'caseload data'!$D:$D,"TPO",'caseload data'!$C:$C,'community caseload'!$T$22,'caseload data'!$B:$B,{"licence","community"}))</f>
        <v>0</v>
      </c>
      <c r="W26" s="94">
        <f>SUM(SUMIFS('caseload data'!G:G,'caseload data'!$D:$D,"TPO",'caseload data'!$C:$C,'community caseload'!$T$22,'caseload data'!$B:$B,{"licence","community"}))</f>
        <v>0</v>
      </c>
      <c r="X26" s="94">
        <f>SUM(SUMIFS('caseload data'!H:H,'caseload data'!$D:$D,"TPO",'caseload data'!$C:$C,'community caseload'!$T$22,'caseload data'!$B:$B,{"licence","community"}))</f>
        <v>0</v>
      </c>
      <c r="Y26" s="94">
        <f>SUM(SUMIFS('caseload data'!I:I,'caseload data'!$D:$D,"TPO",'caseload data'!$C:$C,'community caseload'!$T$22,'caseload data'!$B:$B,{"licence","community"}))</f>
        <v>0</v>
      </c>
      <c r="Z26" s="94">
        <f>SUM(SUMIFS('caseload data'!J:J,'caseload data'!$D:$D,"TPO",'caseload data'!$C:$C,'community caseload'!$T$22,'caseload data'!$B:$B,{"licence","community"}))</f>
        <v>0</v>
      </c>
      <c r="AA26" s="94">
        <f>SUM(SUMIFS('caseload data'!K:K,'caseload data'!$D:$D,"TPO",'caseload data'!$C:$C,'community caseload'!$T$22,'caseload data'!$B:$B,{"licence","community"}))</f>
        <v>0</v>
      </c>
      <c r="AB26" s="94">
        <f>SUM(SUMIFS('caseload data'!L:L,'caseload data'!$D:$D,"TPO",'caseload data'!$C:$C,'community caseload'!$T$22,'caseload data'!$B:$B,{"licence","community"}))</f>
        <v>0</v>
      </c>
      <c r="AC26" s="94">
        <f>SUM(SUMIFS('caseload data'!M:M,'caseload data'!$D:$D,"TPO",'caseload data'!$C:$C,'community caseload'!$T$22,'caseload data'!$B:$B,{"licence","community"}))</f>
        <v>0</v>
      </c>
      <c r="AD26" s="94">
        <f>SUM(SUMIFS('caseload data'!N:N,'caseload data'!$D:$D,"TPO",'caseload data'!$C:$C,'community caseload'!$T$22,'caseload data'!$B:$B,{"licence","community"}))</f>
        <v>0</v>
      </c>
      <c r="AE26" s="94">
        <f>SUM(SUMIFS('caseload data'!O:O,'caseload data'!$D:$D,"TPO",'caseload data'!$C:$C,'community caseload'!$T$22,'caseload data'!$B:$B,{"licence","community"}))</f>
        <v>0</v>
      </c>
      <c r="AF26" s="94">
        <f>SUM(SUMIFS('caseload data'!P:P,'caseload data'!$D:$D,"TPO",'caseload data'!$C:$C,'community caseload'!$T$22,'caseload data'!$B:$B,{"licence","community"}))</f>
        <v>0</v>
      </c>
      <c r="AG26" s="94">
        <f>SUM(SUMIFS('caseload data'!Q:Q,'caseload data'!$D:$D,"TPO",'caseload data'!$C:$C,'community caseload'!$T$22,'caseload data'!$B:$B,{"licence","community"}))</f>
        <v>0</v>
      </c>
      <c r="AH26" s="94">
        <f>SUM(SUMIFS('caseload data'!R:R,'caseload data'!$D:$D,"TPO",'caseload data'!$C:$C,'community caseload'!$T$22,'caseload data'!$B:$B,{"licence","community"}))</f>
        <v>0</v>
      </c>
      <c r="AI26" s="94">
        <f>SUM(SUMIFS('caseload data'!S:S,'caseload data'!$D:$D,"TPO",'caseload data'!$C:$C,'community caseload'!$T$22,'caseload data'!$B:$B,{"licence","community"}))</f>
        <v>0</v>
      </c>
      <c r="AJ26" s="94">
        <f>SUM(SUMIFS('caseload data'!T:T,'caseload data'!$D:$D,"TPO",'caseload data'!$C:$C,'community caseload'!$T$22,'caseload data'!$B:$B,{"licence","community"}))</f>
        <v>0</v>
      </c>
    </row>
    <row r="27" spans="2:36" x14ac:dyDescent="0.15">
      <c r="B27" s="98" t="s">
        <v>1009</v>
      </c>
      <c r="C27" s="94">
        <f>SUM(SUMIFS('caseload data'!E:E,'caseload data'!$D:$D,"SPO",'caseload data'!$C:$C,'community caseload'!$B$22,'caseload data'!$B:$B,{"licence","community"}))</f>
        <v>0</v>
      </c>
      <c r="D27" s="94">
        <f>SUM(SUMIFS('caseload data'!F:F,'caseload data'!$D:$D,"SPO",'caseload data'!$C:$C,'community caseload'!$B$22,'caseload data'!$B:$B,{"licence","community"}))</f>
        <v>0</v>
      </c>
      <c r="E27" s="94">
        <f>SUM(SUMIFS('caseload data'!G:G,'caseload data'!$D:$D,"SPO",'caseload data'!$C:$C,'community caseload'!$B$22,'caseload data'!$B:$B,{"licence","community"}))</f>
        <v>0</v>
      </c>
      <c r="F27" s="94">
        <f>SUM(SUMIFS('caseload data'!H:H,'caseload data'!$D:$D,"SPO",'caseload data'!$C:$C,'community caseload'!$B$22,'caseload data'!$B:$B,{"licence","community"}))</f>
        <v>0</v>
      </c>
      <c r="G27" s="94">
        <f>SUM(SUMIFS('caseload data'!I:I,'caseload data'!$D:$D,"SPO",'caseload data'!$C:$C,'community caseload'!$B$22,'caseload data'!$B:$B,{"licence","community"}))</f>
        <v>0</v>
      </c>
      <c r="H27" s="94">
        <f>SUM(SUMIFS('caseload data'!J:J,'caseload data'!$D:$D,"SPO",'caseload data'!$C:$C,'community caseload'!$B$22,'caseload data'!$B:$B,{"licence","community"}))</f>
        <v>0</v>
      </c>
      <c r="I27" s="94">
        <f>SUM(SUMIFS('caseload data'!K:K,'caseload data'!$D:$D,"SPO",'caseload data'!$C:$C,'community caseload'!$B$22,'caseload data'!$B:$B,{"licence","community"}))</f>
        <v>0</v>
      </c>
      <c r="J27" s="94">
        <f>SUM(SUMIFS('caseload data'!L:L,'caseload data'!$D:$D,"SPO",'caseload data'!$C:$C,'community caseload'!$B$22,'caseload data'!$B:$B,{"licence","community"}))</f>
        <v>0</v>
      </c>
      <c r="K27" s="94">
        <f>SUM(SUMIFS('caseload data'!M:M,'caseload data'!$D:$D,"SPO",'caseload data'!$C:$C,'community caseload'!$B$22,'caseload data'!$B:$B,{"licence","community"}))</f>
        <v>0</v>
      </c>
      <c r="L27" s="94">
        <f>SUM(SUMIFS('caseload data'!N:N,'caseload data'!$D:$D,"SPO",'caseload data'!$C:$C,'community caseload'!$B$22,'caseload data'!$B:$B,{"licence","community"}))</f>
        <v>0</v>
      </c>
      <c r="M27" s="94">
        <f>SUM(SUMIFS('caseload data'!O:O,'caseload data'!$D:$D,"SPO",'caseload data'!$C:$C,'community caseload'!$B$22,'caseload data'!$B:$B,{"licence","community"}))</f>
        <v>0</v>
      </c>
      <c r="N27" s="94">
        <f>SUM(SUMIFS('caseload data'!P:P,'caseload data'!$D:$D,"SPO",'caseload data'!$C:$C,'community caseload'!$B$22,'caseload data'!$B:$B,{"licence","community"}))</f>
        <v>0</v>
      </c>
      <c r="O27" s="94">
        <f>SUM(SUMIFS('caseload data'!Q:Q,'caseload data'!$D:$D,"SPO",'caseload data'!$C:$C,'community caseload'!$B$22,'caseload data'!$B:$B,{"licence","community"}))</f>
        <v>0</v>
      </c>
      <c r="P27" s="94">
        <f>SUM(SUMIFS('caseload data'!R:R,'caseload data'!$D:$D,"SPO",'caseload data'!$C:$C,'community caseload'!$B$22,'caseload data'!$B:$B,{"licence","community"}))</f>
        <v>0</v>
      </c>
      <c r="Q27" s="94">
        <f>SUM(SUMIFS('caseload data'!S:S,'caseload data'!$D:$D,"SPO",'caseload data'!$C:$C,'community caseload'!$B$22,'caseload data'!$B:$B,{"licence","community"}))</f>
        <v>0</v>
      </c>
      <c r="R27" s="94">
        <f>SUM(SUMIFS('caseload data'!T:T,'caseload data'!$D:$D,"SPO",'caseload data'!$C:$C,'community caseload'!$B$22,'caseload data'!$B:$B,{"licence","community"}))</f>
        <v>0</v>
      </c>
      <c r="S27" s="64"/>
      <c r="T27" s="98" t="s">
        <v>1009</v>
      </c>
      <c r="U27" s="94">
        <f>SUM(SUMIFS('caseload data'!E:E,'caseload data'!$D:$D,"SPO",'caseload data'!$C:$C,'community caseload'!$T$22,'caseload data'!$B:$B,{"licence","community"}))</f>
        <v>0</v>
      </c>
      <c r="V27" s="94">
        <f>SUM(SUMIFS('caseload data'!F:F,'caseload data'!$D:$D,"SPO",'caseload data'!$C:$C,'community caseload'!$T$22,'caseload data'!$B:$B,{"licence","community"}))</f>
        <v>0</v>
      </c>
      <c r="W27" s="94">
        <f>SUM(SUMIFS('caseload data'!G:G,'caseload data'!$D:$D,"SPO",'caseload data'!$C:$C,'community caseload'!$T$22,'caseload data'!$B:$B,{"licence","community"}))</f>
        <v>0</v>
      </c>
      <c r="X27" s="94">
        <f>SUM(SUMIFS('caseload data'!H:H,'caseload data'!$D:$D,"SPO",'caseload data'!$C:$C,'community caseload'!$T$22,'caseload data'!$B:$B,{"licence","community"}))</f>
        <v>0</v>
      </c>
      <c r="Y27" s="94">
        <f>SUM(SUMIFS('caseload data'!I:I,'caseload data'!$D:$D,"SPO",'caseload data'!$C:$C,'community caseload'!$T$22,'caseload data'!$B:$B,{"licence","community"}))</f>
        <v>0</v>
      </c>
      <c r="Z27" s="94">
        <f>SUM(SUMIFS('caseload data'!J:J,'caseload data'!$D:$D,"SPO",'caseload data'!$C:$C,'community caseload'!$T$22,'caseload data'!$B:$B,{"licence","community"}))</f>
        <v>0</v>
      </c>
      <c r="AA27" s="94">
        <f>SUM(SUMIFS('caseload data'!K:K,'caseload data'!$D:$D,"SPO",'caseload data'!$C:$C,'community caseload'!$T$22,'caseload data'!$B:$B,{"licence","community"}))</f>
        <v>0</v>
      </c>
      <c r="AB27" s="94">
        <f>SUM(SUMIFS('caseload data'!L:L,'caseload data'!$D:$D,"SPO",'caseload data'!$C:$C,'community caseload'!$T$22,'caseload data'!$B:$B,{"licence","community"}))</f>
        <v>0</v>
      </c>
      <c r="AC27" s="94">
        <f>SUM(SUMIFS('caseload data'!M:M,'caseload data'!$D:$D,"SPO",'caseload data'!$C:$C,'community caseload'!$T$22,'caseload data'!$B:$B,{"licence","community"}))</f>
        <v>0</v>
      </c>
      <c r="AD27" s="94">
        <f>SUM(SUMIFS('caseload data'!N:N,'caseload data'!$D:$D,"SPO",'caseload data'!$C:$C,'community caseload'!$T$22,'caseload data'!$B:$B,{"licence","community"}))</f>
        <v>0</v>
      </c>
      <c r="AE27" s="94">
        <f>SUM(SUMIFS('caseload data'!O:O,'caseload data'!$D:$D,"SPO",'caseload data'!$C:$C,'community caseload'!$T$22,'caseload data'!$B:$B,{"licence","community"}))</f>
        <v>0</v>
      </c>
      <c r="AF27" s="94">
        <f>SUM(SUMIFS('caseload data'!P:P,'caseload data'!$D:$D,"SPO",'caseload data'!$C:$C,'community caseload'!$T$22,'caseload data'!$B:$B,{"licence","community"}))</f>
        <v>0</v>
      </c>
      <c r="AG27" s="94">
        <f>SUM(SUMIFS('caseload data'!Q:Q,'caseload data'!$D:$D,"SPO",'caseload data'!$C:$C,'community caseload'!$T$22,'caseload data'!$B:$B,{"licence","community"}))</f>
        <v>0</v>
      </c>
      <c r="AH27" s="94">
        <f>SUM(SUMIFS('caseload data'!R:R,'caseload data'!$D:$D,"SPO",'caseload data'!$C:$C,'community caseload'!$T$22,'caseload data'!$B:$B,{"licence","community"}))</f>
        <v>0</v>
      </c>
      <c r="AI27" s="94">
        <f>SUM(SUMIFS('caseload data'!S:S,'caseload data'!$D:$D,"SPO",'caseload data'!$C:$C,'community caseload'!$T$22,'caseload data'!$B:$B,{"licence","community"}))</f>
        <v>0</v>
      </c>
      <c r="AJ27" s="94">
        <f>SUM(SUMIFS('caseload data'!T:T,'caseload data'!$D:$D,"SPO",'caseload data'!$C:$C,'community caseload'!$T$22,'caseload data'!$B:$B,{"licence","community"}))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36" customHeight="1" x14ac:dyDescent="0.15">
      <c r="B29" s="289" t="str">
        <f>HLOOKUP($B$5,Region_Table,8,0)</f>
        <v>Nottinghamshire - N53</v>
      </c>
      <c r="C29" s="507" t="s">
        <v>1135</v>
      </c>
      <c r="D29" s="508"/>
      <c r="E29" s="508"/>
      <c r="F29" s="508"/>
      <c r="G29" s="508"/>
      <c r="H29" s="508"/>
      <c r="I29" s="508"/>
      <c r="J29" s="508"/>
      <c r="K29" s="508"/>
      <c r="L29" s="508"/>
      <c r="M29" s="537"/>
      <c r="N29" s="537"/>
      <c r="O29" s="538"/>
      <c r="P29" s="510" cm="1">
        <f t="array" ref="P29">SUM(SUMIFS('caseload data'!V:V,'caseload data'!B:B,{"licence","community"},'caseload data'!$C:$C,'community caseload'!B29))</f>
        <v>0</v>
      </c>
      <c r="Q29" s="527"/>
      <c r="R29" s="528"/>
      <c r="S29" s="291"/>
      <c r="T29" s="289" t="str">
        <f>HLOOKUP($B$5,Region_Table,9,0)</f>
        <v>Unpaid Work and Attendance Centres - N53</v>
      </c>
      <c r="U29" s="507" t="s">
        <v>1135</v>
      </c>
      <c r="V29" s="508"/>
      <c r="W29" s="508"/>
      <c r="X29" s="508"/>
      <c r="Y29" s="508"/>
      <c r="Z29" s="508"/>
      <c r="AA29" s="508"/>
      <c r="AB29" s="508"/>
      <c r="AC29" s="508"/>
      <c r="AD29" s="508"/>
      <c r="AE29" s="537"/>
      <c r="AF29" s="537"/>
      <c r="AG29" s="538"/>
      <c r="AH29" s="510" cm="1">
        <f t="array" ref="AH29">SUM(SUMIFS('caseload data'!V:V,'caseload data'!B:B,{"licence","community"},'caseload data'!$C:$C,'community caseload'!T29))</f>
        <v>0</v>
      </c>
      <c r="AI29" s="527"/>
      <c r="AJ29" s="528"/>
    </row>
    <row r="30" spans="2:36" x14ac:dyDescent="0.15">
      <c r="B30" s="95" t="s">
        <v>1005</v>
      </c>
      <c r="C30" s="38" t="s">
        <v>869</v>
      </c>
      <c r="D30" s="38" t="s">
        <v>870</v>
      </c>
      <c r="E30" s="38" t="s">
        <v>871</v>
      </c>
      <c r="F30" s="38" t="s">
        <v>872</v>
      </c>
      <c r="G30" s="38" t="s">
        <v>873</v>
      </c>
      <c r="H30" s="38" t="s">
        <v>874</v>
      </c>
      <c r="I30" s="38" t="s">
        <v>875</v>
      </c>
      <c r="J30" s="38" t="s">
        <v>876</v>
      </c>
      <c r="K30" s="38" t="s">
        <v>877</v>
      </c>
      <c r="L30" s="38" t="s">
        <v>878</v>
      </c>
      <c r="M30" s="38" t="s">
        <v>879</v>
      </c>
      <c r="N30" s="38" t="s">
        <v>880</v>
      </c>
      <c r="O30" s="38" t="s">
        <v>881</v>
      </c>
      <c r="P30" s="38" t="s">
        <v>882</v>
      </c>
      <c r="Q30" s="38" t="s">
        <v>883</v>
      </c>
      <c r="R30" s="38" t="s">
        <v>884</v>
      </c>
      <c r="S30" s="64"/>
      <c r="T30" s="95" t="s">
        <v>1005</v>
      </c>
      <c r="U30" s="38" t="s">
        <v>869</v>
      </c>
      <c r="V30" s="38" t="s">
        <v>870</v>
      </c>
      <c r="W30" s="38" t="s">
        <v>871</v>
      </c>
      <c r="X30" s="38" t="s">
        <v>872</v>
      </c>
      <c r="Y30" s="38" t="s">
        <v>873</v>
      </c>
      <c r="Z30" s="38" t="s">
        <v>874</v>
      </c>
      <c r="AA30" s="38" t="s">
        <v>875</v>
      </c>
      <c r="AB30" s="38" t="s">
        <v>876</v>
      </c>
      <c r="AC30" s="38" t="s">
        <v>877</v>
      </c>
      <c r="AD30" s="38" t="s">
        <v>878</v>
      </c>
      <c r="AE30" s="38" t="s">
        <v>879</v>
      </c>
      <c r="AF30" s="38" t="s">
        <v>880</v>
      </c>
      <c r="AG30" s="38" t="s">
        <v>881</v>
      </c>
      <c r="AH30" s="38" t="s">
        <v>882</v>
      </c>
      <c r="AI30" s="38" t="s">
        <v>883</v>
      </c>
      <c r="AJ30" s="38" t="s">
        <v>884</v>
      </c>
    </row>
    <row r="31" spans="2:36" x14ac:dyDescent="0.15">
      <c r="B31" s="96" t="s">
        <v>1002</v>
      </c>
      <c r="C31" s="94">
        <f>SUM(SUMIFS('caseload data'!E:E,'caseload data'!$D:$D,"PO",'caseload data'!$C:$C,'community caseload'!$B$29,'caseload data'!$B:$B,{"licence","community"}))</f>
        <v>0</v>
      </c>
      <c r="D31" s="94">
        <f>SUM(SUMIFS('caseload data'!F:F,'caseload data'!$D:$D,"PO",'caseload data'!$C:$C,'community caseload'!$B$29,'caseload data'!$B:$B,{"licence","community"}))</f>
        <v>0</v>
      </c>
      <c r="E31" s="94">
        <f>SUM(SUMIFS('caseload data'!G:G,'caseload data'!$D:$D,"PO",'caseload data'!$C:$C,'community caseload'!$B$29,'caseload data'!$B:$B,{"licence","community"}))</f>
        <v>0</v>
      </c>
      <c r="F31" s="94">
        <f>SUM(SUMIFS('caseload data'!H:H,'caseload data'!$D:$D,"PO",'caseload data'!$C:$C,'community caseload'!$B$29,'caseload data'!$B:$B,{"licence","community"}))</f>
        <v>0</v>
      </c>
      <c r="G31" s="94">
        <f>SUM(SUMIFS('caseload data'!I:I,'caseload data'!$D:$D,"PO",'caseload data'!$C:$C,'community caseload'!$B$29,'caseload data'!$B:$B,{"licence","community"}))</f>
        <v>0</v>
      </c>
      <c r="H31" s="94">
        <f>SUM(SUMIFS('caseload data'!J:J,'caseload data'!$D:$D,"PO",'caseload data'!$C:$C,'community caseload'!$B$29,'caseload data'!$B:$B,{"licence","community"}))</f>
        <v>0</v>
      </c>
      <c r="I31" s="94">
        <f>SUM(SUMIFS('caseload data'!K:K,'caseload data'!$D:$D,"PO",'caseload data'!$C:$C,'community caseload'!$B$29,'caseload data'!$B:$B,{"licence","community"}))</f>
        <v>0</v>
      </c>
      <c r="J31" s="94">
        <f>SUM(SUMIFS('caseload data'!L:L,'caseload data'!$D:$D,"PO",'caseload data'!$C:$C,'community caseload'!$B$29,'caseload data'!$B:$B,{"licence","community"}))</f>
        <v>0</v>
      </c>
      <c r="K31" s="94">
        <f>SUM(SUMIFS('caseload data'!M:M,'caseload data'!$D:$D,"PO",'caseload data'!$C:$C,'community caseload'!$B$29,'caseload data'!$B:$B,{"licence","community"}))</f>
        <v>0</v>
      </c>
      <c r="L31" s="94">
        <f>SUM(SUMIFS('caseload data'!N:N,'caseload data'!$D:$D,"PO",'caseload data'!$C:$C,'community caseload'!$B$29,'caseload data'!$B:$B,{"licence","community"}))</f>
        <v>0</v>
      </c>
      <c r="M31" s="94">
        <f>SUM(SUMIFS('caseload data'!O:O,'caseload data'!$D:$D,"PO",'caseload data'!$C:$C,'community caseload'!$B$29,'caseload data'!$B:$B,{"licence","community"}))</f>
        <v>0</v>
      </c>
      <c r="N31" s="94">
        <f>SUM(SUMIFS('caseload data'!P:P,'caseload data'!$D:$D,"PO",'caseload data'!$C:$C,'community caseload'!$B$29,'caseload data'!$B:$B,{"licence","community"}))</f>
        <v>0</v>
      </c>
      <c r="O31" s="94">
        <f>SUM(SUMIFS('caseload data'!Q:Q,'caseload data'!$D:$D,"PO",'caseload data'!$C:$C,'community caseload'!$B$29,'caseload data'!$B:$B,{"licence","community"}))</f>
        <v>0</v>
      </c>
      <c r="P31" s="94">
        <f>SUM(SUMIFS('caseload data'!R:R,'caseload data'!$D:$D,"PO",'caseload data'!$C:$C,'community caseload'!$B$29,'caseload data'!$B:$B,{"licence","community"}))</f>
        <v>0</v>
      </c>
      <c r="Q31" s="94">
        <f>SUM(SUMIFS('caseload data'!S:S,'caseload data'!$D:$D,"PO",'caseload data'!$C:$C,'community caseload'!$B$29,'caseload data'!$B:$B,{"licence","community"}))</f>
        <v>0</v>
      </c>
      <c r="R31" s="94">
        <f>SUM(SUMIFS('caseload data'!T:T,'caseload data'!$D:$D,"PO",'caseload data'!$C:$C,'community caseload'!$B$29,'caseload data'!$B:$B,{"licence","community"}))</f>
        <v>0</v>
      </c>
      <c r="S31" s="64"/>
      <c r="T31" s="96" t="s">
        <v>1002</v>
      </c>
      <c r="U31" s="94">
        <f>SUM(SUMIFS('caseload data'!E:E,'caseload data'!$D:$D,"PO",'caseload data'!$C:$C,'community caseload'!$T$29,'caseload data'!$B:$B,{"licence","community"}))</f>
        <v>0</v>
      </c>
      <c r="V31" s="94">
        <f>SUM(SUMIFS('caseload data'!F:F,'caseload data'!$D:$D,"PO",'caseload data'!$C:$C,'community caseload'!$T$29,'caseload data'!$B:$B,{"licence","community"}))</f>
        <v>0</v>
      </c>
      <c r="W31" s="94">
        <f>SUM(SUMIFS('caseload data'!G:G,'caseload data'!$D:$D,"PO",'caseload data'!$C:$C,'community caseload'!$T$29,'caseload data'!$B:$B,{"licence","community"}))</f>
        <v>0</v>
      </c>
      <c r="X31" s="94">
        <f>SUM(SUMIFS('caseload data'!H:H,'caseload data'!$D:$D,"PO",'caseload data'!$C:$C,'community caseload'!$T$29,'caseload data'!$B:$B,{"licence","community"}))</f>
        <v>0</v>
      </c>
      <c r="Y31" s="94">
        <f>SUM(SUMIFS('caseload data'!I:I,'caseload data'!$D:$D,"PO",'caseload data'!$C:$C,'community caseload'!$T$29,'caseload data'!$B:$B,{"licence","community"}))</f>
        <v>0</v>
      </c>
      <c r="Z31" s="94">
        <f>SUM(SUMIFS('caseload data'!J:J,'caseload data'!$D:$D,"PO",'caseload data'!$C:$C,'community caseload'!$T$29,'caseload data'!$B:$B,{"licence","community"}))</f>
        <v>0</v>
      </c>
      <c r="AA31" s="94">
        <f>SUM(SUMIFS('caseload data'!K:K,'caseload data'!$D:$D,"PO",'caseload data'!$C:$C,'community caseload'!$T$29,'caseload data'!$B:$B,{"licence","community"}))</f>
        <v>0</v>
      </c>
      <c r="AB31" s="94">
        <f>SUM(SUMIFS('caseload data'!L:L,'caseload data'!$D:$D,"PO",'caseload data'!$C:$C,'community caseload'!$T$29,'caseload data'!$B:$B,{"licence","community"}))</f>
        <v>0</v>
      </c>
      <c r="AC31" s="94">
        <f>SUM(SUMIFS('caseload data'!M:M,'caseload data'!$D:$D,"PO",'caseload data'!$C:$C,'community caseload'!$T$29,'caseload data'!$B:$B,{"licence","community"}))</f>
        <v>0</v>
      </c>
      <c r="AD31" s="94">
        <f>SUM(SUMIFS('caseload data'!N:N,'caseload data'!$D:$D,"PO",'caseload data'!$C:$C,'community caseload'!$T$29,'caseload data'!$B:$B,{"licence","community"}))</f>
        <v>0</v>
      </c>
      <c r="AE31" s="94">
        <f>SUM(SUMIFS('caseload data'!O:O,'caseload data'!$D:$D,"PO",'caseload data'!$C:$C,'community caseload'!$T$29,'caseload data'!$B:$B,{"licence","community"}))</f>
        <v>0</v>
      </c>
      <c r="AF31" s="94">
        <f>SUM(SUMIFS('caseload data'!P:P,'caseload data'!$D:$D,"PO",'caseload data'!$C:$C,'community caseload'!$T$29,'caseload data'!$B:$B,{"licence","community"}))</f>
        <v>0</v>
      </c>
      <c r="AG31" s="94">
        <f>SUM(SUMIFS('caseload data'!Q:Q,'caseload data'!$D:$D,"PO",'caseload data'!$C:$C,'community caseload'!$T$29,'caseload data'!$B:$B,{"licence","community"}))</f>
        <v>0</v>
      </c>
      <c r="AH31" s="94">
        <f>SUM(SUMIFS('caseload data'!R:R,'caseload data'!$D:$D,"PO",'caseload data'!$C:$C,'community caseload'!$T$29,'caseload data'!$B:$B,{"licence","community"}))</f>
        <v>0</v>
      </c>
      <c r="AI31" s="94">
        <f>SUM(SUMIFS('caseload data'!S:S,'caseload data'!$D:$D,"PO",'caseload data'!$C:$C,'community caseload'!$T$29,'caseload data'!$B:$B,{"licence","community"}))</f>
        <v>0</v>
      </c>
      <c r="AJ31" s="94">
        <f>SUM(SUMIFS('caseload data'!T:T,'caseload data'!$D:$D,"PO",'caseload data'!$C:$C,'community caseload'!$T$29,'caseload data'!$B:$B,{"licence","community"}))</f>
        <v>0</v>
      </c>
    </row>
    <row r="32" spans="2:36" x14ac:dyDescent="0.15">
      <c r="B32" s="97" t="s">
        <v>1007</v>
      </c>
      <c r="C32" s="94">
        <f>SUM(SUMIFS('caseload data'!E:E,'caseload data'!$D:$D,"PSO",'caseload data'!$C:$C,'community caseload'!$B$29,'caseload data'!$B:$B,{"licence","community"}))</f>
        <v>0</v>
      </c>
      <c r="D32" s="94">
        <f>SUM(SUMIFS('caseload data'!F:F,'caseload data'!$D:$D,"PSO",'caseload data'!$C:$C,'community caseload'!$B$29,'caseload data'!$B:$B,{"licence","community"}))</f>
        <v>0</v>
      </c>
      <c r="E32" s="94">
        <f>SUM(SUMIFS('caseload data'!G:G,'caseload data'!$D:$D,"PSO",'caseload data'!$C:$C,'community caseload'!$B$29,'caseload data'!$B:$B,{"licence","community"}))</f>
        <v>0</v>
      </c>
      <c r="F32" s="94">
        <f>SUM(SUMIFS('caseload data'!H:H,'caseload data'!$D:$D,"PSO",'caseload data'!$C:$C,'community caseload'!$B$29,'caseload data'!$B:$B,{"licence","community"}))</f>
        <v>0</v>
      </c>
      <c r="G32" s="94">
        <f>SUM(SUMIFS('caseload data'!I:I,'caseload data'!$D:$D,"PSO",'caseload data'!$C:$C,'community caseload'!$B$29,'caseload data'!$B:$B,{"licence","community"}))</f>
        <v>0</v>
      </c>
      <c r="H32" s="94">
        <f>SUM(SUMIFS('caseload data'!J:J,'caseload data'!$D:$D,"PSO",'caseload data'!$C:$C,'community caseload'!$B$29,'caseload data'!$B:$B,{"licence","community"}))</f>
        <v>0</v>
      </c>
      <c r="I32" s="94">
        <f>SUM(SUMIFS('caseload data'!K:K,'caseload data'!$D:$D,"PSO",'caseload data'!$C:$C,'community caseload'!$B$29,'caseload data'!$B:$B,{"licence","community"}))</f>
        <v>0</v>
      </c>
      <c r="J32" s="94">
        <f>SUM(SUMIFS('caseload data'!L:L,'caseload data'!$D:$D,"PSO",'caseload data'!$C:$C,'community caseload'!$B$29,'caseload data'!$B:$B,{"licence","community"}))</f>
        <v>0</v>
      </c>
      <c r="K32" s="94">
        <f>SUM(SUMIFS('caseload data'!M:M,'caseload data'!$D:$D,"PSO",'caseload data'!$C:$C,'community caseload'!$B$29,'caseload data'!$B:$B,{"licence","community"}))</f>
        <v>0</v>
      </c>
      <c r="L32" s="94">
        <f>SUM(SUMIFS('caseload data'!N:N,'caseload data'!$D:$D,"PSO",'caseload data'!$C:$C,'community caseload'!$B$29,'caseload data'!$B:$B,{"licence","community"}))</f>
        <v>0</v>
      </c>
      <c r="M32" s="94">
        <f>SUM(SUMIFS('caseload data'!O:O,'caseload data'!$D:$D,"PSO",'caseload data'!$C:$C,'community caseload'!$B$29,'caseload data'!$B:$B,{"licence","community"}))</f>
        <v>0</v>
      </c>
      <c r="N32" s="94">
        <f>SUM(SUMIFS('caseload data'!P:P,'caseload data'!$D:$D,"PSO",'caseload data'!$C:$C,'community caseload'!$B$29,'caseload data'!$B:$B,{"licence","community"}))</f>
        <v>0</v>
      </c>
      <c r="O32" s="94">
        <f>SUM(SUMIFS('caseload data'!Q:Q,'caseload data'!$D:$D,"PSO",'caseload data'!$C:$C,'community caseload'!$B$29,'caseload data'!$B:$B,{"licence","community"}))</f>
        <v>0</v>
      </c>
      <c r="P32" s="94">
        <f>SUM(SUMIFS('caseload data'!R:R,'caseload data'!$D:$D,"PSO",'caseload data'!$C:$C,'community caseload'!$B$29,'caseload data'!$B:$B,{"licence","community"}))</f>
        <v>0</v>
      </c>
      <c r="Q32" s="94">
        <f>SUM(SUMIFS('caseload data'!S:S,'caseload data'!$D:$D,"PSO",'caseload data'!$C:$C,'community caseload'!$B$29,'caseload data'!$B:$B,{"licence","community"}))</f>
        <v>0</v>
      </c>
      <c r="R32" s="94">
        <f>SUM(SUMIFS('caseload data'!T:T,'caseload data'!$D:$D,"PSO",'caseload data'!$C:$C,'community caseload'!$B$29,'caseload data'!$B:$B,{"licence","community"}))</f>
        <v>0</v>
      </c>
      <c r="S32" s="64"/>
      <c r="T32" s="97" t="s">
        <v>1007</v>
      </c>
      <c r="U32" s="94">
        <f>SUM(SUMIFS('caseload data'!E:E,'caseload data'!$D:$D,"PSO",'caseload data'!$C:$C,'community caseload'!$T$29,'caseload data'!$B:$B,{"licence","community"}))</f>
        <v>0</v>
      </c>
      <c r="V32" s="94">
        <f>SUM(SUMIFS('caseload data'!F:F,'caseload data'!$D:$D,"PSO",'caseload data'!$C:$C,'community caseload'!$T$29,'caseload data'!$B:$B,{"licence","community"}))</f>
        <v>0</v>
      </c>
      <c r="W32" s="94">
        <f>SUM(SUMIFS('caseload data'!G:G,'caseload data'!$D:$D,"PSO",'caseload data'!$C:$C,'community caseload'!$T$29,'caseload data'!$B:$B,{"licence","community"}))</f>
        <v>0</v>
      </c>
      <c r="X32" s="94">
        <f>SUM(SUMIFS('caseload data'!H:H,'caseload data'!$D:$D,"PSO",'caseload data'!$C:$C,'community caseload'!$T$29,'caseload data'!$B:$B,{"licence","community"}))</f>
        <v>0</v>
      </c>
      <c r="Y32" s="94">
        <f>SUM(SUMIFS('caseload data'!I:I,'caseload data'!$D:$D,"PSO",'caseload data'!$C:$C,'community caseload'!$T$29,'caseload data'!$B:$B,{"licence","community"}))</f>
        <v>0</v>
      </c>
      <c r="Z32" s="94">
        <f>SUM(SUMIFS('caseload data'!J:J,'caseload data'!$D:$D,"PSO",'caseload data'!$C:$C,'community caseload'!$T$29,'caseload data'!$B:$B,{"licence","community"}))</f>
        <v>0</v>
      </c>
      <c r="AA32" s="94">
        <f>SUM(SUMIFS('caseload data'!K:K,'caseload data'!$D:$D,"PSO",'caseload data'!$C:$C,'community caseload'!$T$29,'caseload data'!$B:$B,{"licence","community"}))</f>
        <v>0</v>
      </c>
      <c r="AB32" s="94">
        <f>SUM(SUMIFS('caseload data'!L:L,'caseload data'!$D:$D,"PSO",'caseload data'!$C:$C,'community caseload'!$T$29,'caseload data'!$B:$B,{"licence","community"}))</f>
        <v>0</v>
      </c>
      <c r="AC32" s="94">
        <f>SUM(SUMIFS('caseload data'!M:M,'caseload data'!$D:$D,"PSO",'caseload data'!$C:$C,'community caseload'!$T$29,'caseload data'!$B:$B,{"licence","community"}))</f>
        <v>0</v>
      </c>
      <c r="AD32" s="94">
        <f>SUM(SUMIFS('caseload data'!N:N,'caseload data'!$D:$D,"PSO",'caseload data'!$C:$C,'community caseload'!$T$29,'caseload data'!$B:$B,{"licence","community"}))</f>
        <v>0</v>
      </c>
      <c r="AE32" s="94">
        <f>SUM(SUMIFS('caseload data'!O:O,'caseload data'!$D:$D,"PSO",'caseload data'!$C:$C,'community caseload'!$T$29,'caseload data'!$B:$B,{"licence","community"}))</f>
        <v>0</v>
      </c>
      <c r="AF32" s="94">
        <f>SUM(SUMIFS('caseload data'!P:P,'caseload data'!$D:$D,"PSO",'caseload data'!$C:$C,'community caseload'!$T$29,'caseload data'!$B:$B,{"licence","community"}))</f>
        <v>0</v>
      </c>
      <c r="AG32" s="94">
        <f>SUM(SUMIFS('caseload data'!Q:Q,'caseload data'!$D:$D,"PSO",'caseload data'!$C:$C,'community caseload'!$T$29,'caseload data'!$B:$B,{"licence","community"}))</f>
        <v>0</v>
      </c>
      <c r="AH32" s="94">
        <f>SUM(SUMIFS('caseload data'!R:R,'caseload data'!$D:$D,"PSO",'caseload data'!$C:$C,'community caseload'!$T$29,'caseload data'!$B:$B,{"licence","community"}))</f>
        <v>0</v>
      </c>
      <c r="AI32" s="94">
        <f>SUM(SUMIFS('caseload data'!S:S,'caseload data'!$D:$D,"PSO",'caseload data'!$C:$C,'community caseload'!$T$29,'caseload data'!$B:$B,{"licence","community"}))</f>
        <v>0</v>
      </c>
      <c r="AJ32" s="94">
        <f>SUM(SUMIFS('caseload data'!T:T,'caseload data'!$D:$D,"PSO",'caseload data'!$C:$C,'community caseload'!$T$29,'caseload data'!$B:$B,{"licence","community"}))</f>
        <v>0</v>
      </c>
    </row>
    <row r="33" spans="2:36" x14ac:dyDescent="0.15">
      <c r="B33" s="97" t="s">
        <v>1008</v>
      </c>
      <c r="C33" s="94">
        <f>SUM(SUMIFS('caseload data'!E:E,'caseload data'!$D:$D,"TPO",'caseload data'!$C:$C,'community caseload'!$B$29,'caseload data'!$B:$B,{"licence","community"}))</f>
        <v>0</v>
      </c>
      <c r="D33" s="94">
        <f>SUM(SUMIFS('caseload data'!F:F,'caseload data'!$D:$D,"TPO",'caseload data'!$C:$C,'community caseload'!$B$29,'caseload data'!$B:$B,{"licence","community"}))</f>
        <v>0</v>
      </c>
      <c r="E33" s="94">
        <f>SUM(SUMIFS('caseload data'!G:G,'caseload data'!$D:$D,"TPO",'caseload data'!$C:$C,'community caseload'!$B$29,'caseload data'!$B:$B,{"licence","community"}))</f>
        <v>0</v>
      </c>
      <c r="F33" s="94">
        <f>SUM(SUMIFS('caseload data'!H:H,'caseload data'!$D:$D,"TPO",'caseload data'!$C:$C,'community caseload'!$B$29,'caseload data'!$B:$B,{"licence","community"}))</f>
        <v>0</v>
      </c>
      <c r="G33" s="94">
        <f>SUM(SUMIFS('caseload data'!I:I,'caseload data'!$D:$D,"TPO",'caseload data'!$C:$C,'community caseload'!$B$29,'caseload data'!$B:$B,{"licence","community"}))</f>
        <v>0</v>
      </c>
      <c r="H33" s="94">
        <f>SUM(SUMIFS('caseload data'!J:J,'caseload data'!$D:$D,"TPO",'caseload data'!$C:$C,'community caseload'!$B$29,'caseload data'!$B:$B,{"licence","community"}))</f>
        <v>0</v>
      </c>
      <c r="I33" s="94">
        <f>SUM(SUMIFS('caseload data'!K:K,'caseload data'!$D:$D,"TPO",'caseload data'!$C:$C,'community caseload'!$B$29,'caseload data'!$B:$B,{"licence","community"}))</f>
        <v>0</v>
      </c>
      <c r="J33" s="94">
        <f>SUM(SUMIFS('caseload data'!L:L,'caseload data'!$D:$D,"TPO",'caseload data'!$C:$C,'community caseload'!$B$29,'caseload data'!$B:$B,{"licence","community"}))</f>
        <v>0</v>
      </c>
      <c r="K33" s="94">
        <f>SUM(SUMIFS('caseload data'!M:M,'caseload data'!$D:$D,"TPO",'caseload data'!$C:$C,'community caseload'!$B$29,'caseload data'!$B:$B,{"licence","community"}))</f>
        <v>0</v>
      </c>
      <c r="L33" s="94">
        <f>SUM(SUMIFS('caseload data'!N:N,'caseload data'!$D:$D,"TPO",'caseload data'!$C:$C,'community caseload'!$B$29,'caseload data'!$B:$B,{"licence","community"}))</f>
        <v>0</v>
      </c>
      <c r="M33" s="94">
        <f>SUM(SUMIFS('caseload data'!O:O,'caseload data'!$D:$D,"TPO",'caseload data'!$C:$C,'community caseload'!$B$29,'caseload data'!$B:$B,{"licence","community"}))</f>
        <v>0</v>
      </c>
      <c r="N33" s="94">
        <f>SUM(SUMIFS('caseload data'!P:P,'caseload data'!$D:$D,"TPO",'caseload data'!$C:$C,'community caseload'!$B$29,'caseload data'!$B:$B,{"licence","community"}))</f>
        <v>0</v>
      </c>
      <c r="O33" s="94">
        <f>SUM(SUMIFS('caseload data'!Q:Q,'caseload data'!$D:$D,"TPO",'caseload data'!$C:$C,'community caseload'!$B$29,'caseload data'!$B:$B,{"licence","community"}))</f>
        <v>0</v>
      </c>
      <c r="P33" s="94">
        <f>SUM(SUMIFS('caseload data'!R:R,'caseload data'!$D:$D,"TPO",'caseload data'!$C:$C,'community caseload'!$B$29,'caseload data'!$B:$B,{"licence","community"}))</f>
        <v>0</v>
      </c>
      <c r="Q33" s="94">
        <f>SUM(SUMIFS('caseload data'!S:S,'caseload data'!$D:$D,"TPO",'caseload data'!$C:$C,'community caseload'!$B$29,'caseload data'!$B:$B,{"licence","community"}))</f>
        <v>0</v>
      </c>
      <c r="R33" s="94">
        <f>SUM(SUMIFS('caseload data'!T:T,'caseload data'!$D:$D,"TPO",'caseload data'!$C:$C,'community caseload'!$B$29,'caseload data'!$B:$B,{"licence","community"}))</f>
        <v>0</v>
      </c>
      <c r="S33" s="64"/>
      <c r="T33" s="97" t="s">
        <v>1008</v>
      </c>
      <c r="U33" s="94">
        <f>SUM(SUMIFS('caseload data'!E:E,'caseload data'!$D:$D,"TPO",'caseload data'!$C:$C,'community caseload'!$T$29,'caseload data'!$B:$B,{"licence","community"}))</f>
        <v>0</v>
      </c>
      <c r="V33" s="94">
        <f>SUM(SUMIFS('caseload data'!F:F,'caseload data'!$D:$D,"TPO",'caseload data'!$C:$C,'community caseload'!$T$29,'caseload data'!$B:$B,{"licence","community"}))</f>
        <v>0</v>
      </c>
      <c r="W33" s="94">
        <f>SUM(SUMIFS('caseload data'!G:G,'caseload data'!$D:$D,"TPO",'caseload data'!$C:$C,'community caseload'!$T$29,'caseload data'!$B:$B,{"licence","community"}))</f>
        <v>0</v>
      </c>
      <c r="X33" s="94">
        <f>SUM(SUMIFS('caseload data'!H:H,'caseload data'!$D:$D,"TPO",'caseload data'!$C:$C,'community caseload'!$T$29,'caseload data'!$B:$B,{"licence","community"}))</f>
        <v>0</v>
      </c>
      <c r="Y33" s="94">
        <f>SUM(SUMIFS('caseload data'!I:I,'caseload data'!$D:$D,"TPO",'caseload data'!$C:$C,'community caseload'!$T$29,'caseload data'!$B:$B,{"licence","community"}))</f>
        <v>0</v>
      </c>
      <c r="Z33" s="94">
        <f>SUM(SUMIFS('caseload data'!J:J,'caseload data'!$D:$D,"TPO",'caseload data'!$C:$C,'community caseload'!$T$29,'caseload data'!$B:$B,{"licence","community"}))</f>
        <v>0</v>
      </c>
      <c r="AA33" s="94">
        <f>SUM(SUMIFS('caseload data'!K:K,'caseload data'!$D:$D,"TPO",'caseload data'!$C:$C,'community caseload'!$T$29,'caseload data'!$B:$B,{"licence","community"}))</f>
        <v>0</v>
      </c>
      <c r="AB33" s="94">
        <f>SUM(SUMIFS('caseload data'!L:L,'caseload data'!$D:$D,"TPO",'caseload data'!$C:$C,'community caseload'!$T$29,'caseload data'!$B:$B,{"licence","community"}))</f>
        <v>0</v>
      </c>
      <c r="AC33" s="94">
        <f>SUM(SUMIFS('caseload data'!M:M,'caseload data'!$D:$D,"TPO",'caseload data'!$C:$C,'community caseload'!$T$29,'caseload data'!$B:$B,{"licence","community"}))</f>
        <v>0</v>
      </c>
      <c r="AD33" s="94">
        <f>SUM(SUMIFS('caseload data'!N:N,'caseload data'!$D:$D,"TPO",'caseload data'!$C:$C,'community caseload'!$T$29,'caseload data'!$B:$B,{"licence","community"}))</f>
        <v>0</v>
      </c>
      <c r="AE33" s="94">
        <f>SUM(SUMIFS('caseload data'!O:O,'caseload data'!$D:$D,"TPO",'caseload data'!$C:$C,'community caseload'!$T$29,'caseload data'!$B:$B,{"licence","community"}))</f>
        <v>0</v>
      </c>
      <c r="AF33" s="94">
        <f>SUM(SUMIFS('caseload data'!P:P,'caseload data'!$D:$D,"TPO",'caseload data'!$C:$C,'community caseload'!$T$29,'caseload data'!$B:$B,{"licence","community"}))</f>
        <v>0</v>
      </c>
      <c r="AG33" s="94">
        <f>SUM(SUMIFS('caseload data'!Q:Q,'caseload data'!$D:$D,"TPO",'caseload data'!$C:$C,'community caseload'!$T$29,'caseload data'!$B:$B,{"licence","community"}))</f>
        <v>0</v>
      </c>
      <c r="AH33" s="94">
        <f>SUM(SUMIFS('caseload data'!R:R,'caseload data'!$D:$D,"TPO",'caseload data'!$C:$C,'community caseload'!$T$29,'caseload data'!$B:$B,{"licence","community"}))</f>
        <v>0</v>
      </c>
      <c r="AI33" s="94">
        <f>SUM(SUMIFS('caseload data'!S:S,'caseload data'!$D:$D,"TPO",'caseload data'!$C:$C,'community caseload'!$T$29,'caseload data'!$B:$B,{"licence","community"}))</f>
        <v>0</v>
      </c>
      <c r="AJ33" s="94">
        <f>SUM(SUMIFS('caseload data'!T:T,'caseload data'!$D:$D,"TPO",'caseload data'!$C:$C,'community caseload'!$T$29,'caseload data'!$B:$B,{"licence","community"}))</f>
        <v>0</v>
      </c>
    </row>
    <row r="34" spans="2:36" x14ac:dyDescent="0.15">
      <c r="B34" s="98" t="s">
        <v>1009</v>
      </c>
      <c r="C34" s="94">
        <f>SUM(SUMIFS('caseload data'!E:E,'caseload data'!$D:$D,"SPO",'caseload data'!$C:$C,'community caseload'!$B$29,'caseload data'!$B:$B,{"licence","community"}))</f>
        <v>0</v>
      </c>
      <c r="D34" s="94">
        <f>SUM(SUMIFS('caseload data'!F:F,'caseload data'!$D:$D,"SPO",'caseload data'!$C:$C,'community caseload'!$B$29,'caseload data'!$B:$B,{"licence","community"}))</f>
        <v>0</v>
      </c>
      <c r="E34" s="94">
        <f>SUM(SUMIFS('caseload data'!G:G,'caseload data'!$D:$D,"SPO",'caseload data'!$C:$C,'community caseload'!$B$29,'caseload data'!$B:$B,{"licence","community"}))</f>
        <v>0</v>
      </c>
      <c r="F34" s="94">
        <f>SUM(SUMIFS('caseload data'!H:H,'caseload data'!$D:$D,"SPO",'caseload data'!$C:$C,'community caseload'!$B$29,'caseload data'!$B:$B,{"licence","community"}))</f>
        <v>0</v>
      </c>
      <c r="G34" s="94">
        <f>SUM(SUMIFS('caseload data'!I:I,'caseload data'!$D:$D,"SPO",'caseload data'!$C:$C,'community caseload'!$B$29,'caseload data'!$B:$B,{"licence","community"}))</f>
        <v>0</v>
      </c>
      <c r="H34" s="94">
        <f>SUM(SUMIFS('caseload data'!J:J,'caseload data'!$D:$D,"SPO",'caseload data'!$C:$C,'community caseload'!$B$29,'caseload data'!$B:$B,{"licence","community"}))</f>
        <v>0</v>
      </c>
      <c r="I34" s="94">
        <f>SUM(SUMIFS('caseload data'!K:K,'caseload data'!$D:$D,"SPO",'caseload data'!$C:$C,'community caseload'!$B$29,'caseload data'!$B:$B,{"licence","community"}))</f>
        <v>0</v>
      </c>
      <c r="J34" s="94">
        <f>SUM(SUMIFS('caseload data'!L:L,'caseload data'!$D:$D,"SPO",'caseload data'!$C:$C,'community caseload'!$B$29,'caseload data'!$B:$B,{"licence","community"}))</f>
        <v>0</v>
      </c>
      <c r="K34" s="94">
        <f>SUM(SUMIFS('caseload data'!M:M,'caseload data'!$D:$D,"SPO",'caseload data'!$C:$C,'community caseload'!$B$29,'caseload data'!$B:$B,{"licence","community"}))</f>
        <v>0</v>
      </c>
      <c r="L34" s="94">
        <f>SUM(SUMIFS('caseload data'!N:N,'caseload data'!$D:$D,"SPO",'caseload data'!$C:$C,'community caseload'!$B$29,'caseload data'!$B:$B,{"licence","community"}))</f>
        <v>0</v>
      </c>
      <c r="M34" s="94">
        <f>SUM(SUMIFS('caseload data'!O:O,'caseload data'!$D:$D,"SPO",'caseload data'!$C:$C,'community caseload'!$B$29,'caseload data'!$B:$B,{"licence","community"}))</f>
        <v>0</v>
      </c>
      <c r="N34" s="94">
        <f>SUM(SUMIFS('caseload data'!P:P,'caseload data'!$D:$D,"SPO",'caseload data'!$C:$C,'community caseload'!$B$29,'caseload data'!$B:$B,{"licence","community"}))</f>
        <v>0</v>
      </c>
      <c r="O34" s="94">
        <f>SUM(SUMIFS('caseload data'!Q:Q,'caseload data'!$D:$D,"SPO",'caseload data'!$C:$C,'community caseload'!$B$29,'caseload data'!$B:$B,{"licence","community"}))</f>
        <v>0</v>
      </c>
      <c r="P34" s="94">
        <f>SUM(SUMIFS('caseload data'!R:R,'caseload data'!$D:$D,"SPO",'caseload data'!$C:$C,'community caseload'!$B$29,'caseload data'!$B:$B,{"licence","community"}))</f>
        <v>0</v>
      </c>
      <c r="Q34" s="94">
        <f>SUM(SUMIFS('caseload data'!S:S,'caseload data'!$D:$D,"SPO",'caseload data'!$C:$C,'community caseload'!$B$29,'caseload data'!$B:$B,{"licence","community"}))</f>
        <v>0</v>
      </c>
      <c r="R34" s="94">
        <f>SUM(SUMIFS('caseload data'!T:T,'caseload data'!$D:$D,"SPO",'caseload data'!$C:$C,'community caseload'!$B$29,'caseload data'!$B:$B,{"licence","community"}))</f>
        <v>0</v>
      </c>
      <c r="S34" s="64"/>
      <c r="T34" s="98" t="s">
        <v>1009</v>
      </c>
      <c r="U34" s="94">
        <f>SUM(SUMIFS('caseload data'!E:E,'caseload data'!$D:$D,"SPO",'caseload data'!$C:$C,'community caseload'!$T$29,'caseload data'!$B:$B,{"licence","community"}))</f>
        <v>0</v>
      </c>
      <c r="V34" s="94">
        <f>SUM(SUMIFS('caseload data'!F:F,'caseload data'!$D:$D,"SPO",'caseload data'!$C:$C,'community caseload'!$T$29,'caseload data'!$B:$B,{"licence","community"}))</f>
        <v>0</v>
      </c>
      <c r="W34" s="94">
        <f>SUM(SUMIFS('caseload data'!G:G,'caseload data'!$D:$D,"SPO",'caseload data'!$C:$C,'community caseload'!$T$29,'caseload data'!$B:$B,{"licence","community"}))</f>
        <v>0</v>
      </c>
      <c r="X34" s="94">
        <f>SUM(SUMIFS('caseload data'!H:H,'caseload data'!$D:$D,"SPO",'caseload data'!$C:$C,'community caseload'!$T$29,'caseload data'!$B:$B,{"licence","community"}))</f>
        <v>0</v>
      </c>
      <c r="Y34" s="94">
        <f>SUM(SUMIFS('caseload data'!I:I,'caseload data'!$D:$D,"SPO",'caseload data'!$C:$C,'community caseload'!$T$29,'caseload data'!$B:$B,{"licence","community"}))</f>
        <v>0</v>
      </c>
      <c r="Z34" s="94">
        <f>SUM(SUMIFS('caseload data'!J:J,'caseload data'!$D:$D,"SPO",'caseload data'!$C:$C,'community caseload'!$T$29,'caseload data'!$B:$B,{"licence","community"}))</f>
        <v>0</v>
      </c>
      <c r="AA34" s="94">
        <f>SUM(SUMIFS('caseload data'!K:K,'caseload data'!$D:$D,"SPO",'caseload data'!$C:$C,'community caseload'!$T$29,'caseload data'!$B:$B,{"licence","community"}))</f>
        <v>0</v>
      </c>
      <c r="AB34" s="94">
        <f>SUM(SUMIFS('caseload data'!L:L,'caseload data'!$D:$D,"SPO",'caseload data'!$C:$C,'community caseload'!$T$29,'caseload data'!$B:$B,{"licence","community"}))</f>
        <v>0</v>
      </c>
      <c r="AC34" s="94">
        <f>SUM(SUMIFS('caseload data'!M:M,'caseload data'!$D:$D,"SPO",'caseload data'!$C:$C,'community caseload'!$T$29,'caseload data'!$B:$B,{"licence","community"}))</f>
        <v>0</v>
      </c>
      <c r="AD34" s="94">
        <f>SUM(SUMIFS('caseload data'!N:N,'caseload data'!$D:$D,"SPO",'caseload data'!$C:$C,'community caseload'!$T$29,'caseload data'!$B:$B,{"licence","community"}))</f>
        <v>0</v>
      </c>
      <c r="AE34" s="94">
        <f>SUM(SUMIFS('caseload data'!O:O,'caseload data'!$D:$D,"SPO",'caseload data'!$C:$C,'community caseload'!$T$29,'caseload data'!$B:$B,{"licence","community"}))</f>
        <v>0</v>
      </c>
      <c r="AF34" s="94">
        <f>SUM(SUMIFS('caseload data'!P:P,'caseload data'!$D:$D,"SPO",'caseload data'!$C:$C,'community caseload'!$T$29,'caseload data'!$B:$B,{"licence","community"}))</f>
        <v>0</v>
      </c>
      <c r="AG34" s="94">
        <f>SUM(SUMIFS('caseload data'!Q:Q,'caseload data'!$D:$D,"SPO",'caseload data'!$C:$C,'community caseload'!$T$29,'caseload data'!$B:$B,{"licence","community"}))</f>
        <v>0</v>
      </c>
      <c r="AH34" s="94">
        <f>SUM(SUMIFS('caseload data'!R:R,'caseload data'!$D:$D,"SPO",'caseload data'!$C:$C,'community caseload'!$T$29,'caseload data'!$B:$B,{"licence","community"}))</f>
        <v>0</v>
      </c>
      <c r="AI34" s="94">
        <f>SUM(SUMIFS('caseload data'!S:S,'caseload data'!$D:$D,"SPO",'caseload data'!$C:$C,'community caseload'!$T$29,'caseload data'!$B:$B,{"licence","community"}))</f>
        <v>0</v>
      </c>
      <c r="AJ34" s="94">
        <f>SUM(SUMIFS('caseload data'!T:T,'caseload data'!$D:$D,"SPO",'caseload data'!$C:$C,'community caseload'!$T$29,'caseload data'!$B:$B,{"licence","community"}))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2.25" customHeight="1" x14ac:dyDescent="0.15">
      <c r="B36" s="289">
        <f>HLOOKUP($B$5,Region_Table,10,0)</f>
        <v>0</v>
      </c>
      <c r="C36" s="507" t="s">
        <v>1136</v>
      </c>
      <c r="D36" s="508"/>
      <c r="E36" s="508"/>
      <c r="F36" s="508"/>
      <c r="G36" s="508"/>
      <c r="H36" s="508"/>
      <c r="I36" s="508"/>
      <c r="J36" s="508"/>
      <c r="K36" s="508"/>
      <c r="L36" s="508"/>
      <c r="M36" s="537"/>
      <c r="N36" s="537"/>
      <c r="O36" s="538"/>
      <c r="P36" s="510" cm="1">
        <f t="array" ref="P36">SUM(SUMIFS('caseload data'!V:V,'caseload data'!B:B,{"licence","community"},'caseload data'!$C:$C,'community caseload'!B36))</f>
        <v>0</v>
      </c>
      <c r="Q36" s="527"/>
      <c r="R36" s="528"/>
      <c r="S36" s="291"/>
      <c r="T36" s="289">
        <f>HLOOKUP($B$5,Region_Table,11,0)</f>
        <v>0</v>
      </c>
      <c r="U36" s="507" t="s">
        <v>1135</v>
      </c>
      <c r="V36" s="508"/>
      <c r="W36" s="508"/>
      <c r="X36" s="508"/>
      <c r="Y36" s="508"/>
      <c r="Z36" s="508"/>
      <c r="AA36" s="508"/>
      <c r="AB36" s="508"/>
      <c r="AC36" s="508"/>
      <c r="AD36" s="508"/>
      <c r="AE36" s="537"/>
      <c r="AF36" s="537"/>
      <c r="AG36" s="538"/>
      <c r="AH36" s="510" cm="1">
        <f t="array" ref="AH36">SUM(SUMIFS('caseload data'!V:V,'caseload data'!B:B,{"licence","community"},'caseload data'!$C:$C,'community caseload'!T36))</f>
        <v>0</v>
      </c>
      <c r="AI36" s="527"/>
      <c r="AJ36" s="528"/>
    </row>
    <row r="37" spans="2:36" x14ac:dyDescent="0.15">
      <c r="B37" s="95" t="s">
        <v>1005</v>
      </c>
      <c r="C37" s="38" t="s">
        <v>869</v>
      </c>
      <c r="D37" s="38" t="s">
        <v>870</v>
      </c>
      <c r="E37" s="38" t="s">
        <v>871</v>
      </c>
      <c r="F37" s="38" t="s">
        <v>872</v>
      </c>
      <c r="G37" s="38" t="s">
        <v>873</v>
      </c>
      <c r="H37" s="38" t="s">
        <v>874</v>
      </c>
      <c r="I37" s="38" t="s">
        <v>875</v>
      </c>
      <c r="J37" s="38" t="s">
        <v>876</v>
      </c>
      <c r="K37" s="38" t="s">
        <v>877</v>
      </c>
      <c r="L37" s="38" t="s">
        <v>878</v>
      </c>
      <c r="M37" s="38" t="s">
        <v>879</v>
      </c>
      <c r="N37" s="38" t="s">
        <v>880</v>
      </c>
      <c r="O37" s="38" t="s">
        <v>881</v>
      </c>
      <c r="P37" s="38" t="s">
        <v>882</v>
      </c>
      <c r="Q37" s="38" t="s">
        <v>883</v>
      </c>
      <c r="R37" s="38" t="s">
        <v>884</v>
      </c>
      <c r="S37" s="64"/>
      <c r="T37" s="95" t="s">
        <v>1005</v>
      </c>
      <c r="U37" s="38" t="s">
        <v>869</v>
      </c>
      <c r="V37" s="38" t="s">
        <v>870</v>
      </c>
      <c r="W37" s="38" t="s">
        <v>871</v>
      </c>
      <c r="X37" s="38" t="s">
        <v>872</v>
      </c>
      <c r="Y37" s="38" t="s">
        <v>873</v>
      </c>
      <c r="Z37" s="38" t="s">
        <v>874</v>
      </c>
      <c r="AA37" s="38" t="s">
        <v>875</v>
      </c>
      <c r="AB37" s="38" t="s">
        <v>876</v>
      </c>
      <c r="AC37" s="38" t="s">
        <v>877</v>
      </c>
      <c r="AD37" s="38" t="s">
        <v>878</v>
      </c>
      <c r="AE37" s="38" t="s">
        <v>879</v>
      </c>
      <c r="AF37" s="38" t="s">
        <v>880</v>
      </c>
      <c r="AG37" s="38" t="s">
        <v>881</v>
      </c>
      <c r="AH37" s="38" t="s">
        <v>882</v>
      </c>
      <c r="AI37" s="38" t="s">
        <v>883</v>
      </c>
      <c r="AJ37" s="38" t="s">
        <v>884</v>
      </c>
    </row>
    <row r="38" spans="2:36" x14ac:dyDescent="0.15">
      <c r="B38" s="96" t="s">
        <v>1002</v>
      </c>
      <c r="C38" s="94">
        <f>SUM(SUMIFS('caseload data'!E:E,'caseload data'!$D:$D,"PO",'caseload data'!$C:$C,'community caseload'!$B$36,'caseload data'!$B:$B,{"licence","community"}))</f>
        <v>0</v>
      </c>
      <c r="D38" s="94">
        <f>SUM(SUMIFS('caseload data'!F:F,'caseload data'!$D:$D,"PO",'caseload data'!$C:$C,'community caseload'!$B$36,'caseload data'!$B:$B,{"licence","community"}))</f>
        <v>0</v>
      </c>
      <c r="E38" s="94">
        <f>SUM(SUMIFS('caseload data'!G:G,'caseload data'!$D:$D,"PO",'caseload data'!$C:$C,'community caseload'!$B$36,'caseload data'!$B:$B,{"licence","community"}))</f>
        <v>0</v>
      </c>
      <c r="F38" s="94">
        <f>SUM(SUMIFS('caseload data'!H:H,'caseload data'!$D:$D,"PO",'caseload data'!$C:$C,'community caseload'!$B$36,'caseload data'!$B:$B,{"licence","community"}))</f>
        <v>0</v>
      </c>
      <c r="G38" s="94">
        <f>SUM(SUMIFS('caseload data'!I:I,'caseload data'!$D:$D,"PO",'caseload data'!$C:$C,'community caseload'!$B$36,'caseload data'!$B:$B,{"licence","community"}))</f>
        <v>0</v>
      </c>
      <c r="H38" s="94">
        <f>SUM(SUMIFS('caseload data'!J:J,'caseload data'!$D:$D,"PO",'caseload data'!$C:$C,'community caseload'!$B$36,'caseload data'!$B:$B,{"licence","community"}))</f>
        <v>0</v>
      </c>
      <c r="I38" s="94">
        <f>SUM(SUMIFS('caseload data'!K:K,'caseload data'!$D:$D,"PO",'caseload data'!$C:$C,'community caseload'!$B$36,'caseload data'!$B:$B,{"licence","community"}))</f>
        <v>0</v>
      </c>
      <c r="J38" s="94">
        <f>SUM(SUMIFS('caseload data'!L:L,'caseload data'!$D:$D,"PO",'caseload data'!$C:$C,'community caseload'!$B$36,'caseload data'!$B:$B,{"licence","community"}))</f>
        <v>0</v>
      </c>
      <c r="K38" s="94">
        <f>SUM(SUMIFS('caseload data'!M:M,'caseload data'!$D:$D,"PO",'caseload data'!$C:$C,'community caseload'!$B$36,'caseload data'!$B:$B,{"licence","community"}))</f>
        <v>0</v>
      </c>
      <c r="L38" s="94">
        <f>SUM(SUMIFS('caseload data'!N:N,'caseload data'!$D:$D,"PO",'caseload data'!$C:$C,'community caseload'!$B$36,'caseload data'!$B:$B,{"licence","community"}))</f>
        <v>0</v>
      </c>
      <c r="M38" s="94">
        <f>SUM(SUMIFS('caseload data'!O:O,'caseload data'!$D:$D,"PO",'caseload data'!$C:$C,'community caseload'!$B$36,'caseload data'!$B:$B,{"licence","community"}))</f>
        <v>0</v>
      </c>
      <c r="N38" s="94">
        <f>SUM(SUMIFS('caseload data'!P:P,'caseload data'!$D:$D,"PO",'caseload data'!$C:$C,'community caseload'!$B$36,'caseload data'!$B:$B,{"licence","community"}))</f>
        <v>0</v>
      </c>
      <c r="O38" s="94">
        <f>SUM(SUMIFS('caseload data'!Q:Q,'caseload data'!$D:$D,"PO",'caseload data'!$C:$C,'community caseload'!$B$36,'caseload data'!$B:$B,{"licence","community"}))</f>
        <v>0</v>
      </c>
      <c r="P38" s="94">
        <f>SUM(SUMIFS('caseload data'!R:R,'caseload data'!$D:$D,"PO",'caseload data'!$C:$C,'community caseload'!$B$36,'caseload data'!$B:$B,{"licence","community"}))</f>
        <v>0</v>
      </c>
      <c r="Q38" s="94">
        <f>SUM(SUMIFS('caseload data'!S:S,'caseload data'!$D:$D,"PO",'caseload data'!$C:$C,'community caseload'!$B$36,'caseload data'!$B:$B,{"licence","community"}))</f>
        <v>0</v>
      </c>
      <c r="R38" s="94">
        <f>SUM(SUMIFS('caseload data'!T:T,'caseload data'!$D:$D,"PO",'caseload data'!$C:$C,'community caseload'!$B$36,'caseload data'!$B:$B,{"licence","community"}))</f>
        <v>0</v>
      </c>
      <c r="S38" s="64"/>
      <c r="T38" s="96" t="s">
        <v>1002</v>
      </c>
      <c r="U38" s="94">
        <f>SUM(SUMIFS('caseload data'!E:E,'caseload data'!$D:$D,"PO",'caseload data'!$C:$C,'community caseload'!$T$36,'caseload data'!$B:$B,{"licence","community"}))</f>
        <v>0</v>
      </c>
      <c r="V38" s="94">
        <f>SUM(SUMIFS('caseload data'!F:F,'caseload data'!$D:$D,"PO",'caseload data'!$C:$C,'community caseload'!$T$36,'caseload data'!$B:$B,{"licence","community"}))</f>
        <v>0</v>
      </c>
      <c r="W38" s="94">
        <f>SUM(SUMIFS('caseload data'!G:G,'caseload data'!$D:$D,"PO",'caseload data'!$C:$C,'community caseload'!$T$36,'caseload data'!$B:$B,{"licence","community"}))</f>
        <v>0</v>
      </c>
      <c r="X38" s="94">
        <f>SUM(SUMIFS('caseload data'!H:H,'caseload data'!$D:$D,"PO",'caseload data'!$C:$C,'community caseload'!$T$36,'caseload data'!$B:$B,{"licence","community"}))</f>
        <v>0</v>
      </c>
      <c r="Y38" s="94">
        <f>SUM(SUMIFS('caseload data'!I:I,'caseload data'!$D:$D,"PO",'caseload data'!$C:$C,'community caseload'!$T$36,'caseload data'!$B:$B,{"licence","community"}))</f>
        <v>0</v>
      </c>
      <c r="Z38" s="94">
        <f>SUM(SUMIFS('caseload data'!J:J,'caseload data'!$D:$D,"PO",'caseload data'!$C:$C,'community caseload'!$T$36,'caseload data'!$B:$B,{"licence","community"}))</f>
        <v>0</v>
      </c>
      <c r="AA38" s="94">
        <f>SUM(SUMIFS('caseload data'!K:K,'caseload data'!$D:$D,"PO",'caseload data'!$C:$C,'community caseload'!$T$36,'caseload data'!$B:$B,{"licence","community"}))</f>
        <v>0</v>
      </c>
      <c r="AB38" s="94">
        <f>SUM(SUMIFS('caseload data'!L:L,'caseload data'!$D:$D,"PO",'caseload data'!$C:$C,'community caseload'!$T$36,'caseload data'!$B:$B,{"licence","community"}))</f>
        <v>0</v>
      </c>
      <c r="AC38" s="94">
        <f>SUM(SUMIFS('caseload data'!M:M,'caseload data'!$D:$D,"PO",'caseload data'!$C:$C,'community caseload'!$T$36,'caseload data'!$B:$B,{"licence","community"}))</f>
        <v>0</v>
      </c>
      <c r="AD38" s="94">
        <f>SUM(SUMIFS('caseload data'!N:N,'caseload data'!$D:$D,"PO",'caseload data'!$C:$C,'community caseload'!$T$36,'caseload data'!$B:$B,{"licence","community"}))</f>
        <v>0</v>
      </c>
      <c r="AE38" s="94">
        <f>SUM(SUMIFS('caseload data'!O:O,'caseload data'!$D:$D,"PO",'caseload data'!$C:$C,'community caseload'!$T$36,'caseload data'!$B:$B,{"licence","community"}))</f>
        <v>0</v>
      </c>
      <c r="AF38" s="94">
        <f>SUM(SUMIFS('caseload data'!P:P,'caseload data'!$D:$D,"PO",'caseload data'!$C:$C,'community caseload'!$T$36,'caseload data'!$B:$B,{"licence","community"}))</f>
        <v>0</v>
      </c>
      <c r="AG38" s="94">
        <f>SUM(SUMIFS('caseload data'!Q:Q,'caseload data'!$D:$D,"PO",'caseload data'!$C:$C,'community caseload'!$T$36,'caseload data'!$B:$B,{"licence","community"}))</f>
        <v>0</v>
      </c>
      <c r="AH38" s="94">
        <f>SUM(SUMIFS('caseload data'!R:R,'caseload data'!$D:$D,"PO",'caseload data'!$C:$C,'community caseload'!$T$36,'caseload data'!$B:$B,{"licence","community"}))</f>
        <v>0</v>
      </c>
      <c r="AI38" s="94">
        <f>SUM(SUMIFS('caseload data'!S:S,'caseload data'!$D:$D,"PO",'caseload data'!$C:$C,'community caseload'!$T$36,'caseload data'!$B:$B,{"licence","community"}))</f>
        <v>0</v>
      </c>
      <c r="AJ38" s="94">
        <f>SUM(SUMIFS('caseload data'!T:T,'caseload data'!$D:$D,"PO",'caseload data'!$C:$C,'community caseload'!$T$36,'caseload data'!$B:$B,{"licence","community"}))</f>
        <v>0</v>
      </c>
    </row>
    <row r="39" spans="2:36" x14ac:dyDescent="0.15">
      <c r="B39" s="97" t="s">
        <v>1007</v>
      </c>
      <c r="C39" s="94">
        <f>SUM(SUMIFS('caseload data'!E:E,'caseload data'!$D:$D,"PSO",'caseload data'!$C:$C,'community caseload'!$B$36,'caseload data'!$B:$B,{"licence","community"}))</f>
        <v>0</v>
      </c>
      <c r="D39" s="94">
        <f>SUM(SUMIFS('caseload data'!F:F,'caseload data'!$D:$D,"PSO",'caseload data'!$C:$C,'community caseload'!$B$36,'caseload data'!$B:$B,{"licence","community"}))</f>
        <v>0</v>
      </c>
      <c r="E39" s="94">
        <f>SUM(SUMIFS('caseload data'!G:G,'caseload data'!$D:$D,"PSO",'caseload data'!$C:$C,'community caseload'!$B$36,'caseload data'!$B:$B,{"licence","community"}))</f>
        <v>0</v>
      </c>
      <c r="F39" s="94">
        <f>SUM(SUMIFS('caseload data'!H:H,'caseload data'!$D:$D,"PSO",'caseload data'!$C:$C,'community caseload'!$B$36,'caseload data'!$B:$B,{"licence","community"}))</f>
        <v>0</v>
      </c>
      <c r="G39" s="94">
        <f>SUM(SUMIFS('caseload data'!I:I,'caseload data'!$D:$D,"PSO",'caseload data'!$C:$C,'community caseload'!$B$36,'caseload data'!$B:$B,{"licence","community"}))</f>
        <v>0</v>
      </c>
      <c r="H39" s="94">
        <f>SUM(SUMIFS('caseload data'!J:J,'caseload data'!$D:$D,"PSO",'caseload data'!$C:$C,'community caseload'!$B$36,'caseload data'!$B:$B,{"licence","community"}))</f>
        <v>0</v>
      </c>
      <c r="I39" s="94">
        <f>SUM(SUMIFS('caseload data'!K:K,'caseload data'!$D:$D,"PSO",'caseload data'!$C:$C,'community caseload'!$B$36,'caseload data'!$B:$B,{"licence","community"}))</f>
        <v>0</v>
      </c>
      <c r="J39" s="94">
        <f>SUM(SUMIFS('caseload data'!L:L,'caseload data'!$D:$D,"PSO",'caseload data'!$C:$C,'community caseload'!$B$36,'caseload data'!$B:$B,{"licence","community"}))</f>
        <v>0</v>
      </c>
      <c r="K39" s="94">
        <f>SUM(SUMIFS('caseload data'!M:M,'caseload data'!$D:$D,"PSO",'caseload data'!$C:$C,'community caseload'!$B$36,'caseload data'!$B:$B,{"licence","community"}))</f>
        <v>0</v>
      </c>
      <c r="L39" s="94">
        <f>SUM(SUMIFS('caseload data'!N:N,'caseload data'!$D:$D,"PSO",'caseload data'!$C:$C,'community caseload'!$B$36,'caseload data'!$B:$B,{"licence","community"}))</f>
        <v>0</v>
      </c>
      <c r="M39" s="94">
        <f>SUM(SUMIFS('caseload data'!O:O,'caseload data'!$D:$D,"PSO",'caseload data'!$C:$C,'community caseload'!$B$36,'caseload data'!$B:$B,{"licence","community"}))</f>
        <v>0</v>
      </c>
      <c r="N39" s="94">
        <f>SUM(SUMIFS('caseload data'!P:P,'caseload data'!$D:$D,"PSO",'caseload data'!$C:$C,'community caseload'!$B$36,'caseload data'!$B:$B,{"licence","community"}))</f>
        <v>0</v>
      </c>
      <c r="O39" s="94">
        <f>SUM(SUMIFS('caseload data'!Q:Q,'caseload data'!$D:$D,"PSO",'caseload data'!$C:$C,'community caseload'!$B$36,'caseload data'!$B:$B,{"licence","community"}))</f>
        <v>0</v>
      </c>
      <c r="P39" s="94">
        <f>SUM(SUMIFS('caseload data'!R:R,'caseload data'!$D:$D,"PSO",'caseload data'!$C:$C,'community caseload'!$B$36,'caseload data'!$B:$B,{"licence","community"}))</f>
        <v>0</v>
      </c>
      <c r="Q39" s="94">
        <f>SUM(SUMIFS('caseload data'!S:S,'caseload data'!$D:$D,"PSO",'caseload data'!$C:$C,'community caseload'!$B$36,'caseload data'!$B:$B,{"licence","community"}))</f>
        <v>0</v>
      </c>
      <c r="R39" s="94">
        <f>SUM(SUMIFS('caseload data'!T:T,'caseload data'!$D:$D,"PSO",'caseload data'!$C:$C,'community caseload'!$B$36,'caseload data'!$B:$B,{"licence","community"}))</f>
        <v>0</v>
      </c>
      <c r="S39" s="64"/>
      <c r="T39" s="97" t="s">
        <v>1007</v>
      </c>
      <c r="U39" s="94">
        <f>SUM(SUMIFS('caseload data'!E:E,'caseload data'!$D:$D,"PSO",'caseload data'!$C:$C,'community caseload'!$T$36,'caseload data'!$B:$B,{"licence","community"}))</f>
        <v>0</v>
      </c>
      <c r="V39" s="94">
        <f>SUM(SUMIFS('caseload data'!F:F,'caseload data'!$D:$D,"PSO",'caseload data'!$C:$C,'community caseload'!$T$36,'caseload data'!$B:$B,{"licence","community"}))</f>
        <v>0</v>
      </c>
      <c r="W39" s="94">
        <f>SUM(SUMIFS('caseload data'!G:G,'caseload data'!$D:$D,"PSO",'caseload data'!$C:$C,'community caseload'!$T$36,'caseload data'!$B:$B,{"licence","community"}))</f>
        <v>0</v>
      </c>
      <c r="X39" s="94">
        <f>SUM(SUMIFS('caseload data'!H:H,'caseload data'!$D:$D,"PSO",'caseload data'!$C:$C,'community caseload'!$T$36,'caseload data'!$B:$B,{"licence","community"}))</f>
        <v>0</v>
      </c>
      <c r="Y39" s="94">
        <f>SUM(SUMIFS('caseload data'!I:I,'caseload data'!$D:$D,"PSO",'caseload data'!$C:$C,'community caseload'!$T$36,'caseload data'!$B:$B,{"licence","community"}))</f>
        <v>0</v>
      </c>
      <c r="Z39" s="94">
        <f>SUM(SUMIFS('caseload data'!J:J,'caseload data'!$D:$D,"PSO",'caseload data'!$C:$C,'community caseload'!$T$36,'caseload data'!$B:$B,{"licence","community"}))</f>
        <v>0</v>
      </c>
      <c r="AA39" s="94">
        <f>SUM(SUMIFS('caseload data'!K:K,'caseload data'!$D:$D,"PSO",'caseload data'!$C:$C,'community caseload'!$T$36,'caseload data'!$B:$B,{"licence","community"}))</f>
        <v>0</v>
      </c>
      <c r="AB39" s="94">
        <f>SUM(SUMIFS('caseload data'!L:L,'caseload data'!$D:$D,"PSO",'caseload data'!$C:$C,'community caseload'!$T$36,'caseload data'!$B:$B,{"licence","community"}))</f>
        <v>0</v>
      </c>
      <c r="AC39" s="94">
        <f>SUM(SUMIFS('caseload data'!M:M,'caseload data'!$D:$D,"PSO",'caseload data'!$C:$C,'community caseload'!$T$36,'caseload data'!$B:$B,{"licence","community"}))</f>
        <v>0</v>
      </c>
      <c r="AD39" s="94">
        <f>SUM(SUMIFS('caseload data'!N:N,'caseload data'!$D:$D,"PSO",'caseload data'!$C:$C,'community caseload'!$T$36,'caseload data'!$B:$B,{"licence","community"}))</f>
        <v>0</v>
      </c>
      <c r="AE39" s="94">
        <f>SUM(SUMIFS('caseload data'!O:O,'caseload data'!$D:$D,"PSO",'caseload data'!$C:$C,'community caseload'!$T$36,'caseload data'!$B:$B,{"licence","community"}))</f>
        <v>0</v>
      </c>
      <c r="AF39" s="94">
        <f>SUM(SUMIFS('caseload data'!P:P,'caseload data'!$D:$D,"PSO",'caseload data'!$C:$C,'community caseload'!$T$36,'caseload data'!$B:$B,{"licence","community"}))</f>
        <v>0</v>
      </c>
      <c r="AG39" s="94">
        <f>SUM(SUMIFS('caseload data'!Q:Q,'caseload data'!$D:$D,"PSO",'caseload data'!$C:$C,'community caseload'!$T$36,'caseload data'!$B:$B,{"licence","community"}))</f>
        <v>0</v>
      </c>
      <c r="AH39" s="94">
        <f>SUM(SUMIFS('caseload data'!R:R,'caseload data'!$D:$D,"PSO",'caseload data'!$C:$C,'community caseload'!$T$36,'caseload data'!$B:$B,{"licence","community"}))</f>
        <v>0</v>
      </c>
      <c r="AI39" s="94">
        <f>SUM(SUMIFS('caseload data'!S:S,'caseload data'!$D:$D,"PSO",'caseload data'!$C:$C,'community caseload'!$T$36,'caseload data'!$B:$B,{"licence","community"}))</f>
        <v>0</v>
      </c>
      <c r="AJ39" s="94">
        <f>SUM(SUMIFS('caseload data'!T:T,'caseload data'!$D:$D,"PSO",'caseload data'!$C:$C,'community caseload'!$T$36,'caseload data'!$B:$B,{"licence","community"}))</f>
        <v>0</v>
      </c>
    </row>
    <row r="40" spans="2:36" x14ac:dyDescent="0.15">
      <c r="B40" s="97" t="s">
        <v>1008</v>
      </c>
      <c r="C40" s="94">
        <f>SUM(SUMIFS('caseload data'!E:E,'caseload data'!$D:$D,"TPO",'caseload data'!$C:$C,'community caseload'!$B$36,'caseload data'!$B:$B,{"licence","community"}))</f>
        <v>0</v>
      </c>
      <c r="D40" s="94">
        <f>SUM(SUMIFS('caseload data'!F:F,'caseload data'!$D:$D,"TPO",'caseload data'!$C:$C,'community caseload'!$B$36,'caseload data'!$B:$B,{"licence","community"}))</f>
        <v>0</v>
      </c>
      <c r="E40" s="94">
        <f>SUM(SUMIFS('caseload data'!G:G,'caseload data'!$D:$D,"TPO",'caseload data'!$C:$C,'community caseload'!$B$36,'caseload data'!$B:$B,{"licence","community"}))</f>
        <v>0</v>
      </c>
      <c r="F40" s="94">
        <f>SUM(SUMIFS('caseload data'!H:H,'caseload data'!$D:$D,"TPO",'caseload data'!$C:$C,'community caseload'!$B$36,'caseload data'!$B:$B,{"licence","community"}))</f>
        <v>0</v>
      </c>
      <c r="G40" s="94">
        <f>SUM(SUMIFS('caseload data'!I:I,'caseload data'!$D:$D,"TPO",'caseload data'!$C:$C,'community caseload'!$B$36,'caseload data'!$B:$B,{"licence","community"}))</f>
        <v>0</v>
      </c>
      <c r="H40" s="94">
        <f>SUM(SUMIFS('caseload data'!J:J,'caseload data'!$D:$D,"TPO",'caseload data'!$C:$C,'community caseload'!$B$36,'caseload data'!$B:$B,{"licence","community"}))</f>
        <v>0</v>
      </c>
      <c r="I40" s="94">
        <f>SUM(SUMIFS('caseload data'!K:K,'caseload data'!$D:$D,"TPO",'caseload data'!$C:$C,'community caseload'!$B$36,'caseload data'!$B:$B,{"licence","community"}))</f>
        <v>0</v>
      </c>
      <c r="J40" s="94">
        <f>SUM(SUMIFS('caseload data'!L:L,'caseload data'!$D:$D,"TPO",'caseload data'!$C:$C,'community caseload'!$B$36,'caseload data'!$B:$B,{"licence","community"}))</f>
        <v>0</v>
      </c>
      <c r="K40" s="94">
        <f>SUM(SUMIFS('caseload data'!M:M,'caseload data'!$D:$D,"TPO",'caseload data'!$C:$C,'community caseload'!$B$36,'caseload data'!$B:$B,{"licence","community"}))</f>
        <v>0</v>
      </c>
      <c r="L40" s="94">
        <f>SUM(SUMIFS('caseload data'!N:N,'caseload data'!$D:$D,"TPO",'caseload data'!$C:$C,'community caseload'!$B$36,'caseload data'!$B:$B,{"licence","community"}))</f>
        <v>0</v>
      </c>
      <c r="M40" s="94">
        <f>SUM(SUMIFS('caseload data'!O:O,'caseload data'!$D:$D,"TPO",'caseload data'!$C:$C,'community caseload'!$B$36,'caseload data'!$B:$B,{"licence","community"}))</f>
        <v>0</v>
      </c>
      <c r="N40" s="94">
        <f>SUM(SUMIFS('caseload data'!P:P,'caseload data'!$D:$D,"TPO",'caseload data'!$C:$C,'community caseload'!$B$36,'caseload data'!$B:$B,{"licence","community"}))</f>
        <v>0</v>
      </c>
      <c r="O40" s="94">
        <f>SUM(SUMIFS('caseload data'!Q:Q,'caseload data'!$D:$D,"TPO",'caseload data'!$C:$C,'community caseload'!$B$36,'caseload data'!$B:$B,{"licence","community"}))</f>
        <v>0</v>
      </c>
      <c r="P40" s="94">
        <f>SUM(SUMIFS('caseload data'!R:R,'caseload data'!$D:$D,"TPO",'caseload data'!$C:$C,'community caseload'!$B$36,'caseload data'!$B:$B,{"licence","community"}))</f>
        <v>0</v>
      </c>
      <c r="Q40" s="94">
        <f>SUM(SUMIFS('caseload data'!S:S,'caseload data'!$D:$D,"TPO",'caseload data'!$C:$C,'community caseload'!$B$36,'caseload data'!$B:$B,{"licence","community"}))</f>
        <v>0</v>
      </c>
      <c r="R40" s="94">
        <f>SUM(SUMIFS('caseload data'!T:T,'caseload data'!$D:$D,"TPO",'caseload data'!$C:$C,'community caseload'!$B$36,'caseload data'!$B:$B,{"licence","community"}))</f>
        <v>0</v>
      </c>
      <c r="S40" s="64"/>
      <c r="T40" s="97" t="s">
        <v>1008</v>
      </c>
      <c r="U40" s="94">
        <f>SUM(SUMIFS('caseload data'!E:E,'caseload data'!$D:$D,"TPO",'caseload data'!$C:$C,'community caseload'!$T$36,'caseload data'!$B:$B,{"licence","community"}))</f>
        <v>0</v>
      </c>
      <c r="V40" s="94">
        <f>SUM(SUMIFS('caseload data'!F:F,'caseload data'!$D:$D,"TPO",'caseload data'!$C:$C,'community caseload'!$T$36,'caseload data'!$B:$B,{"licence","community"}))</f>
        <v>0</v>
      </c>
      <c r="W40" s="94">
        <f>SUM(SUMIFS('caseload data'!G:G,'caseload data'!$D:$D,"TPO",'caseload data'!$C:$C,'community caseload'!$T$36,'caseload data'!$B:$B,{"licence","community"}))</f>
        <v>0</v>
      </c>
      <c r="X40" s="94">
        <f>SUM(SUMIFS('caseload data'!H:H,'caseload data'!$D:$D,"TPO",'caseload data'!$C:$C,'community caseload'!$T$36,'caseload data'!$B:$B,{"licence","community"}))</f>
        <v>0</v>
      </c>
      <c r="Y40" s="94">
        <f>SUM(SUMIFS('caseload data'!I:I,'caseload data'!$D:$D,"TPO",'caseload data'!$C:$C,'community caseload'!$T$36,'caseload data'!$B:$B,{"licence","community"}))</f>
        <v>0</v>
      </c>
      <c r="Z40" s="94">
        <f>SUM(SUMIFS('caseload data'!J:J,'caseload data'!$D:$D,"TPO",'caseload data'!$C:$C,'community caseload'!$T$36,'caseload data'!$B:$B,{"licence","community"}))</f>
        <v>0</v>
      </c>
      <c r="AA40" s="94">
        <f>SUM(SUMIFS('caseload data'!K:K,'caseload data'!$D:$D,"TPO",'caseload data'!$C:$C,'community caseload'!$T$36,'caseload data'!$B:$B,{"licence","community"}))</f>
        <v>0</v>
      </c>
      <c r="AB40" s="94">
        <f>SUM(SUMIFS('caseload data'!L:L,'caseload data'!$D:$D,"TPO",'caseload data'!$C:$C,'community caseload'!$T$36,'caseload data'!$B:$B,{"licence","community"}))</f>
        <v>0</v>
      </c>
      <c r="AC40" s="94">
        <f>SUM(SUMIFS('caseload data'!M:M,'caseload data'!$D:$D,"TPO",'caseload data'!$C:$C,'community caseload'!$T$36,'caseload data'!$B:$B,{"licence","community"}))</f>
        <v>0</v>
      </c>
      <c r="AD40" s="94">
        <f>SUM(SUMIFS('caseload data'!N:N,'caseload data'!$D:$D,"TPO",'caseload data'!$C:$C,'community caseload'!$T$36,'caseload data'!$B:$B,{"licence","community"}))</f>
        <v>0</v>
      </c>
      <c r="AE40" s="94">
        <f>SUM(SUMIFS('caseload data'!O:O,'caseload data'!$D:$D,"TPO",'caseload data'!$C:$C,'community caseload'!$T$36,'caseload data'!$B:$B,{"licence","community"}))</f>
        <v>0</v>
      </c>
      <c r="AF40" s="94">
        <f>SUM(SUMIFS('caseload data'!P:P,'caseload data'!$D:$D,"TPO",'caseload data'!$C:$C,'community caseload'!$T$36,'caseload data'!$B:$B,{"licence","community"}))</f>
        <v>0</v>
      </c>
      <c r="AG40" s="94">
        <f>SUM(SUMIFS('caseload data'!Q:Q,'caseload data'!$D:$D,"TPO",'caseload data'!$C:$C,'community caseload'!$T$36,'caseload data'!$B:$B,{"licence","community"}))</f>
        <v>0</v>
      </c>
      <c r="AH40" s="94">
        <f>SUM(SUMIFS('caseload data'!R:R,'caseload data'!$D:$D,"TPO",'caseload data'!$C:$C,'community caseload'!$T$36,'caseload data'!$B:$B,{"licence","community"}))</f>
        <v>0</v>
      </c>
      <c r="AI40" s="94">
        <f>SUM(SUMIFS('caseload data'!S:S,'caseload data'!$D:$D,"TPO",'caseload data'!$C:$C,'community caseload'!$T$36,'caseload data'!$B:$B,{"licence","community"}))</f>
        <v>0</v>
      </c>
      <c r="AJ40" s="94">
        <f>SUM(SUMIFS('caseload data'!T:T,'caseload data'!$D:$D,"TPO",'caseload data'!$C:$C,'community caseload'!$T$36,'caseload data'!$B:$B,{"licence","community"}))</f>
        <v>0</v>
      </c>
    </row>
    <row r="41" spans="2:36" x14ac:dyDescent="0.15">
      <c r="B41" s="98" t="s">
        <v>1009</v>
      </c>
      <c r="C41" s="94">
        <f>SUM(SUMIFS('caseload data'!E:E,'caseload data'!$D:$D,"SPO",'caseload data'!$C:$C,'community caseload'!$B$36,'caseload data'!$B:$B,{"licence","community"}))</f>
        <v>0</v>
      </c>
      <c r="D41" s="94">
        <f>SUM(SUMIFS('caseload data'!F:F,'caseload data'!$D:$D,"SPO",'caseload data'!$C:$C,'community caseload'!$B$36,'caseload data'!$B:$B,{"licence","community"}))</f>
        <v>0</v>
      </c>
      <c r="E41" s="94">
        <f>SUM(SUMIFS('caseload data'!G:G,'caseload data'!$D:$D,"SPO",'caseload data'!$C:$C,'community caseload'!$B$36,'caseload data'!$B:$B,{"licence","community"}))</f>
        <v>0</v>
      </c>
      <c r="F41" s="94">
        <f>SUM(SUMIFS('caseload data'!H:H,'caseload data'!$D:$D,"SPO",'caseload data'!$C:$C,'community caseload'!$B$36,'caseload data'!$B:$B,{"licence","community"}))</f>
        <v>0</v>
      </c>
      <c r="G41" s="94">
        <f>SUM(SUMIFS('caseload data'!I:I,'caseload data'!$D:$D,"SPO",'caseload data'!$C:$C,'community caseload'!$B$36,'caseload data'!$B:$B,{"licence","community"}))</f>
        <v>0</v>
      </c>
      <c r="H41" s="94">
        <f>SUM(SUMIFS('caseload data'!J:J,'caseload data'!$D:$D,"SPO",'caseload data'!$C:$C,'community caseload'!$B$36,'caseload data'!$B:$B,{"licence","community"}))</f>
        <v>0</v>
      </c>
      <c r="I41" s="94">
        <f>SUM(SUMIFS('caseload data'!K:K,'caseload data'!$D:$D,"SPO",'caseload data'!$C:$C,'community caseload'!$B$36,'caseload data'!$B:$B,{"licence","community"}))</f>
        <v>0</v>
      </c>
      <c r="J41" s="94">
        <f>SUM(SUMIFS('caseload data'!L:L,'caseload data'!$D:$D,"SPO",'caseload data'!$C:$C,'community caseload'!$B$36,'caseload data'!$B:$B,{"licence","community"}))</f>
        <v>0</v>
      </c>
      <c r="K41" s="94">
        <f>SUM(SUMIFS('caseload data'!M:M,'caseload data'!$D:$D,"SPO",'caseload data'!$C:$C,'community caseload'!$B$36,'caseload data'!$B:$B,{"licence","community"}))</f>
        <v>0</v>
      </c>
      <c r="L41" s="94">
        <f>SUM(SUMIFS('caseload data'!N:N,'caseload data'!$D:$D,"SPO",'caseload data'!$C:$C,'community caseload'!$B$36,'caseload data'!$B:$B,{"licence","community"}))</f>
        <v>0</v>
      </c>
      <c r="M41" s="94">
        <f>SUM(SUMIFS('caseload data'!O:O,'caseload data'!$D:$D,"SPO",'caseload data'!$C:$C,'community caseload'!$B$36,'caseload data'!$B:$B,{"licence","community"}))</f>
        <v>0</v>
      </c>
      <c r="N41" s="94">
        <f>SUM(SUMIFS('caseload data'!P:P,'caseload data'!$D:$D,"SPO",'caseload data'!$C:$C,'community caseload'!$B$36,'caseload data'!$B:$B,{"licence","community"}))</f>
        <v>0</v>
      </c>
      <c r="O41" s="94">
        <f>SUM(SUMIFS('caseload data'!Q:Q,'caseload data'!$D:$D,"SPO",'caseload data'!$C:$C,'community caseload'!$B$36,'caseload data'!$B:$B,{"licence","community"}))</f>
        <v>0</v>
      </c>
      <c r="P41" s="94">
        <f>SUM(SUMIFS('caseload data'!R:R,'caseload data'!$D:$D,"SPO",'caseload data'!$C:$C,'community caseload'!$B$36,'caseload data'!$B:$B,{"licence","community"}))</f>
        <v>0</v>
      </c>
      <c r="Q41" s="94">
        <f>SUM(SUMIFS('caseload data'!S:S,'caseload data'!$D:$D,"SPO",'caseload data'!$C:$C,'community caseload'!$B$36,'caseload data'!$B:$B,{"licence","community"}))</f>
        <v>0</v>
      </c>
      <c r="R41" s="94">
        <f>SUM(SUMIFS('caseload data'!T:T,'caseload data'!$D:$D,"SPO",'caseload data'!$C:$C,'community caseload'!$B$36,'caseload data'!$B:$B,{"licence","community"}))</f>
        <v>0</v>
      </c>
      <c r="S41" s="64"/>
      <c r="T41" s="98" t="s">
        <v>1009</v>
      </c>
      <c r="U41" s="94">
        <f>SUM(SUMIFS('caseload data'!E:E,'caseload data'!$D:$D,"SPO",'caseload data'!$C:$C,'community caseload'!$T$36,'caseload data'!$B:$B,{"licence","community"}))</f>
        <v>0</v>
      </c>
      <c r="V41" s="94">
        <f>SUM(SUMIFS('caseload data'!F:F,'caseload data'!$D:$D,"SPO",'caseload data'!$C:$C,'community caseload'!$T$36,'caseload data'!$B:$B,{"licence","community"}))</f>
        <v>0</v>
      </c>
      <c r="W41" s="94">
        <f>SUM(SUMIFS('caseload data'!G:G,'caseload data'!$D:$D,"SPO",'caseload data'!$C:$C,'community caseload'!$T$36,'caseload data'!$B:$B,{"licence","community"}))</f>
        <v>0</v>
      </c>
      <c r="X41" s="94">
        <f>SUM(SUMIFS('caseload data'!H:H,'caseload data'!$D:$D,"SPO",'caseload data'!$C:$C,'community caseload'!$T$36,'caseload data'!$B:$B,{"licence","community"}))</f>
        <v>0</v>
      </c>
      <c r="Y41" s="94">
        <f>SUM(SUMIFS('caseload data'!I:I,'caseload data'!$D:$D,"SPO",'caseload data'!$C:$C,'community caseload'!$T$36,'caseload data'!$B:$B,{"licence","community"}))</f>
        <v>0</v>
      </c>
      <c r="Z41" s="94">
        <f>SUM(SUMIFS('caseload data'!J:J,'caseload data'!$D:$D,"SPO",'caseload data'!$C:$C,'community caseload'!$T$36,'caseload data'!$B:$B,{"licence","community"}))</f>
        <v>0</v>
      </c>
      <c r="AA41" s="94">
        <f>SUM(SUMIFS('caseload data'!K:K,'caseload data'!$D:$D,"SPO",'caseload data'!$C:$C,'community caseload'!$T$36,'caseload data'!$B:$B,{"licence","community"}))</f>
        <v>0</v>
      </c>
      <c r="AB41" s="94">
        <f>SUM(SUMIFS('caseload data'!L:L,'caseload data'!$D:$D,"SPO",'caseload data'!$C:$C,'community caseload'!$T$36,'caseload data'!$B:$B,{"licence","community"}))</f>
        <v>0</v>
      </c>
      <c r="AC41" s="94">
        <f>SUM(SUMIFS('caseload data'!M:M,'caseload data'!$D:$D,"SPO",'caseload data'!$C:$C,'community caseload'!$T$36,'caseload data'!$B:$B,{"licence","community"}))</f>
        <v>0</v>
      </c>
      <c r="AD41" s="94">
        <f>SUM(SUMIFS('caseload data'!N:N,'caseload data'!$D:$D,"SPO",'caseload data'!$C:$C,'community caseload'!$T$36,'caseload data'!$B:$B,{"licence","community"}))</f>
        <v>0</v>
      </c>
      <c r="AE41" s="94">
        <f>SUM(SUMIFS('caseload data'!O:O,'caseload data'!$D:$D,"SPO",'caseload data'!$C:$C,'community caseload'!$T$36,'caseload data'!$B:$B,{"licence","community"}))</f>
        <v>0</v>
      </c>
      <c r="AF41" s="94">
        <f>SUM(SUMIFS('caseload data'!P:P,'caseload data'!$D:$D,"SPO",'caseload data'!$C:$C,'community caseload'!$T$36,'caseload data'!$B:$B,{"licence","community"}))</f>
        <v>0</v>
      </c>
      <c r="AG41" s="94">
        <f>SUM(SUMIFS('caseload data'!Q:Q,'caseload data'!$D:$D,"SPO",'caseload data'!$C:$C,'community caseload'!$T$36,'caseload data'!$B:$B,{"licence","community"}))</f>
        <v>0</v>
      </c>
      <c r="AH41" s="94">
        <f>SUM(SUMIFS('caseload data'!R:R,'caseload data'!$D:$D,"SPO",'caseload data'!$C:$C,'community caseload'!$T$36,'caseload data'!$B:$B,{"licence","community"}))</f>
        <v>0</v>
      </c>
      <c r="AI41" s="94">
        <f>SUM(SUMIFS('caseload data'!S:S,'caseload data'!$D:$D,"SPO",'caseload data'!$C:$C,'community caseload'!$T$36,'caseload data'!$B:$B,{"licence","community"}))</f>
        <v>0</v>
      </c>
      <c r="AJ41" s="94">
        <f>SUM(SUMIFS('caseload data'!T:T,'caseload data'!$D:$D,"SPO",'caseload data'!$C:$C,'community caseload'!$T$36,'caseload data'!$B:$B,{"licence","community"}))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9" customHeight="1" x14ac:dyDescent="0.15">
      <c r="B43" s="289">
        <f>HLOOKUP($B$5,Region_Table,12,0)</f>
        <v>0</v>
      </c>
      <c r="C43" s="507" t="s">
        <v>1135</v>
      </c>
      <c r="D43" s="508"/>
      <c r="E43" s="508"/>
      <c r="F43" s="508"/>
      <c r="G43" s="508"/>
      <c r="H43" s="508"/>
      <c r="I43" s="508"/>
      <c r="J43" s="508"/>
      <c r="K43" s="508"/>
      <c r="L43" s="508"/>
      <c r="M43" s="537"/>
      <c r="N43" s="537"/>
      <c r="O43" s="538"/>
      <c r="P43" s="510" cm="1">
        <f t="array" ref="P43">SUM(SUMIFS('caseload data'!V:V,'caseload data'!B:B,{"licence","community"},'caseload data'!$C:$C,'community caseload'!B43))</f>
        <v>0</v>
      </c>
      <c r="Q43" s="527"/>
      <c r="R43" s="528"/>
      <c r="S43" s="291"/>
      <c r="T43" s="289">
        <f>HLOOKUP($B$5,Region_Table,13,0)</f>
        <v>0</v>
      </c>
      <c r="U43" s="507" t="s">
        <v>1135</v>
      </c>
      <c r="V43" s="508"/>
      <c r="W43" s="508"/>
      <c r="X43" s="508"/>
      <c r="Y43" s="508"/>
      <c r="Z43" s="508"/>
      <c r="AA43" s="508"/>
      <c r="AB43" s="508"/>
      <c r="AC43" s="508"/>
      <c r="AD43" s="508"/>
      <c r="AE43" s="537"/>
      <c r="AF43" s="537"/>
      <c r="AG43" s="538"/>
      <c r="AH43" s="510" cm="1">
        <f t="array" ref="AH43">SUM(SUMIFS('caseload data'!V:V,'caseload data'!B:B,{"licence","community"},'caseload data'!$C:$C,'community caseload'!T43))</f>
        <v>0</v>
      </c>
      <c r="AI43" s="527"/>
      <c r="AJ43" s="528"/>
    </row>
    <row r="44" spans="2:36" x14ac:dyDescent="0.15">
      <c r="B44" s="95" t="s">
        <v>1005</v>
      </c>
      <c r="C44" s="38" t="s">
        <v>869</v>
      </c>
      <c r="D44" s="38" t="s">
        <v>870</v>
      </c>
      <c r="E44" s="38" t="s">
        <v>871</v>
      </c>
      <c r="F44" s="38" t="s">
        <v>872</v>
      </c>
      <c r="G44" s="38" t="s">
        <v>873</v>
      </c>
      <c r="H44" s="38" t="s">
        <v>874</v>
      </c>
      <c r="I44" s="38" t="s">
        <v>875</v>
      </c>
      <c r="J44" s="38" t="s">
        <v>876</v>
      </c>
      <c r="K44" s="38" t="s">
        <v>877</v>
      </c>
      <c r="L44" s="38" t="s">
        <v>878</v>
      </c>
      <c r="M44" s="38" t="s">
        <v>879</v>
      </c>
      <c r="N44" s="38" t="s">
        <v>880</v>
      </c>
      <c r="O44" s="38" t="s">
        <v>881</v>
      </c>
      <c r="P44" s="38" t="s">
        <v>882</v>
      </c>
      <c r="Q44" s="38" t="s">
        <v>883</v>
      </c>
      <c r="R44" s="38" t="s">
        <v>884</v>
      </c>
      <c r="S44" s="64"/>
      <c r="T44" s="95" t="s">
        <v>1005</v>
      </c>
      <c r="U44" s="38" t="s">
        <v>869</v>
      </c>
      <c r="V44" s="38" t="s">
        <v>870</v>
      </c>
      <c r="W44" s="38" t="s">
        <v>871</v>
      </c>
      <c r="X44" s="38" t="s">
        <v>872</v>
      </c>
      <c r="Y44" s="38" t="s">
        <v>873</v>
      </c>
      <c r="Z44" s="38" t="s">
        <v>874</v>
      </c>
      <c r="AA44" s="38" t="s">
        <v>875</v>
      </c>
      <c r="AB44" s="38" t="s">
        <v>876</v>
      </c>
      <c r="AC44" s="38" t="s">
        <v>877</v>
      </c>
      <c r="AD44" s="38" t="s">
        <v>878</v>
      </c>
      <c r="AE44" s="38" t="s">
        <v>879</v>
      </c>
      <c r="AF44" s="38" t="s">
        <v>880</v>
      </c>
      <c r="AG44" s="38" t="s">
        <v>881</v>
      </c>
      <c r="AH44" s="38" t="s">
        <v>882</v>
      </c>
      <c r="AI44" s="38" t="s">
        <v>883</v>
      </c>
      <c r="AJ44" s="38" t="s">
        <v>884</v>
      </c>
    </row>
    <row r="45" spans="2:36" x14ac:dyDescent="0.15">
      <c r="B45" s="96" t="s">
        <v>1002</v>
      </c>
      <c r="C45" s="94">
        <f>SUM(SUMIFS('caseload data'!E:E,'caseload data'!$D:$D,"PO",'caseload data'!$C:$C,'community caseload'!$B$43,'caseload data'!$B:$B,{"licence","community"}))</f>
        <v>0</v>
      </c>
      <c r="D45" s="94">
        <f>SUM(SUMIFS('caseload data'!F:F,'caseload data'!$D:$D,"PO",'caseload data'!$C:$C,'community caseload'!$B$43,'caseload data'!$B:$B,{"licence","community"}))</f>
        <v>0</v>
      </c>
      <c r="E45" s="94">
        <f>SUM(SUMIFS('caseload data'!G:G,'caseload data'!$D:$D,"PO",'caseload data'!$C:$C,'community caseload'!$B$43,'caseload data'!$B:$B,{"licence","community"}))</f>
        <v>0</v>
      </c>
      <c r="F45" s="94">
        <f>SUM(SUMIFS('caseload data'!H:H,'caseload data'!$D:$D,"PO",'caseload data'!$C:$C,'community caseload'!$B$43,'caseload data'!$B:$B,{"licence","community"}))</f>
        <v>0</v>
      </c>
      <c r="G45" s="94">
        <f>SUM(SUMIFS('caseload data'!I:I,'caseload data'!$D:$D,"PO",'caseload data'!$C:$C,'community caseload'!$B$43,'caseload data'!$B:$B,{"licence","community"}))</f>
        <v>0</v>
      </c>
      <c r="H45" s="94">
        <f>SUM(SUMIFS('caseload data'!J:J,'caseload data'!$D:$D,"PO",'caseload data'!$C:$C,'community caseload'!$B$43,'caseload data'!$B:$B,{"licence","community"}))</f>
        <v>0</v>
      </c>
      <c r="I45" s="94">
        <f>SUM(SUMIFS('caseload data'!K:K,'caseload data'!$D:$D,"PO",'caseload data'!$C:$C,'community caseload'!$B$43,'caseload data'!$B:$B,{"licence","community"}))</f>
        <v>0</v>
      </c>
      <c r="J45" s="94">
        <f>SUM(SUMIFS('caseload data'!L:L,'caseload data'!$D:$D,"PO",'caseload data'!$C:$C,'community caseload'!$B$43,'caseload data'!$B:$B,{"licence","community"}))</f>
        <v>0</v>
      </c>
      <c r="K45" s="94">
        <f>SUM(SUMIFS('caseload data'!M:M,'caseload data'!$D:$D,"PO",'caseload data'!$C:$C,'community caseload'!$B$43,'caseload data'!$B:$B,{"licence","community"}))</f>
        <v>0</v>
      </c>
      <c r="L45" s="94">
        <f>SUM(SUMIFS('caseload data'!N:N,'caseload data'!$D:$D,"PO",'caseload data'!$C:$C,'community caseload'!$B$43,'caseload data'!$B:$B,{"licence","community"}))</f>
        <v>0</v>
      </c>
      <c r="M45" s="94">
        <f>SUM(SUMIFS('caseload data'!O:O,'caseload data'!$D:$D,"PO",'caseload data'!$C:$C,'community caseload'!$B$43,'caseload data'!$B:$B,{"licence","community"}))</f>
        <v>0</v>
      </c>
      <c r="N45" s="94">
        <f>SUM(SUMIFS('caseload data'!P:P,'caseload data'!$D:$D,"PO",'caseload data'!$C:$C,'community caseload'!$B$43,'caseload data'!$B:$B,{"licence","community"}))</f>
        <v>0</v>
      </c>
      <c r="O45" s="94">
        <f>SUM(SUMIFS('caseload data'!Q:Q,'caseload data'!$D:$D,"PO",'caseload data'!$C:$C,'community caseload'!$B$43,'caseload data'!$B:$B,{"licence","community"}))</f>
        <v>0</v>
      </c>
      <c r="P45" s="94">
        <f>SUM(SUMIFS('caseload data'!R:R,'caseload data'!$D:$D,"PO",'caseload data'!$C:$C,'community caseload'!$B$43,'caseload data'!$B:$B,{"licence","community"}))</f>
        <v>0</v>
      </c>
      <c r="Q45" s="94">
        <f>SUM(SUMIFS('caseload data'!S:S,'caseload data'!$D:$D,"PO",'caseload data'!$C:$C,'community caseload'!$B$43,'caseload data'!$B:$B,{"licence","community"}))</f>
        <v>0</v>
      </c>
      <c r="R45" s="94">
        <f>SUM(SUMIFS('caseload data'!T:T,'caseload data'!$D:$D,"PO",'caseload data'!$C:$C,'community caseload'!$B$43,'caseload data'!$B:$B,{"licence","community"}))</f>
        <v>0</v>
      </c>
      <c r="S45" s="64"/>
      <c r="T45" s="96" t="s">
        <v>1002</v>
      </c>
      <c r="U45" s="94">
        <f>SUM(SUMIFS('caseload data'!E:E,'caseload data'!$D:$D,"PO",'caseload data'!$C:$C,'community caseload'!$T$43,'caseload data'!$B:$B,{"licence","community"}))</f>
        <v>0</v>
      </c>
      <c r="V45" s="94">
        <f>SUM(SUMIFS('caseload data'!F:F,'caseload data'!$D:$D,"PO",'caseload data'!$C:$C,'community caseload'!$T$43,'caseload data'!$B:$B,{"licence","community"}))</f>
        <v>0</v>
      </c>
      <c r="W45" s="94">
        <f>SUM(SUMIFS('caseload data'!G:G,'caseload data'!$D:$D,"PO",'caseload data'!$C:$C,'community caseload'!$T$43,'caseload data'!$B:$B,{"licence","community"}))</f>
        <v>0</v>
      </c>
      <c r="X45" s="94">
        <f>SUM(SUMIFS('caseload data'!H:H,'caseload data'!$D:$D,"PO",'caseload data'!$C:$C,'community caseload'!$T$43,'caseload data'!$B:$B,{"licence","community"}))</f>
        <v>0</v>
      </c>
      <c r="Y45" s="94">
        <f>SUM(SUMIFS('caseload data'!I:I,'caseload data'!$D:$D,"PO",'caseload data'!$C:$C,'community caseload'!$T$43,'caseload data'!$B:$B,{"licence","community"}))</f>
        <v>0</v>
      </c>
      <c r="Z45" s="94">
        <f>SUM(SUMIFS('caseload data'!J:J,'caseload data'!$D:$D,"PO",'caseload data'!$C:$C,'community caseload'!$T$43,'caseload data'!$B:$B,{"licence","community"}))</f>
        <v>0</v>
      </c>
      <c r="AA45" s="94">
        <f>SUM(SUMIFS('caseload data'!K:K,'caseload data'!$D:$D,"PO",'caseload data'!$C:$C,'community caseload'!$T$43,'caseload data'!$B:$B,{"licence","community"}))</f>
        <v>0</v>
      </c>
      <c r="AB45" s="94">
        <f>SUM(SUMIFS('caseload data'!L:L,'caseload data'!$D:$D,"PO",'caseload data'!$C:$C,'community caseload'!$T$43,'caseload data'!$B:$B,{"licence","community"}))</f>
        <v>0</v>
      </c>
      <c r="AC45" s="94">
        <f>SUM(SUMIFS('caseload data'!M:M,'caseload data'!$D:$D,"PO",'caseload data'!$C:$C,'community caseload'!$T$43,'caseload data'!$B:$B,{"licence","community"}))</f>
        <v>0</v>
      </c>
      <c r="AD45" s="94">
        <f>SUM(SUMIFS('caseload data'!N:N,'caseload data'!$D:$D,"PO",'caseload data'!$C:$C,'community caseload'!$T$43,'caseload data'!$B:$B,{"licence","community"}))</f>
        <v>0</v>
      </c>
      <c r="AE45" s="94">
        <f>SUM(SUMIFS('caseload data'!O:O,'caseload data'!$D:$D,"PO",'caseload data'!$C:$C,'community caseload'!$T$43,'caseload data'!$B:$B,{"licence","community"}))</f>
        <v>0</v>
      </c>
      <c r="AF45" s="94">
        <f>SUM(SUMIFS('caseload data'!P:P,'caseload data'!$D:$D,"PO",'caseload data'!$C:$C,'community caseload'!$T$43,'caseload data'!$B:$B,{"licence","community"}))</f>
        <v>0</v>
      </c>
      <c r="AG45" s="94">
        <f>SUM(SUMIFS('caseload data'!Q:Q,'caseload data'!$D:$D,"PO",'caseload data'!$C:$C,'community caseload'!$T$43,'caseload data'!$B:$B,{"licence","community"}))</f>
        <v>0</v>
      </c>
      <c r="AH45" s="94">
        <f>SUM(SUMIFS('caseload data'!R:R,'caseload data'!$D:$D,"PO",'caseload data'!$C:$C,'community caseload'!$T$43,'caseload data'!$B:$B,{"licence","community"}))</f>
        <v>0</v>
      </c>
      <c r="AI45" s="94">
        <f>SUM(SUMIFS('caseload data'!S:S,'caseload data'!$D:$D,"PO",'caseload data'!$C:$C,'community caseload'!$T$43,'caseload data'!$B:$B,{"licence","community"}))</f>
        <v>0</v>
      </c>
      <c r="AJ45" s="94">
        <f>SUM(SUMIFS('caseload data'!T:T,'caseload data'!$D:$D,"PO",'caseload data'!$C:$C,'community caseload'!$T$43,'caseload data'!$B:$B,{"licence","community"}))</f>
        <v>0</v>
      </c>
    </row>
    <row r="46" spans="2:36" x14ac:dyDescent="0.15">
      <c r="B46" s="97" t="s">
        <v>1007</v>
      </c>
      <c r="C46" s="94">
        <f>SUM(SUMIFS('caseload data'!E:E,'caseload data'!$D:$D,"PSO",'caseload data'!$C:$C,'community caseload'!$B$43,'caseload data'!$B:$B,{"licence","community"}))</f>
        <v>0</v>
      </c>
      <c r="D46" s="94">
        <f>SUM(SUMIFS('caseload data'!F:F,'caseload data'!$D:$D,"PSO",'caseload data'!$C:$C,'community caseload'!$B$43,'caseload data'!$B:$B,{"licence","community"}))</f>
        <v>0</v>
      </c>
      <c r="E46" s="94">
        <f>SUM(SUMIFS('caseload data'!G:G,'caseload data'!$D:$D,"PSO",'caseload data'!$C:$C,'community caseload'!$B$43,'caseload data'!$B:$B,{"licence","community"}))</f>
        <v>0</v>
      </c>
      <c r="F46" s="94">
        <f>SUM(SUMIFS('caseload data'!H:H,'caseload data'!$D:$D,"PSO",'caseload data'!$C:$C,'community caseload'!$B$43,'caseload data'!$B:$B,{"licence","community"}))</f>
        <v>0</v>
      </c>
      <c r="G46" s="94">
        <f>SUM(SUMIFS('caseload data'!I:I,'caseload data'!$D:$D,"PSO",'caseload data'!$C:$C,'community caseload'!$B$43,'caseload data'!$B:$B,{"licence","community"}))</f>
        <v>0</v>
      </c>
      <c r="H46" s="94">
        <f>SUM(SUMIFS('caseload data'!J:J,'caseload data'!$D:$D,"PSO",'caseload data'!$C:$C,'community caseload'!$B$43,'caseload data'!$B:$B,{"licence","community"}))</f>
        <v>0</v>
      </c>
      <c r="I46" s="94">
        <f>SUM(SUMIFS('caseload data'!K:K,'caseload data'!$D:$D,"PSO",'caseload data'!$C:$C,'community caseload'!$B$43,'caseload data'!$B:$B,{"licence","community"}))</f>
        <v>0</v>
      </c>
      <c r="J46" s="94">
        <f>SUM(SUMIFS('caseload data'!L:L,'caseload data'!$D:$D,"PSO",'caseload data'!$C:$C,'community caseload'!$B$43,'caseload data'!$B:$B,{"licence","community"}))</f>
        <v>0</v>
      </c>
      <c r="K46" s="94">
        <f>SUM(SUMIFS('caseload data'!M:M,'caseload data'!$D:$D,"PSO",'caseload data'!$C:$C,'community caseload'!$B$43,'caseload data'!$B:$B,{"licence","community"}))</f>
        <v>0</v>
      </c>
      <c r="L46" s="94">
        <f>SUM(SUMIFS('caseload data'!N:N,'caseload data'!$D:$D,"PSO",'caseload data'!$C:$C,'community caseload'!$B$43,'caseload data'!$B:$B,{"licence","community"}))</f>
        <v>0</v>
      </c>
      <c r="M46" s="94">
        <f>SUM(SUMIFS('caseload data'!O:O,'caseload data'!$D:$D,"PSO",'caseload data'!$C:$C,'community caseload'!$B$43,'caseload data'!$B:$B,{"licence","community"}))</f>
        <v>0</v>
      </c>
      <c r="N46" s="94">
        <f>SUM(SUMIFS('caseload data'!P:P,'caseload data'!$D:$D,"PSO",'caseload data'!$C:$C,'community caseload'!$B$43,'caseload data'!$B:$B,{"licence","community"}))</f>
        <v>0</v>
      </c>
      <c r="O46" s="94">
        <f>SUM(SUMIFS('caseload data'!Q:Q,'caseload data'!$D:$D,"PSO",'caseload data'!$C:$C,'community caseload'!$B$43,'caseload data'!$B:$B,{"licence","community"}))</f>
        <v>0</v>
      </c>
      <c r="P46" s="94">
        <f>SUM(SUMIFS('caseload data'!R:R,'caseload data'!$D:$D,"PSO",'caseload data'!$C:$C,'community caseload'!$B$43,'caseload data'!$B:$B,{"licence","community"}))</f>
        <v>0</v>
      </c>
      <c r="Q46" s="94">
        <f>SUM(SUMIFS('caseload data'!S:S,'caseload data'!$D:$D,"PSO",'caseload data'!$C:$C,'community caseload'!$B$43,'caseload data'!$B:$B,{"licence","community"}))</f>
        <v>0</v>
      </c>
      <c r="R46" s="94">
        <f>SUM(SUMIFS('caseload data'!T:T,'caseload data'!$D:$D,"PSO",'caseload data'!$C:$C,'community caseload'!$B$43,'caseload data'!$B:$B,{"licence","community"}))</f>
        <v>0</v>
      </c>
      <c r="S46" s="64"/>
      <c r="T46" s="97" t="s">
        <v>1007</v>
      </c>
      <c r="U46" s="94">
        <f>SUM(SUMIFS('caseload data'!E:E,'caseload data'!$D:$D,"PSO",'caseload data'!$C:$C,'community caseload'!$T$43,'caseload data'!$B:$B,{"licence","community"}))</f>
        <v>0</v>
      </c>
      <c r="V46" s="94">
        <f>SUM(SUMIFS('caseload data'!F:F,'caseload data'!$D:$D,"PSO",'caseload data'!$C:$C,'community caseload'!$T$43,'caseload data'!$B:$B,{"licence","community"}))</f>
        <v>0</v>
      </c>
      <c r="W46" s="94">
        <f>SUM(SUMIFS('caseload data'!G:G,'caseload data'!$D:$D,"PSO",'caseload data'!$C:$C,'community caseload'!$T$43,'caseload data'!$B:$B,{"licence","community"}))</f>
        <v>0</v>
      </c>
      <c r="X46" s="94">
        <f>SUM(SUMIFS('caseload data'!H:H,'caseload data'!$D:$D,"PSO",'caseload data'!$C:$C,'community caseload'!$T$43,'caseload data'!$B:$B,{"licence","community"}))</f>
        <v>0</v>
      </c>
      <c r="Y46" s="94">
        <f>SUM(SUMIFS('caseload data'!I:I,'caseload data'!$D:$D,"PSO",'caseload data'!$C:$C,'community caseload'!$T$43,'caseload data'!$B:$B,{"licence","community"}))</f>
        <v>0</v>
      </c>
      <c r="Z46" s="94">
        <f>SUM(SUMIFS('caseload data'!J:J,'caseload data'!$D:$D,"PSO",'caseload data'!$C:$C,'community caseload'!$T$43,'caseload data'!$B:$B,{"licence","community"}))</f>
        <v>0</v>
      </c>
      <c r="AA46" s="94">
        <f>SUM(SUMIFS('caseload data'!K:K,'caseload data'!$D:$D,"PSO",'caseload data'!$C:$C,'community caseload'!$T$43,'caseload data'!$B:$B,{"licence","community"}))</f>
        <v>0</v>
      </c>
      <c r="AB46" s="94">
        <f>SUM(SUMIFS('caseload data'!L:L,'caseload data'!$D:$D,"PSO",'caseload data'!$C:$C,'community caseload'!$T$43,'caseload data'!$B:$B,{"licence","community"}))</f>
        <v>0</v>
      </c>
      <c r="AC46" s="94">
        <f>SUM(SUMIFS('caseload data'!M:M,'caseload data'!$D:$D,"PSO",'caseload data'!$C:$C,'community caseload'!$T$43,'caseload data'!$B:$B,{"licence","community"}))</f>
        <v>0</v>
      </c>
      <c r="AD46" s="94">
        <f>SUM(SUMIFS('caseload data'!N:N,'caseload data'!$D:$D,"PSO",'caseload data'!$C:$C,'community caseload'!$T$43,'caseload data'!$B:$B,{"licence","community"}))</f>
        <v>0</v>
      </c>
      <c r="AE46" s="94">
        <f>SUM(SUMIFS('caseload data'!O:O,'caseload data'!$D:$D,"PSO",'caseload data'!$C:$C,'community caseload'!$T$43,'caseload data'!$B:$B,{"licence","community"}))</f>
        <v>0</v>
      </c>
      <c r="AF46" s="94">
        <f>SUM(SUMIFS('caseload data'!P:P,'caseload data'!$D:$D,"PSO",'caseload data'!$C:$C,'community caseload'!$T$43,'caseload data'!$B:$B,{"licence","community"}))</f>
        <v>0</v>
      </c>
      <c r="AG46" s="94">
        <f>SUM(SUMIFS('caseload data'!Q:Q,'caseload data'!$D:$D,"PSO",'caseload data'!$C:$C,'community caseload'!$T$43,'caseload data'!$B:$B,{"licence","community"}))</f>
        <v>0</v>
      </c>
      <c r="AH46" s="94">
        <f>SUM(SUMIFS('caseload data'!R:R,'caseload data'!$D:$D,"PSO",'caseload data'!$C:$C,'community caseload'!$T$43,'caseload data'!$B:$B,{"licence","community"}))</f>
        <v>0</v>
      </c>
      <c r="AI46" s="94">
        <f>SUM(SUMIFS('caseload data'!S:S,'caseload data'!$D:$D,"PSO",'caseload data'!$C:$C,'community caseload'!$T$43,'caseload data'!$B:$B,{"licence","community"}))</f>
        <v>0</v>
      </c>
      <c r="AJ46" s="94">
        <f>SUM(SUMIFS('caseload data'!T:T,'caseload data'!$D:$D,"PSO",'caseload data'!$C:$C,'community caseload'!$T$43,'caseload data'!$B:$B,{"licence","community"}))</f>
        <v>0</v>
      </c>
    </row>
    <row r="47" spans="2:36" x14ac:dyDescent="0.15">
      <c r="B47" s="97" t="s">
        <v>1008</v>
      </c>
      <c r="C47" s="94">
        <f>SUM(SUMIFS('caseload data'!E:E,'caseload data'!$D:$D,"TPO",'caseload data'!$C:$C,'community caseload'!$B$43,'caseload data'!$B:$B,{"licence","community"}))</f>
        <v>0</v>
      </c>
      <c r="D47" s="94">
        <f>SUM(SUMIFS('caseload data'!F:F,'caseload data'!$D:$D,"TPO",'caseload data'!$C:$C,'community caseload'!$B$43,'caseload data'!$B:$B,{"licence","community"}))</f>
        <v>0</v>
      </c>
      <c r="E47" s="94">
        <f>SUM(SUMIFS('caseload data'!G:G,'caseload data'!$D:$D,"TPO",'caseload data'!$C:$C,'community caseload'!$B$43,'caseload data'!$B:$B,{"licence","community"}))</f>
        <v>0</v>
      </c>
      <c r="F47" s="94">
        <f>SUM(SUMIFS('caseload data'!H:H,'caseload data'!$D:$D,"TPO",'caseload data'!$C:$C,'community caseload'!$B$43,'caseload data'!$B:$B,{"licence","community"}))</f>
        <v>0</v>
      </c>
      <c r="G47" s="94">
        <f>SUM(SUMIFS('caseload data'!I:I,'caseload data'!$D:$D,"TPO",'caseload data'!$C:$C,'community caseload'!$B$43,'caseload data'!$B:$B,{"licence","community"}))</f>
        <v>0</v>
      </c>
      <c r="H47" s="94">
        <f>SUM(SUMIFS('caseload data'!J:J,'caseload data'!$D:$D,"TPO",'caseload data'!$C:$C,'community caseload'!$B$43,'caseload data'!$B:$B,{"licence","community"}))</f>
        <v>0</v>
      </c>
      <c r="I47" s="94">
        <f>SUM(SUMIFS('caseload data'!K:K,'caseload data'!$D:$D,"TPO",'caseload data'!$C:$C,'community caseload'!$B$43,'caseload data'!$B:$B,{"licence","community"}))</f>
        <v>0</v>
      </c>
      <c r="J47" s="94">
        <f>SUM(SUMIFS('caseload data'!L:L,'caseload data'!$D:$D,"TPO",'caseload data'!$C:$C,'community caseload'!$B$43,'caseload data'!$B:$B,{"licence","community"}))</f>
        <v>0</v>
      </c>
      <c r="K47" s="94">
        <f>SUM(SUMIFS('caseload data'!M:M,'caseload data'!$D:$D,"TPO",'caseload data'!$C:$C,'community caseload'!$B$43,'caseload data'!$B:$B,{"licence","community"}))</f>
        <v>0</v>
      </c>
      <c r="L47" s="94">
        <f>SUM(SUMIFS('caseload data'!N:N,'caseload data'!$D:$D,"TPO",'caseload data'!$C:$C,'community caseload'!$B$43,'caseload data'!$B:$B,{"licence","community"}))</f>
        <v>0</v>
      </c>
      <c r="M47" s="94">
        <f>SUM(SUMIFS('caseload data'!O:O,'caseload data'!$D:$D,"TPO",'caseload data'!$C:$C,'community caseload'!$B$43,'caseload data'!$B:$B,{"licence","community"}))</f>
        <v>0</v>
      </c>
      <c r="N47" s="94">
        <f>SUM(SUMIFS('caseload data'!P:P,'caseload data'!$D:$D,"TPO",'caseload data'!$C:$C,'community caseload'!$B$43,'caseload data'!$B:$B,{"licence","community"}))</f>
        <v>0</v>
      </c>
      <c r="O47" s="94">
        <f>SUM(SUMIFS('caseload data'!Q:Q,'caseload data'!$D:$D,"TPO",'caseload data'!$C:$C,'community caseload'!$B$43,'caseload data'!$B:$B,{"licence","community"}))</f>
        <v>0</v>
      </c>
      <c r="P47" s="94">
        <f>SUM(SUMIFS('caseload data'!R:R,'caseload data'!$D:$D,"TPO",'caseload data'!$C:$C,'community caseload'!$B$43,'caseload data'!$B:$B,{"licence","community"}))</f>
        <v>0</v>
      </c>
      <c r="Q47" s="94">
        <f>SUM(SUMIFS('caseload data'!S:S,'caseload data'!$D:$D,"TPO",'caseload data'!$C:$C,'community caseload'!$B$43,'caseload data'!$B:$B,{"licence","community"}))</f>
        <v>0</v>
      </c>
      <c r="R47" s="94">
        <f>SUM(SUMIFS('caseload data'!T:T,'caseload data'!$D:$D,"TPO",'caseload data'!$C:$C,'community caseload'!$B$43,'caseload data'!$B:$B,{"licence","community"}))</f>
        <v>0</v>
      </c>
      <c r="S47" s="64"/>
      <c r="T47" s="97" t="s">
        <v>1008</v>
      </c>
      <c r="U47" s="94">
        <f>SUM(SUMIFS('caseload data'!E:E,'caseload data'!$D:$D,"TPO",'caseload data'!$C:$C,'community caseload'!$T$43,'caseload data'!$B:$B,{"licence","community"}))</f>
        <v>0</v>
      </c>
      <c r="V47" s="94">
        <f>SUM(SUMIFS('caseload data'!F:F,'caseload data'!$D:$D,"TPO",'caseload data'!$C:$C,'community caseload'!$T$43,'caseload data'!$B:$B,{"licence","community"}))</f>
        <v>0</v>
      </c>
      <c r="W47" s="94">
        <f>SUM(SUMIFS('caseload data'!G:G,'caseload data'!$D:$D,"TPO",'caseload data'!$C:$C,'community caseload'!$T$43,'caseload data'!$B:$B,{"licence","community"}))</f>
        <v>0</v>
      </c>
      <c r="X47" s="94">
        <f>SUM(SUMIFS('caseload data'!H:H,'caseload data'!$D:$D,"TPO",'caseload data'!$C:$C,'community caseload'!$T$43,'caseload data'!$B:$B,{"licence","community"}))</f>
        <v>0</v>
      </c>
      <c r="Y47" s="94">
        <f>SUM(SUMIFS('caseload data'!I:I,'caseload data'!$D:$D,"TPO",'caseload data'!$C:$C,'community caseload'!$T$43,'caseload data'!$B:$B,{"licence","community"}))</f>
        <v>0</v>
      </c>
      <c r="Z47" s="94">
        <f>SUM(SUMIFS('caseload data'!J:J,'caseload data'!$D:$D,"TPO",'caseload data'!$C:$C,'community caseload'!$T$43,'caseload data'!$B:$B,{"licence","community"}))</f>
        <v>0</v>
      </c>
      <c r="AA47" s="94">
        <f>SUM(SUMIFS('caseload data'!K:K,'caseload data'!$D:$D,"TPO",'caseload data'!$C:$C,'community caseload'!$T$43,'caseload data'!$B:$B,{"licence","community"}))</f>
        <v>0</v>
      </c>
      <c r="AB47" s="94">
        <f>SUM(SUMIFS('caseload data'!L:L,'caseload data'!$D:$D,"TPO",'caseload data'!$C:$C,'community caseload'!$T$43,'caseload data'!$B:$B,{"licence","community"}))</f>
        <v>0</v>
      </c>
      <c r="AC47" s="94">
        <f>SUM(SUMIFS('caseload data'!M:M,'caseload data'!$D:$D,"TPO",'caseload data'!$C:$C,'community caseload'!$T$43,'caseload data'!$B:$B,{"licence","community"}))</f>
        <v>0</v>
      </c>
      <c r="AD47" s="94">
        <f>SUM(SUMIFS('caseload data'!N:N,'caseload data'!$D:$D,"TPO",'caseload data'!$C:$C,'community caseload'!$T$43,'caseload data'!$B:$B,{"licence","community"}))</f>
        <v>0</v>
      </c>
      <c r="AE47" s="94">
        <f>SUM(SUMIFS('caseload data'!O:O,'caseload data'!$D:$D,"TPO",'caseload data'!$C:$C,'community caseload'!$T$43,'caseload data'!$B:$B,{"licence","community"}))</f>
        <v>0</v>
      </c>
      <c r="AF47" s="94">
        <f>SUM(SUMIFS('caseload data'!P:P,'caseload data'!$D:$D,"TPO",'caseload data'!$C:$C,'community caseload'!$T$43,'caseload data'!$B:$B,{"licence","community"}))</f>
        <v>0</v>
      </c>
      <c r="AG47" s="94">
        <f>SUM(SUMIFS('caseload data'!Q:Q,'caseload data'!$D:$D,"TPO",'caseload data'!$C:$C,'community caseload'!$T$43,'caseload data'!$B:$B,{"licence","community"}))</f>
        <v>0</v>
      </c>
      <c r="AH47" s="94">
        <f>SUM(SUMIFS('caseload data'!R:R,'caseload data'!$D:$D,"TPO",'caseload data'!$C:$C,'community caseload'!$T$43,'caseload data'!$B:$B,{"licence","community"}))</f>
        <v>0</v>
      </c>
      <c r="AI47" s="94">
        <f>SUM(SUMIFS('caseload data'!S:S,'caseload data'!$D:$D,"TPO",'caseload data'!$C:$C,'community caseload'!$T$43,'caseload data'!$B:$B,{"licence","community"}))</f>
        <v>0</v>
      </c>
      <c r="AJ47" s="94">
        <f>SUM(SUMIFS('caseload data'!T:T,'caseload data'!$D:$D,"TPO",'caseload data'!$C:$C,'community caseload'!$T$43,'caseload data'!$B:$B,{"licence","community"}))</f>
        <v>0</v>
      </c>
    </row>
    <row r="48" spans="2:36" x14ac:dyDescent="0.15">
      <c r="B48" s="98" t="s">
        <v>1009</v>
      </c>
      <c r="C48" s="94">
        <f>SUM(SUMIFS('caseload data'!E:E,'caseload data'!$D:$D,"SPO",'caseload data'!$C:$C,'community caseload'!$B$43,'caseload data'!$B:$B,{"licence","community"}))</f>
        <v>0</v>
      </c>
      <c r="D48" s="94">
        <f>SUM(SUMIFS('caseload data'!F:F,'caseload data'!$D:$D,"SPO",'caseload data'!$C:$C,'community caseload'!$B$43,'caseload data'!$B:$B,{"licence","community"}))</f>
        <v>0</v>
      </c>
      <c r="E48" s="94">
        <f>SUM(SUMIFS('caseload data'!G:G,'caseload data'!$D:$D,"SPO",'caseload data'!$C:$C,'community caseload'!$B$43,'caseload data'!$B:$B,{"licence","community"}))</f>
        <v>0</v>
      </c>
      <c r="F48" s="94">
        <f>SUM(SUMIFS('caseload data'!H:H,'caseload data'!$D:$D,"SPO",'caseload data'!$C:$C,'community caseload'!$B$43,'caseload data'!$B:$B,{"licence","community"}))</f>
        <v>0</v>
      </c>
      <c r="G48" s="94">
        <f>SUM(SUMIFS('caseload data'!I:I,'caseload data'!$D:$D,"SPO",'caseload data'!$C:$C,'community caseload'!$B$43,'caseload data'!$B:$B,{"licence","community"}))</f>
        <v>0</v>
      </c>
      <c r="H48" s="94">
        <f>SUM(SUMIFS('caseload data'!J:J,'caseload data'!$D:$D,"SPO",'caseload data'!$C:$C,'community caseload'!$B$43,'caseload data'!$B:$B,{"licence","community"}))</f>
        <v>0</v>
      </c>
      <c r="I48" s="94">
        <f>SUM(SUMIFS('caseload data'!K:K,'caseload data'!$D:$D,"SPO",'caseload data'!$C:$C,'community caseload'!$B$43,'caseload data'!$B:$B,{"licence","community"}))</f>
        <v>0</v>
      </c>
      <c r="J48" s="94">
        <f>SUM(SUMIFS('caseload data'!L:L,'caseload data'!$D:$D,"SPO",'caseload data'!$C:$C,'community caseload'!$B$43,'caseload data'!$B:$B,{"licence","community"}))</f>
        <v>0</v>
      </c>
      <c r="K48" s="94">
        <f>SUM(SUMIFS('caseload data'!M:M,'caseload data'!$D:$D,"SPO",'caseload data'!$C:$C,'community caseload'!$B$43,'caseload data'!$B:$B,{"licence","community"}))</f>
        <v>0</v>
      </c>
      <c r="L48" s="94">
        <f>SUM(SUMIFS('caseload data'!N:N,'caseload data'!$D:$D,"SPO",'caseload data'!$C:$C,'community caseload'!$B$43,'caseload data'!$B:$B,{"licence","community"}))</f>
        <v>0</v>
      </c>
      <c r="M48" s="94">
        <f>SUM(SUMIFS('caseload data'!O:O,'caseload data'!$D:$D,"SPO",'caseload data'!$C:$C,'community caseload'!$B$43,'caseload data'!$B:$B,{"licence","community"}))</f>
        <v>0</v>
      </c>
      <c r="N48" s="94">
        <f>SUM(SUMIFS('caseload data'!P:P,'caseload data'!$D:$D,"SPO",'caseload data'!$C:$C,'community caseload'!$B$43,'caseload data'!$B:$B,{"licence","community"}))</f>
        <v>0</v>
      </c>
      <c r="O48" s="94">
        <f>SUM(SUMIFS('caseload data'!Q:Q,'caseload data'!$D:$D,"SPO",'caseload data'!$C:$C,'community caseload'!$B$43,'caseload data'!$B:$B,{"licence","community"}))</f>
        <v>0</v>
      </c>
      <c r="P48" s="94">
        <f>SUM(SUMIFS('caseload data'!R:R,'caseload data'!$D:$D,"SPO",'caseload data'!$C:$C,'community caseload'!$B$43,'caseload data'!$B:$B,{"licence","community"}))</f>
        <v>0</v>
      </c>
      <c r="Q48" s="94">
        <f>SUM(SUMIFS('caseload data'!S:S,'caseload data'!$D:$D,"SPO",'caseload data'!$C:$C,'community caseload'!$B$43,'caseload data'!$B:$B,{"licence","community"}))</f>
        <v>0</v>
      </c>
      <c r="R48" s="94">
        <f>SUM(SUMIFS('caseload data'!T:T,'caseload data'!$D:$D,"SPO",'caseload data'!$C:$C,'community caseload'!$B$43,'caseload data'!$B:$B,{"licence","community"}))</f>
        <v>0</v>
      </c>
      <c r="S48" s="64"/>
      <c r="T48" s="98" t="s">
        <v>1009</v>
      </c>
      <c r="U48" s="94">
        <f>SUM(SUMIFS('caseload data'!E:E,'caseload data'!$D:$D,"SPO",'caseload data'!$C:$C,'community caseload'!$T$43,'caseload data'!$B:$B,{"licence","community"}))</f>
        <v>0</v>
      </c>
      <c r="V48" s="94">
        <f>SUM(SUMIFS('caseload data'!F:F,'caseload data'!$D:$D,"SPO",'caseload data'!$C:$C,'community caseload'!$T$43,'caseload data'!$B:$B,{"licence","community"}))</f>
        <v>0</v>
      </c>
      <c r="W48" s="94">
        <f>SUM(SUMIFS('caseload data'!G:G,'caseload data'!$D:$D,"SPO",'caseload data'!$C:$C,'community caseload'!$T$43,'caseload data'!$B:$B,{"licence","community"}))</f>
        <v>0</v>
      </c>
      <c r="X48" s="94">
        <f>SUM(SUMIFS('caseload data'!H:H,'caseload data'!$D:$D,"SPO",'caseload data'!$C:$C,'community caseload'!$T$43,'caseload data'!$B:$B,{"licence","community"}))</f>
        <v>0</v>
      </c>
      <c r="Y48" s="94">
        <f>SUM(SUMIFS('caseload data'!I:I,'caseload data'!$D:$D,"SPO",'caseload data'!$C:$C,'community caseload'!$T$43,'caseload data'!$B:$B,{"licence","community"}))</f>
        <v>0</v>
      </c>
      <c r="Z48" s="94">
        <f>SUM(SUMIFS('caseload data'!J:J,'caseload data'!$D:$D,"SPO",'caseload data'!$C:$C,'community caseload'!$T$43,'caseload data'!$B:$B,{"licence","community"}))</f>
        <v>0</v>
      </c>
      <c r="AA48" s="94">
        <f>SUM(SUMIFS('caseload data'!K:K,'caseload data'!$D:$D,"SPO",'caseload data'!$C:$C,'community caseload'!$T$43,'caseload data'!$B:$B,{"licence","community"}))</f>
        <v>0</v>
      </c>
      <c r="AB48" s="94">
        <f>SUM(SUMIFS('caseload data'!L:L,'caseload data'!$D:$D,"SPO",'caseload data'!$C:$C,'community caseload'!$T$43,'caseload data'!$B:$B,{"licence","community"}))</f>
        <v>0</v>
      </c>
      <c r="AC48" s="94">
        <f>SUM(SUMIFS('caseload data'!M:M,'caseload data'!$D:$D,"SPO",'caseload data'!$C:$C,'community caseload'!$T$43,'caseload data'!$B:$B,{"licence","community"}))</f>
        <v>0</v>
      </c>
      <c r="AD48" s="94">
        <f>SUM(SUMIFS('caseload data'!N:N,'caseload data'!$D:$D,"SPO",'caseload data'!$C:$C,'community caseload'!$T$43,'caseload data'!$B:$B,{"licence","community"}))</f>
        <v>0</v>
      </c>
      <c r="AE48" s="94">
        <f>SUM(SUMIFS('caseload data'!O:O,'caseload data'!$D:$D,"SPO",'caseload data'!$C:$C,'community caseload'!$T$43,'caseload data'!$B:$B,{"licence","community"}))</f>
        <v>0</v>
      </c>
      <c r="AF48" s="94">
        <f>SUM(SUMIFS('caseload data'!P:P,'caseload data'!$D:$D,"SPO",'caseload data'!$C:$C,'community caseload'!$T$43,'caseload data'!$B:$B,{"licence","community"}))</f>
        <v>0</v>
      </c>
      <c r="AG48" s="94">
        <f>SUM(SUMIFS('caseload data'!Q:Q,'caseload data'!$D:$D,"SPO",'caseload data'!$C:$C,'community caseload'!$T$43,'caseload data'!$B:$B,{"licence","community"}))</f>
        <v>0</v>
      </c>
      <c r="AH48" s="94">
        <f>SUM(SUMIFS('caseload data'!R:R,'caseload data'!$D:$D,"SPO",'caseload data'!$C:$C,'community caseload'!$T$43,'caseload data'!$B:$B,{"licence","community"}))</f>
        <v>0</v>
      </c>
      <c r="AI48" s="94">
        <f>SUM(SUMIFS('caseload data'!S:S,'caseload data'!$D:$D,"SPO",'caseload data'!$C:$C,'community caseload'!$T$43,'caseload data'!$B:$B,{"licence","community"}))</f>
        <v>0</v>
      </c>
      <c r="AJ48" s="94">
        <f>SUM(SUMIFS('caseload data'!T:T,'caseload data'!$D:$D,"SPO",'caseload data'!$C:$C,'community caseload'!$T$43,'caseload data'!$B:$B,{"licence","community"}))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7" customHeight="1" x14ac:dyDescent="0.15">
      <c r="B50" s="289">
        <f>HLOOKUP($B$5,Region_Table,14,0)</f>
        <v>0</v>
      </c>
      <c r="C50" s="507" t="s">
        <v>1135</v>
      </c>
      <c r="D50" s="508"/>
      <c r="E50" s="508"/>
      <c r="F50" s="508"/>
      <c r="G50" s="508"/>
      <c r="H50" s="508"/>
      <c r="I50" s="508"/>
      <c r="J50" s="508"/>
      <c r="K50" s="508"/>
      <c r="L50" s="508"/>
      <c r="M50" s="537"/>
      <c r="N50" s="537"/>
      <c r="O50" s="538"/>
      <c r="P50" s="510" cm="1">
        <f t="array" ref="P50">SUM(SUMIFS('caseload data'!V:V,'caseload data'!B:B,{"licence","community"},'caseload data'!$C:$C,'community caseload'!B50))</f>
        <v>0</v>
      </c>
      <c r="Q50" s="527"/>
      <c r="R50" s="528"/>
      <c r="S50" s="291"/>
      <c r="T50" s="289">
        <f>HLOOKUP($B$5,Region_Table,15,0)</f>
        <v>0</v>
      </c>
      <c r="U50" s="507" t="s">
        <v>1135</v>
      </c>
      <c r="V50" s="508"/>
      <c r="W50" s="508"/>
      <c r="X50" s="508"/>
      <c r="Y50" s="508"/>
      <c r="Z50" s="508"/>
      <c r="AA50" s="508"/>
      <c r="AB50" s="508"/>
      <c r="AC50" s="508"/>
      <c r="AD50" s="508"/>
      <c r="AE50" s="537"/>
      <c r="AF50" s="537"/>
      <c r="AG50" s="538"/>
      <c r="AH50" s="510" cm="1">
        <f t="array" ref="AH50">SUM(SUMIFS('caseload data'!V:V,'caseload data'!B:B,{"licence","community"},'caseload data'!$C:$C,'community caseload'!T50))</f>
        <v>0</v>
      </c>
      <c r="AI50" s="527"/>
      <c r="AJ50" s="528"/>
    </row>
    <row r="51" spans="2:36" x14ac:dyDescent="0.15">
      <c r="B51" s="95" t="s">
        <v>1005</v>
      </c>
      <c r="C51" s="38" t="s">
        <v>869</v>
      </c>
      <c r="D51" s="38" t="s">
        <v>870</v>
      </c>
      <c r="E51" s="38" t="s">
        <v>871</v>
      </c>
      <c r="F51" s="38" t="s">
        <v>872</v>
      </c>
      <c r="G51" s="38" t="s">
        <v>873</v>
      </c>
      <c r="H51" s="38" t="s">
        <v>874</v>
      </c>
      <c r="I51" s="38" t="s">
        <v>875</v>
      </c>
      <c r="J51" s="38" t="s">
        <v>876</v>
      </c>
      <c r="K51" s="38" t="s">
        <v>877</v>
      </c>
      <c r="L51" s="38" t="s">
        <v>878</v>
      </c>
      <c r="M51" s="38" t="s">
        <v>879</v>
      </c>
      <c r="N51" s="38" t="s">
        <v>880</v>
      </c>
      <c r="O51" s="38" t="s">
        <v>881</v>
      </c>
      <c r="P51" s="38" t="s">
        <v>882</v>
      </c>
      <c r="Q51" s="38" t="s">
        <v>883</v>
      </c>
      <c r="R51" s="38" t="s">
        <v>884</v>
      </c>
      <c r="S51" s="64"/>
      <c r="T51" s="95" t="s">
        <v>1005</v>
      </c>
      <c r="U51" s="38" t="s">
        <v>869</v>
      </c>
      <c r="V51" s="38" t="s">
        <v>870</v>
      </c>
      <c r="W51" s="38" t="s">
        <v>871</v>
      </c>
      <c r="X51" s="38" t="s">
        <v>872</v>
      </c>
      <c r="Y51" s="38" t="s">
        <v>873</v>
      </c>
      <c r="Z51" s="38" t="s">
        <v>874</v>
      </c>
      <c r="AA51" s="38" t="s">
        <v>875</v>
      </c>
      <c r="AB51" s="38" t="s">
        <v>876</v>
      </c>
      <c r="AC51" s="38" t="s">
        <v>877</v>
      </c>
      <c r="AD51" s="38" t="s">
        <v>878</v>
      </c>
      <c r="AE51" s="38" t="s">
        <v>879</v>
      </c>
      <c r="AF51" s="38" t="s">
        <v>880</v>
      </c>
      <c r="AG51" s="38" t="s">
        <v>881</v>
      </c>
      <c r="AH51" s="38" t="s">
        <v>882</v>
      </c>
      <c r="AI51" s="38" t="s">
        <v>883</v>
      </c>
      <c r="AJ51" s="38" t="s">
        <v>884</v>
      </c>
    </row>
    <row r="52" spans="2:36" x14ac:dyDescent="0.15">
      <c r="B52" s="96" t="s">
        <v>1002</v>
      </c>
      <c r="C52" s="94">
        <f>SUM(SUMIFS('caseload data'!E:E,'caseload data'!$D:$D,"PO",'caseload data'!$C:$C,'community caseload'!$B$50,'caseload data'!$B:$B,{"licence","community"}))</f>
        <v>0</v>
      </c>
      <c r="D52" s="94">
        <f>SUM(SUMIFS('caseload data'!F:F,'caseload data'!$D:$D,"PO",'caseload data'!$C:$C,'community caseload'!$B$50,'caseload data'!$B:$B,{"licence","community"}))</f>
        <v>0</v>
      </c>
      <c r="E52" s="94">
        <f>SUM(SUMIFS('caseload data'!G:G,'caseload data'!$D:$D,"PO",'caseload data'!$C:$C,'community caseload'!$B$50,'caseload data'!$B:$B,{"licence","community"}))</f>
        <v>0</v>
      </c>
      <c r="F52" s="94">
        <f>SUM(SUMIFS('caseload data'!H:H,'caseload data'!$D:$D,"PO",'caseload data'!$C:$C,'community caseload'!$B$50,'caseload data'!$B:$B,{"licence","community"}))</f>
        <v>0</v>
      </c>
      <c r="G52" s="94">
        <f>SUM(SUMIFS('caseload data'!I:I,'caseload data'!$D:$D,"PO",'caseload data'!$C:$C,'community caseload'!$B$50,'caseload data'!$B:$B,{"licence","community"}))</f>
        <v>0</v>
      </c>
      <c r="H52" s="94">
        <f>SUM(SUMIFS('caseload data'!J:J,'caseload data'!$D:$D,"PO",'caseload data'!$C:$C,'community caseload'!$B$50,'caseload data'!$B:$B,{"licence","community"}))</f>
        <v>0</v>
      </c>
      <c r="I52" s="94">
        <f>SUM(SUMIFS('caseload data'!K:K,'caseload data'!$D:$D,"PO",'caseload data'!$C:$C,'community caseload'!$B$50,'caseload data'!$B:$B,{"licence","community"}))</f>
        <v>0</v>
      </c>
      <c r="J52" s="94">
        <f>SUM(SUMIFS('caseload data'!L:L,'caseload data'!$D:$D,"PO",'caseload data'!$C:$C,'community caseload'!$B$50,'caseload data'!$B:$B,{"licence","community"}))</f>
        <v>0</v>
      </c>
      <c r="K52" s="94">
        <f>SUM(SUMIFS('caseload data'!M:M,'caseload data'!$D:$D,"PO",'caseload data'!$C:$C,'community caseload'!$B$50,'caseload data'!$B:$B,{"licence","community"}))</f>
        <v>0</v>
      </c>
      <c r="L52" s="94">
        <f>SUM(SUMIFS('caseload data'!N:N,'caseload data'!$D:$D,"PO",'caseload data'!$C:$C,'community caseload'!$B$50,'caseload data'!$B:$B,{"licence","community"}))</f>
        <v>0</v>
      </c>
      <c r="M52" s="94">
        <f>SUM(SUMIFS('caseload data'!O:O,'caseload data'!$D:$D,"PO",'caseload data'!$C:$C,'community caseload'!$B$50,'caseload data'!$B:$B,{"licence","community"}))</f>
        <v>0</v>
      </c>
      <c r="N52" s="94">
        <f>SUM(SUMIFS('caseload data'!P:P,'caseload data'!$D:$D,"PO",'caseload data'!$C:$C,'community caseload'!$B$50,'caseload data'!$B:$B,{"licence","community"}))</f>
        <v>0</v>
      </c>
      <c r="O52" s="94">
        <f>SUM(SUMIFS('caseload data'!Q:Q,'caseload data'!$D:$D,"PO",'caseload data'!$C:$C,'community caseload'!$B$50,'caseload data'!$B:$B,{"licence","community"}))</f>
        <v>0</v>
      </c>
      <c r="P52" s="94">
        <f>SUM(SUMIFS('caseload data'!R:R,'caseload data'!$D:$D,"PO",'caseload data'!$C:$C,'community caseload'!$B$50,'caseload data'!$B:$B,{"licence","community"}))</f>
        <v>0</v>
      </c>
      <c r="Q52" s="94">
        <f>SUM(SUMIFS('caseload data'!S:S,'caseload data'!$D:$D,"PO",'caseload data'!$C:$C,'community caseload'!$B$50,'caseload data'!$B:$B,{"licence","community"}))</f>
        <v>0</v>
      </c>
      <c r="R52" s="94">
        <f>SUM(SUMIFS('caseload data'!T:T,'caseload data'!$D:$D,"PO",'caseload data'!$C:$C,'community caseload'!$B$50,'caseload data'!$B:$B,{"licence","community"}))</f>
        <v>0</v>
      </c>
      <c r="S52" s="64"/>
      <c r="T52" s="96" t="s">
        <v>1002</v>
      </c>
      <c r="U52" s="94">
        <f>SUM(SUMIFS('caseload data'!E:E,'caseload data'!$D:$D,"PO",'caseload data'!$C:$C,'community caseload'!$T$50,'caseload data'!$B:$B,{"licence","community"}))</f>
        <v>0</v>
      </c>
      <c r="V52" s="94">
        <f>SUM(SUMIFS('caseload data'!F:F,'caseload data'!$D:$D,"PO",'caseload data'!$C:$C,'community caseload'!$T$50,'caseload data'!$B:$B,{"licence","community"}))</f>
        <v>0</v>
      </c>
      <c r="W52" s="94">
        <f>SUM(SUMIFS('caseload data'!G:G,'caseload data'!$D:$D,"PO",'caseload data'!$C:$C,'community caseload'!$T$50,'caseload data'!$B:$B,{"licence","community"}))</f>
        <v>0</v>
      </c>
      <c r="X52" s="94">
        <f>SUM(SUMIFS('caseload data'!H:H,'caseload data'!$D:$D,"PO",'caseload data'!$C:$C,'community caseload'!$T$50,'caseload data'!$B:$B,{"licence","community"}))</f>
        <v>0</v>
      </c>
      <c r="Y52" s="94">
        <f>SUM(SUMIFS('caseload data'!I:I,'caseload data'!$D:$D,"PO",'caseload data'!$C:$C,'community caseload'!$T$50,'caseload data'!$B:$B,{"licence","community"}))</f>
        <v>0</v>
      </c>
      <c r="Z52" s="94">
        <f>SUM(SUMIFS('caseload data'!J:J,'caseload data'!$D:$D,"PO",'caseload data'!$C:$C,'community caseload'!$T$50,'caseload data'!$B:$B,{"licence","community"}))</f>
        <v>0</v>
      </c>
      <c r="AA52" s="94">
        <f>SUM(SUMIFS('caseload data'!K:K,'caseload data'!$D:$D,"PO",'caseload data'!$C:$C,'community caseload'!$T$50,'caseload data'!$B:$B,{"licence","community"}))</f>
        <v>0</v>
      </c>
      <c r="AB52" s="94">
        <f>SUM(SUMIFS('caseload data'!L:L,'caseload data'!$D:$D,"PO",'caseload data'!$C:$C,'community caseload'!$T$50,'caseload data'!$B:$B,{"licence","community"}))</f>
        <v>0</v>
      </c>
      <c r="AC52" s="94">
        <f>SUM(SUMIFS('caseload data'!M:M,'caseload data'!$D:$D,"PO",'caseload data'!$C:$C,'community caseload'!$T$50,'caseload data'!$B:$B,{"licence","community"}))</f>
        <v>0</v>
      </c>
      <c r="AD52" s="94">
        <f>SUM(SUMIFS('caseload data'!N:N,'caseload data'!$D:$D,"PO",'caseload data'!$C:$C,'community caseload'!$T$50,'caseload data'!$B:$B,{"licence","community"}))</f>
        <v>0</v>
      </c>
      <c r="AE52" s="94">
        <f>SUM(SUMIFS('caseload data'!O:O,'caseload data'!$D:$D,"PO",'caseload data'!$C:$C,'community caseload'!$T$50,'caseload data'!$B:$B,{"licence","community"}))</f>
        <v>0</v>
      </c>
      <c r="AF52" s="94">
        <f>SUM(SUMIFS('caseload data'!P:P,'caseload data'!$D:$D,"PO",'caseload data'!$C:$C,'community caseload'!$T$50,'caseload data'!$B:$B,{"licence","community"}))</f>
        <v>0</v>
      </c>
      <c r="AG52" s="94">
        <f>SUM(SUMIFS('caseload data'!Q:Q,'caseload data'!$D:$D,"PO",'caseload data'!$C:$C,'community caseload'!$T$50,'caseload data'!$B:$B,{"licence","community"}))</f>
        <v>0</v>
      </c>
      <c r="AH52" s="94">
        <f>SUM(SUMIFS('caseload data'!R:R,'caseload data'!$D:$D,"PO",'caseload data'!$C:$C,'community caseload'!$T$50,'caseload data'!$B:$B,{"licence","community"}))</f>
        <v>0</v>
      </c>
      <c r="AI52" s="94">
        <f>SUM(SUMIFS('caseload data'!S:S,'caseload data'!$D:$D,"PO",'caseload data'!$C:$C,'community caseload'!$T$50,'caseload data'!$B:$B,{"licence","community"}))</f>
        <v>0</v>
      </c>
      <c r="AJ52" s="94">
        <f>SUM(SUMIFS('caseload data'!T:T,'caseload data'!$D:$D,"PO",'caseload data'!$C:$C,'community caseload'!$T$50,'caseload data'!$B:$B,{"licence","community"}))</f>
        <v>0</v>
      </c>
    </row>
    <row r="53" spans="2:36" x14ac:dyDescent="0.15">
      <c r="B53" s="97" t="s">
        <v>1007</v>
      </c>
      <c r="C53" s="94">
        <f>SUM(SUMIFS('caseload data'!E:E,'caseload data'!$D:$D,"PSO",'caseload data'!$C:$C,'community caseload'!$B$50,'caseload data'!$B:$B,{"licence","community"}))</f>
        <v>0</v>
      </c>
      <c r="D53" s="94">
        <f>SUM(SUMIFS('caseload data'!F:F,'caseload data'!$D:$D,"PSO",'caseload data'!$C:$C,'community caseload'!$B$50,'caseload data'!$B:$B,{"licence","community"}))</f>
        <v>0</v>
      </c>
      <c r="E53" s="94">
        <f>SUM(SUMIFS('caseload data'!G:G,'caseload data'!$D:$D,"PSO",'caseload data'!$C:$C,'community caseload'!$B$50,'caseload data'!$B:$B,{"licence","community"}))</f>
        <v>0</v>
      </c>
      <c r="F53" s="94">
        <f>SUM(SUMIFS('caseload data'!H:H,'caseload data'!$D:$D,"PSO",'caseload data'!$C:$C,'community caseload'!$B$50,'caseload data'!$B:$B,{"licence","community"}))</f>
        <v>0</v>
      </c>
      <c r="G53" s="94">
        <f>SUM(SUMIFS('caseload data'!I:I,'caseload data'!$D:$D,"PSO",'caseload data'!$C:$C,'community caseload'!$B$50,'caseload data'!$B:$B,{"licence","community"}))</f>
        <v>0</v>
      </c>
      <c r="H53" s="94">
        <f>SUM(SUMIFS('caseload data'!J:J,'caseload data'!$D:$D,"PSO",'caseload data'!$C:$C,'community caseload'!$B$50,'caseload data'!$B:$B,{"licence","community"}))</f>
        <v>0</v>
      </c>
      <c r="I53" s="94">
        <f>SUM(SUMIFS('caseload data'!K:K,'caseload data'!$D:$D,"PSO",'caseload data'!$C:$C,'community caseload'!$B$50,'caseload data'!$B:$B,{"licence","community"}))</f>
        <v>0</v>
      </c>
      <c r="J53" s="94">
        <f>SUM(SUMIFS('caseload data'!L:L,'caseload data'!$D:$D,"PSO",'caseload data'!$C:$C,'community caseload'!$B$50,'caseload data'!$B:$B,{"licence","community"}))</f>
        <v>0</v>
      </c>
      <c r="K53" s="94">
        <f>SUM(SUMIFS('caseload data'!M:M,'caseload data'!$D:$D,"PSO",'caseload data'!$C:$C,'community caseload'!$B$50,'caseload data'!$B:$B,{"licence","community"}))</f>
        <v>0</v>
      </c>
      <c r="L53" s="94">
        <f>SUM(SUMIFS('caseload data'!N:N,'caseload data'!$D:$D,"PSO",'caseload data'!$C:$C,'community caseload'!$B$50,'caseload data'!$B:$B,{"licence","community"}))</f>
        <v>0</v>
      </c>
      <c r="M53" s="94">
        <f>SUM(SUMIFS('caseload data'!O:O,'caseload data'!$D:$D,"PSO",'caseload data'!$C:$C,'community caseload'!$B$50,'caseload data'!$B:$B,{"licence","community"}))</f>
        <v>0</v>
      </c>
      <c r="N53" s="94">
        <f>SUM(SUMIFS('caseload data'!P:P,'caseload data'!$D:$D,"PSO",'caseload data'!$C:$C,'community caseload'!$B$50,'caseload data'!$B:$B,{"licence","community"}))</f>
        <v>0</v>
      </c>
      <c r="O53" s="94">
        <f>SUM(SUMIFS('caseload data'!Q:Q,'caseload data'!$D:$D,"PSO",'caseload data'!$C:$C,'community caseload'!$B$50,'caseload data'!$B:$B,{"licence","community"}))</f>
        <v>0</v>
      </c>
      <c r="P53" s="94">
        <f>SUM(SUMIFS('caseload data'!R:R,'caseload data'!$D:$D,"PSO",'caseload data'!$C:$C,'community caseload'!$B$50,'caseload data'!$B:$B,{"licence","community"}))</f>
        <v>0</v>
      </c>
      <c r="Q53" s="94">
        <f>SUM(SUMIFS('caseload data'!S:S,'caseload data'!$D:$D,"PSO",'caseload data'!$C:$C,'community caseload'!$B$50,'caseload data'!$B:$B,{"licence","community"}))</f>
        <v>0</v>
      </c>
      <c r="R53" s="94">
        <f>SUM(SUMIFS('caseload data'!T:T,'caseload data'!$D:$D,"PSO",'caseload data'!$C:$C,'community caseload'!$B$50,'caseload data'!$B:$B,{"licence","community"}))</f>
        <v>0</v>
      </c>
      <c r="S53" s="64"/>
      <c r="T53" s="97" t="s">
        <v>1007</v>
      </c>
      <c r="U53" s="94">
        <f>SUM(SUMIFS('caseload data'!E:E,'caseload data'!$D:$D,"PSO",'caseload data'!$C:$C,'community caseload'!$T$50,'caseload data'!$B:$B,{"licence","community"}))</f>
        <v>0</v>
      </c>
      <c r="V53" s="94">
        <f>SUM(SUMIFS('caseload data'!F:F,'caseload data'!$D:$D,"PSO",'caseload data'!$C:$C,'community caseload'!$T$50,'caseload data'!$B:$B,{"licence","community"}))</f>
        <v>0</v>
      </c>
      <c r="W53" s="94">
        <f>SUM(SUMIFS('caseload data'!G:G,'caseload data'!$D:$D,"PSO",'caseload data'!$C:$C,'community caseload'!$T$50,'caseload data'!$B:$B,{"licence","community"}))</f>
        <v>0</v>
      </c>
      <c r="X53" s="94">
        <f>SUM(SUMIFS('caseload data'!H:H,'caseload data'!$D:$D,"PSO",'caseload data'!$C:$C,'community caseload'!$T$50,'caseload data'!$B:$B,{"licence","community"}))</f>
        <v>0</v>
      </c>
      <c r="Y53" s="94">
        <f>SUM(SUMIFS('caseload data'!I:I,'caseload data'!$D:$D,"PSO",'caseload data'!$C:$C,'community caseload'!$T$50,'caseload data'!$B:$B,{"licence","community"}))</f>
        <v>0</v>
      </c>
      <c r="Z53" s="94">
        <f>SUM(SUMIFS('caseload data'!J:J,'caseload data'!$D:$D,"PSO",'caseload data'!$C:$C,'community caseload'!$T$50,'caseload data'!$B:$B,{"licence","community"}))</f>
        <v>0</v>
      </c>
      <c r="AA53" s="94">
        <f>SUM(SUMIFS('caseload data'!K:K,'caseload data'!$D:$D,"PSO",'caseload data'!$C:$C,'community caseload'!$T$50,'caseload data'!$B:$B,{"licence","community"}))</f>
        <v>0</v>
      </c>
      <c r="AB53" s="94">
        <f>SUM(SUMIFS('caseload data'!L:L,'caseload data'!$D:$D,"PSO",'caseload data'!$C:$C,'community caseload'!$T$50,'caseload data'!$B:$B,{"licence","community"}))</f>
        <v>0</v>
      </c>
      <c r="AC53" s="94">
        <f>SUM(SUMIFS('caseload data'!M:M,'caseload data'!$D:$D,"PSO",'caseload data'!$C:$C,'community caseload'!$T$50,'caseload data'!$B:$B,{"licence","community"}))</f>
        <v>0</v>
      </c>
      <c r="AD53" s="94">
        <f>SUM(SUMIFS('caseload data'!N:N,'caseload data'!$D:$D,"PSO",'caseload data'!$C:$C,'community caseload'!$T$50,'caseload data'!$B:$B,{"licence","community"}))</f>
        <v>0</v>
      </c>
      <c r="AE53" s="94">
        <f>SUM(SUMIFS('caseload data'!O:O,'caseload data'!$D:$D,"PSO",'caseload data'!$C:$C,'community caseload'!$T$50,'caseload data'!$B:$B,{"licence","community"}))</f>
        <v>0</v>
      </c>
      <c r="AF53" s="94">
        <f>SUM(SUMIFS('caseload data'!P:P,'caseload data'!$D:$D,"PSO",'caseload data'!$C:$C,'community caseload'!$T$50,'caseload data'!$B:$B,{"licence","community"}))</f>
        <v>0</v>
      </c>
      <c r="AG53" s="94">
        <f>SUM(SUMIFS('caseload data'!Q:Q,'caseload data'!$D:$D,"PSO",'caseload data'!$C:$C,'community caseload'!$T$50,'caseload data'!$B:$B,{"licence","community"}))</f>
        <v>0</v>
      </c>
      <c r="AH53" s="94">
        <f>SUM(SUMIFS('caseload data'!R:R,'caseload data'!$D:$D,"PSO",'caseload data'!$C:$C,'community caseload'!$T$50,'caseload data'!$B:$B,{"licence","community"}))</f>
        <v>0</v>
      </c>
      <c r="AI53" s="94">
        <f>SUM(SUMIFS('caseload data'!S:S,'caseload data'!$D:$D,"PSO",'caseload data'!$C:$C,'community caseload'!$T$50,'caseload data'!$B:$B,{"licence","community"}))</f>
        <v>0</v>
      </c>
      <c r="AJ53" s="94">
        <f>SUM(SUMIFS('caseload data'!T:T,'caseload data'!$D:$D,"PSO",'caseload data'!$C:$C,'community caseload'!$T$50,'caseload data'!$B:$B,{"licence","community"}))</f>
        <v>0</v>
      </c>
    </row>
    <row r="54" spans="2:36" x14ac:dyDescent="0.15">
      <c r="B54" s="97" t="s">
        <v>1008</v>
      </c>
      <c r="C54" s="94">
        <f>SUM(SUMIFS('caseload data'!E:E,'caseload data'!$D:$D,"TPO",'caseload data'!$C:$C,'community caseload'!$B$50,'caseload data'!$B:$B,{"licence","community"}))</f>
        <v>0</v>
      </c>
      <c r="D54" s="94">
        <f>SUM(SUMIFS('caseload data'!F:F,'caseload data'!$D:$D,"TPO",'caseload data'!$C:$C,'community caseload'!$B$50,'caseload data'!$B:$B,{"licence","community"}))</f>
        <v>0</v>
      </c>
      <c r="E54" s="94">
        <f>SUM(SUMIFS('caseload data'!G:G,'caseload data'!$D:$D,"TPO",'caseload data'!$C:$C,'community caseload'!$B$50,'caseload data'!$B:$B,{"licence","community"}))</f>
        <v>0</v>
      </c>
      <c r="F54" s="94">
        <f>SUM(SUMIFS('caseload data'!H:H,'caseload data'!$D:$D,"TPO",'caseload data'!$C:$C,'community caseload'!$B$50,'caseload data'!$B:$B,{"licence","community"}))</f>
        <v>0</v>
      </c>
      <c r="G54" s="94">
        <f>SUM(SUMIFS('caseload data'!I:I,'caseload data'!$D:$D,"TPO",'caseload data'!$C:$C,'community caseload'!$B$50,'caseload data'!$B:$B,{"licence","community"}))</f>
        <v>0</v>
      </c>
      <c r="H54" s="94">
        <f>SUM(SUMIFS('caseload data'!J:J,'caseload data'!$D:$D,"TPO",'caseload data'!$C:$C,'community caseload'!$B$50,'caseload data'!$B:$B,{"licence","community"}))</f>
        <v>0</v>
      </c>
      <c r="I54" s="94">
        <f>SUM(SUMIFS('caseload data'!K:K,'caseload data'!$D:$D,"TPO",'caseload data'!$C:$C,'community caseload'!$B$50,'caseload data'!$B:$B,{"licence","community"}))</f>
        <v>0</v>
      </c>
      <c r="J54" s="94">
        <f>SUM(SUMIFS('caseload data'!L:L,'caseload data'!$D:$D,"TPO",'caseload data'!$C:$C,'community caseload'!$B$50,'caseload data'!$B:$B,{"licence","community"}))</f>
        <v>0</v>
      </c>
      <c r="K54" s="94">
        <f>SUM(SUMIFS('caseload data'!M:M,'caseload data'!$D:$D,"TPO",'caseload data'!$C:$C,'community caseload'!$B$50,'caseload data'!$B:$B,{"licence","community"}))</f>
        <v>0</v>
      </c>
      <c r="L54" s="94">
        <f>SUM(SUMIFS('caseload data'!N:N,'caseload data'!$D:$D,"TPO",'caseload data'!$C:$C,'community caseload'!$B$50,'caseload data'!$B:$B,{"licence","community"}))</f>
        <v>0</v>
      </c>
      <c r="M54" s="94">
        <f>SUM(SUMIFS('caseload data'!O:O,'caseload data'!$D:$D,"TPO",'caseload data'!$C:$C,'community caseload'!$B$50,'caseload data'!$B:$B,{"licence","community"}))</f>
        <v>0</v>
      </c>
      <c r="N54" s="94">
        <f>SUM(SUMIFS('caseload data'!P:P,'caseload data'!$D:$D,"TPO",'caseload data'!$C:$C,'community caseload'!$B$50,'caseload data'!$B:$B,{"licence","community"}))</f>
        <v>0</v>
      </c>
      <c r="O54" s="94">
        <f>SUM(SUMIFS('caseload data'!Q:Q,'caseload data'!$D:$D,"TPO",'caseload data'!$C:$C,'community caseload'!$B$50,'caseload data'!$B:$B,{"licence","community"}))</f>
        <v>0</v>
      </c>
      <c r="P54" s="94">
        <f>SUM(SUMIFS('caseload data'!R:R,'caseload data'!$D:$D,"TPO",'caseload data'!$C:$C,'community caseload'!$B$50,'caseload data'!$B:$B,{"licence","community"}))</f>
        <v>0</v>
      </c>
      <c r="Q54" s="94">
        <f>SUM(SUMIFS('caseload data'!S:S,'caseload data'!$D:$D,"TPO",'caseload data'!$C:$C,'community caseload'!$B$50,'caseload data'!$B:$B,{"licence","community"}))</f>
        <v>0</v>
      </c>
      <c r="R54" s="94">
        <f>SUM(SUMIFS('caseload data'!T:T,'caseload data'!$D:$D,"TPO",'caseload data'!$C:$C,'community caseload'!$B$50,'caseload data'!$B:$B,{"licence","community"}))</f>
        <v>0</v>
      </c>
      <c r="S54" s="64"/>
      <c r="T54" s="97" t="s">
        <v>1008</v>
      </c>
      <c r="U54" s="94">
        <f>SUM(SUMIFS('caseload data'!E:E,'caseload data'!$D:$D,"TPO",'caseload data'!$C:$C,'community caseload'!$T$50,'caseload data'!$B:$B,{"licence","community"}))</f>
        <v>0</v>
      </c>
      <c r="V54" s="94">
        <f>SUM(SUMIFS('caseload data'!F:F,'caseload data'!$D:$D,"TPO",'caseload data'!$C:$C,'community caseload'!$T$50,'caseload data'!$B:$B,{"licence","community"}))</f>
        <v>0</v>
      </c>
      <c r="W54" s="94">
        <f>SUM(SUMIFS('caseload data'!G:G,'caseload data'!$D:$D,"TPO",'caseload data'!$C:$C,'community caseload'!$T$50,'caseload data'!$B:$B,{"licence","community"}))</f>
        <v>0</v>
      </c>
      <c r="X54" s="94">
        <f>SUM(SUMIFS('caseload data'!H:H,'caseload data'!$D:$D,"TPO",'caseload data'!$C:$C,'community caseload'!$T$50,'caseload data'!$B:$B,{"licence","community"}))</f>
        <v>0</v>
      </c>
      <c r="Y54" s="94">
        <f>SUM(SUMIFS('caseload data'!I:I,'caseload data'!$D:$D,"TPO",'caseload data'!$C:$C,'community caseload'!$T$50,'caseload data'!$B:$B,{"licence","community"}))</f>
        <v>0</v>
      </c>
      <c r="Z54" s="94">
        <f>SUM(SUMIFS('caseload data'!J:J,'caseload data'!$D:$D,"TPO",'caseload data'!$C:$C,'community caseload'!$T$50,'caseload data'!$B:$B,{"licence","community"}))</f>
        <v>0</v>
      </c>
      <c r="AA54" s="94">
        <f>SUM(SUMIFS('caseload data'!K:K,'caseload data'!$D:$D,"TPO",'caseload data'!$C:$C,'community caseload'!$T$50,'caseload data'!$B:$B,{"licence","community"}))</f>
        <v>0</v>
      </c>
      <c r="AB54" s="94">
        <f>SUM(SUMIFS('caseload data'!L:L,'caseload data'!$D:$D,"TPO",'caseload data'!$C:$C,'community caseload'!$T$50,'caseload data'!$B:$B,{"licence","community"}))</f>
        <v>0</v>
      </c>
      <c r="AC54" s="94">
        <f>SUM(SUMIFS('caseload data'!M:M,'caseload data'!$D:$D,"TPO",'caseload data'!$C:$C,'community caseload'!$T$50,'caseload data'!$B:$B,{"licence","community"}))</f>
        <v>0</v>
      </c>
      <c r="AD54" s="94">
        <f>SUM(SUMIFS('caseload data'!N:N,'caseload data'!$D:$D,"TPO",'caseload data'!$C:$C,'community caseload'!$T$50,'caseload data'!$B:$B,{"licence","community"}))</f>
        <v>0</v>
      </c>
      <c r="AE54" s="94">
        <f>SUM(SUMIFS('caseload data'!O:O,'caseload data'!$D:$D,"TPO",'caseload data'!$C:$C,'community caseload'!$T$50,'caseload data'!$B:$B,{"licence","community"}))</f>
        <v>0</v>
      </c>
      <c r="AF54" s="94">
        <f>SUM(SUMIFS('caseload data'!P:P,'caseload data'!$D:$D,"TPO",'caseload data'!$C:$C,'community caseload'!$T$50,'caseload data'!$B:$B,{"licence","community"}))</f>
        <v>0</v>
      </c>
      <c r="AG54" s="94">
        <f>SUM(SUMIFS('caseload data'!Q:Q,'caseload data'!$D:$D,"TPO",'caseload data'!$C:$C,'community caseload'!$T$50,'caseload data'!$B:$B,{"licence","community"}))</f>
        <v>0</v>
      </c>
      <c r="AH54" s="94">
        <f>SUM(SUMIFS('caseload data'!R:R,'caseload data'!$D:$D,"TPO",'caseload data'!$C:$C,'community caseload'!$T$50,'caseload data'!$B:$B,{"licence","community"}))</f>
        <v>0</v>
      </c>
      <c r="AI54" s="94">
        <f>SUM(SUMIFS('caseload data'!S:S,'caseload data'!$D:$D,"TPO",'caseload data'!$C:$C,'community caseload'!$T$50,'caseload data'!$B:$B,{"licence","community"}))</f>
        <v>0</v>
      </c>
      <c r="AJ54" s="94">
        <f>SUM(SUMIFS('caseload data'!T:T,'caseload data'!$D:$D,"TPO",'caseload data'!$C:$C,'community caseload'!$T$50,'caseload data'!$B:$B,{"licence","community"}))</f>
        <v>0</v>
      </c>
    </row>
    <row r="55" spans="2:36" x14ac:dyDescent="0.15">
      <c r="B55" s="98" t="s">
        <v>1009</v>
      </c>
      <c r="C55" s="94">
        <f>SUM(SUMIFS('caseload data'!E:E,'caseload data'!$D:$D,"SPO",'caseload data'!$C:$C,'community caseload'!$B$50,'caseload data'!$B:$B,{"licence","community"}))</f>
        <v>0</v>
      </c>
      <c r="D55" s="94">
        <f>SUM(SUMIFS('caseload data'!F:F,'caseload data'!$D:$D,"SPO",'caseload data'!$C:$C,'community caseload'!$B$50,'caseload data'!$B:$B,{"licence","community"}))</f>
        <v>0</v>
      </c>
      <c r="E55" s="94">
        <f>SUM(SUMIFS('caseload data'!G:G,'caseload data'!$D:$D,"SPO",'caseload data'!$C:$C,'community caseload'!$B$50,'caseload data'!$B:$B,{"licence","community"}))</f>
        <v>0</v>
      </c>
      <c r="F55" s="94">
        <f>SUM(SUMIFS('caseload data'!H:H,'caseload data'!$D:$D,"SPO",'caseload data'!$C:$C,'community caseload'!$B$50,'caseload data'!$B:$B,{"licence","community"}))</f>
        <v>0</v>
      </c>
      <c r="G55" s="94">
        <f>SUM(SUMIFS('caseload data'!I:I,'caseload data'!$D:$D,"SPO",'caseload data'!$C:$C,'community caseload'!$B$50,'caseload data'!$B:$B,{"licence","community"}))</f>
        <v>0</v>
      </c>
      <c r="H55" s="94">
        <f>SUM(SUMIFS('caseload data'!J:J,'caseload data'!$D:$D,"SPO",'caseload data'!$C:$C,'community caseload'!$B$50,'caseload data'!$B:$B,{"licence","community"}))</f>
        <v>0</v>
      </c>
      <c r="I55" s="94">
        <f>SUM(SUMIFS('caseload data'!K:K,'caseload data'!$D:$D,"SPO",'caseload data'!$C:$C,'community caseload'!$B$50,'caseload data'!$B:$B,{"licence","community"}))</f>
        <v>0</v>
      </c>
      <c r="J55" s="94">
        <f>SUM(SUMIFS('caseload data'!L:L,'caseload data'!$D:$D,"SPO",'caseload data'!$C:$C,'community caseload'!$B$50,'caseload data'!$B:$B,{"licence","community"}))</f>
        <v>0</v>
      </c>
      <c r="K55" s="94">
        <f>SUM(SUMIFS('caseload data'!M:M,'caseload data'!$D:$D,"SPO",'caseload data'!$C:$C,'community caseload'!$B$50,'caseload data'!$B:$B,{"licence","community"}))</f>
        <v>0</v>
      </c>
      <c r="L55" s="94">
        <f>SUM(SUMIFS('caseload data'!N:N,'caseload data'!$D:$D,"SPO",'caseload data'!$C:$C,'community caseload'!$B$50,'caseload data'!$B:$B,{"licence","community"}))</f>
        <v>0</v>
      </c>
      <c r="M55" s="94">
        <f>SUM(SUMIFS('caseload data'!O:O,'caseload data'!$D:$D,"SPO",'caseload data'!$C:$C,'community caseload'!$B$50,'caseload data'!$B:$B,{"licence","community"}))</f>
        <v>0</v>
      </c>
      <c r="N55" s="94">
        <f>SUM(SUMIFS('caseload data'!P:P,'caseload data'!$D:$D,"SPO",'caseload data'!$C:$C,'community caseload'!$B$50,'caseload data'!$B:$B,{"licence","community"}))</f>
        <v>0</v>
      </c>
      <c r="O55" s="94">
        <f>SUM(SUMIFS('caseload data'!Q:Q,'caseload data'!$D:$D,"SPO",'caseload data'!$C:$C,'community caseload'!$B$50,'caseload data'!$B:$B,{"licence","community"}))</f>
        <v>0</v>
      </c>
      <c r="P55" s="94">
        <f>SUM(SUMIFS('caseload data'!R:R,'caseload data'!$D:$D,"SPO",'caseload data'!$C:$C,'community caseload'!$B$50,'caseload data'!$B:$B,{"licence","community"}))</f>
        <v>0</v>
      </c>
      <c r="Q55" s="94">
        <f>SUM(SUMIFS('caseload data'!S:S,'caseload data'!$D:$D,"SPO",'caseload data'!$C:$C,'community caseload'!$B$50,'caseload data'!$B:$B,{"licence","community"}))</f>
        <v>0</v>
      </c>
      <c r="R55" s="94">
        <f>SUM(SUMIFS('caseload data'!T:T,'caseload data'!$D:$D,"SPO",'caseload data'!$C:$C,'community caseload'!$B$50,'caseload data'!$B:$B,{"licence","community"}))</f>
        <v>0</v>
      </c>
      <c r="S55" s="64"/>
      <c r="T55" s="98" t="s">
        <v>1009</v>
      </c>
      <c r="U55" s="94">
        <f>SUM(SUMIFS('caseload data'!E:E,'caseload data'!$D:$D,"SPO",'caseload data'!$C:$C,'community caseload'!$T$50,'caseload data'!$B:$B,{"licence","community"}))</f>
        <v>0</v>
      </c>
      <c r="V55" s="94">
        <f>SUM(SUMIFS('caseload data'!F:F,'caseload data'!$D:$D,"SPO",'caseload data'!$C:$C,'community caseload'!$T$50,'caseload data'!$B:$B,{"licence","community"}))</f>
        <v>0</v>
      </c>
      <c r="W55" s="94">
        <f>SUM(SUMIFS('caseload data'!G:G,'caseload data'!$D:$D,"SPO",'caseload data'!$C:$C,'community caseload'!$T$50,'caseload data'!$B:$B,{"licence","community"}))</f>
        <v>0</v>
      </c>
      <c r="X55" s="94">
        <f>SUM(SUMIFS('caseload data'!H:H,'caseload data'!$D:$D,"SPO",'caseload data'!$C:$C,'community caseload'!$T$50,'caseload data'!$B:$B,{"licence","community"}))</f>
        <v>0</v>
      </c>
      <c r="Y55" s="94">
        <f>SUM(SUMIFS('caseload data'!I:I,'caseload data'!$D:$D,"SPO",'caseload data'!$C:$C,'community caseload'!$T$50,'caseload data'!$B:$B,{"licence","community"}))</f>
        <v>0</v>
      </c>
      <c r="Z55" s="94">
        <f>SUM(SUMIFS('caseload data'!J:J,'caseload data'!$D:$D,"SPO",'caseload data'!$C:$C,'community caseload'!$T$50,'caseload data'!$B:$B,{"licence","community"}))</f>
        <v>0</v>
      </c>
      <c r="AA55" s="94">
        <f>SUM(SUMIFS('caseload data'!K:K,'caseload data'!$D:$D,"SPO",'caseload data'!$C:$C,'community caseload'!$T$50,'caseload data'!$B:$B,{"licence","community"}))</f>
        <v>0</v>
      </c>
      <c r="AB55" s="94">
        <f>SUM(SUMIFS('caseload data'!L:L,'caseload data'!$D:$D,"SPO",'caseload data'!$C:$C,'community caseload'!$T$50,'caseload data'!$B:$B,{"licence","community"}))</f>
        <v>0</v>
      </c>
      <c r="AC55" s="94">
        <f>SUM(SUMIFS('caseload data'!M:M,'caseload data'!$D:$D,"SPO",'caseload data'!$C:$C,'community caseload'!$T$50,'caseload data'!$B:$B,{"licence","community"}))</f>
        <v>0</v>
      </c>
      <c r="AD55" s="94">
        <f>SUM(SUMIFS('caseload data'!N:N,'caseload data'!$D:$D,"SPO",'caseload data'!$C:$C,'community caseload'!$T$50,'caseload data'!$B:$B,{"licence","community"}))</f>
        <v>0</v>
      </c>
      <c r="AE55" s="94">
        <f>SUM(SUMIFS('caseload data'!O:O,'caseload data'!$D:$D,"SPO",'caseload data'!$C:$C,'community caseload'!$T$50,'caseload data'!$B:$B,{"licence","community"}))</f>
        <v>0</v>
      </c>
      <c r="AF55" s="94">
        <f>SUM(SUMIFS('caseload data'!P:P,'caseload data'!$D:$D,"SPO",'caseload data'!$C:$C,'community caseload'!$T$50,'caseload data'!$B:$B,{"licence","community"}))</f>
        <v>0</v>
      </c>
      <c r="AG55" s="94">
        <f>SUM(SUMIFS('caseload data'!Q:Q,'caseload data'!$D:$D,"SPO",'caseload data'!$C:$C,'community caseload'!$T$50,'caseload data'!$B:$B,{"licence","community"}))</f>
        <v>0</v>
      </c>
      <c r="AH55" s="94">
        <f>SUM(SUMIFS('caseload data'!R:R,'caseload data'!$D:$D,"SPO",'caseload data'!$C:$C,'community caseload'!$T$50,'caseload data'!$B:$B,{"licence","community"}))</f>
        <v>0</v>
      </c>
      <c r="AI55" s="94">
        <f>SUM(SUMIFS('caseload data'!S:S,'caseload data'!$D:$D,"SPO",'caseload data'!$C:$C,'community caseload'!$T$50,'caseload data'!$B:$B,{"licence","community"}))</f>
        <v>0</v>
      </c>
      <c r="AJ55" s="94">
        <f>SUM(SUMIFS('caseload data'!T:T,'caseload data'!$D:$D,"SPO",'caseload data'!$C:$C,'community caseload'!$T$50,'caseload data'!$B:$B,{"licence","community"}))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31.5" customHeight="1" x14ac:dyDescent="0.15">
      <c r="B57" s="289">
        <f>HLOOKUP($B$5,Region_Table,16,0)</f>
        <v>0</v>
      </c>
      <c r="C57" s="507" t="s">
        <v>1135</v>
      </c>
      <c r="D57" s="508"/>
      <c r="E57" s="508"/>
      <c r="F57" s="508"/>
      <c r="G57" s="508"/>
      <c r="H57" s="508"/>
      <c r="I57" s="508"/>
      <c r="J57" s="508"/>
      <c r="K57" s="508"/>
      <c r="L57" s="508"/>
      <c r="M57" s="537"/>
      <c r="N57" s="537"/>
      <c r="O57" s="538"/>
      <c r="P57" s="510" cm="1">
        <f t="array" ref="P57">SUM(SUMIFS('caseload data'!V:V,'caseload data'!B:B,{"licence","community"},'caseload data'!$C:$C,'community caseload'!B57))</f>
        <v>0</v>
      </c>
      <c r="Q57" s="527"/>
      <c r="R57" s="528"/>
      <c r="S57" s="291"/>
      <c r="T57" s="289">
        <f>HLOOKUP($B$5,Region_Table,17,0)</f>
        <v>0</v>
      </c>
      <c r="U57" s="507" t="s">
        <v>1135</v>
      </c>
      <c r="V57" s="508"/>
      <c r="W57" s="508"/>
      <c r="X57" s="508"/>
      <c r="Y57" s="508"/>
      <c r="Z57" s="508"/>
      <c r="AA57" s="508"/>
      <c r="AB57" s="508"/>
      <c r="AC57" s="508"/>
      <c r="AD57" s="508"/>
      <c r="AE57" s="537"/>
      <c r="AF57" s="537"/>
      <c r="AG57" s="538"/>
      <c r="AH57" s="510" cm="1">
        <f t="array" ref="AH57">SUM(SUMIFS('caseload data'!V:V,'caseload data'!B:B,{"licence","community"},'caseload data'!$C:$C,'community caseload'!T57))</f>
        <v>0</v>
      </c>
      <c r="AI57" s="527"/>
      <c r="AJ57" s="528"/>
    </row>
    <row r="58" spans="2:36" x14ac:dyDescent="0.15">
      <c r="B58" s="95" t="s">
        <v>1005</v>
      </c>
      <c r="C58" s="38" t="s">
        <v>869</v>
      </c>
      <c r="D58" s="38" t="s">
        <v>870</v>
      </c>
      <c r="E58" s="38" t="s">
        <v>871</v>
      </c>
      <c r="F58" s="38" t="s">
        <v>872</v>
      </c>
      <c r="G58" s="38" t="s">
        <v>873</v>
      </c>
      <c r="H58" s="38" t="s">
        <v>874</v>
      </c>
      <c r="I58" s="38" t="s">
        <v>875</v>
      </c>
      <c r="J58" s="38" t="s">
        <v>876</v>
      </c>
      <c r="K58" s="38" t="s">
        <v>877</v>
      </c>
      <c r="L58" s="38" t="s">
        <v>878</v>
      </c>
      <c r="M58" s="38" t="s">
        <v>879</v>
      </c>
      <c r="N58" s="38" t="s">
        <v>880</v>
      </c>
      <c r="O58" s="38" t="s">
        <v>881</v>
      </c>
      <c r="P58" s="38" t="s">
        <v>882</v>
      </c>
      <c r="Q58" s="38" t="s">
        <v>883</v>
      </c>
      <c r="R58" s="38" t="s">
        <v>884</v>
      </c>
      <c r="S58" s="64"/>
      <c r="T58" s="95" t="s">
        <v>1005</v>
      </c>
      <c r="U58" s="38" t="s">
        <v>869</v>
      </c>
      <c r="V58" s="38" t="s">
        <v>870</v>
      </c>
      <c r="W58" s="38" t="s">
        <v>871</v>
      </c>
      <c r="X58" s="38" t="s">
        <v>872</v>
      </c>
      <c r="Y58" s="38" t="s">
        <v>873</v>
      </c>
      <c r="Z58" s="38" t="s">
        <v>874</v>
      </c>
      <c r="AA58" s="38" t="s">
        <v>875</v>
      </c>
      <c r="AB58" s="38" t="s">
        <v>876</v>
      </c>
      <c r="AC58" s="38" t="s">
        <v>877</v>
      </c>
      <c r="AD58" s="38" t="s">
        <v>878</v>
      </c>
      <c r="AE58" s="38" t="s">
        <v>879</v>
      </c>
      <c r="AF58" s="38" t="s">
        <v>880</v>
      </c>
      <c r="AG58" s="38" t="s">
        <v>881</v>
      </c>
      <c r="AH58" s="38" t="s">
        <v>882</v>
      </c>
      <c r="AI58" s="38" t="s">
        <v>883</v>
      </c>
      <c r="AJ58" s="38" t="s">
        <v>884</v>
      </c>
    </row>
    <row r="59" spans="2:36" x14ac:dyDescent="0.15">
      <c r="B59" s="96" t="s">
        <v>1002</v>
      </c>
      <c r="C59" s="94">
        <f>SUM(SUMIFS('caseload data'!E:E,'caseload data'!$D:$D,"PO",'caseload data'!$C:$C,'community caseload'!$B$57,'caseload data'!$B:$B,{"licence","community"}))</f>
        <v>0</v>
      </c>
      <c r="D59" s="94">
        <f>SUM(SUMIFS('caseload data'!F:F,'caseload data'!$D:$D,"PO",'caseload data'!$C:$C,'community caseload'!$B$57,'caseload data'!$B:$B,{"licence","community"}))</f>
        <v>0</v>
      </c>
      <c r="E59" s="94">
        <f>SUM(SUMIFS('caseload data'!G:G,'caseload data'!$D:$D,"PO",'caseload data'!$C:$C,'community caseload'!$B$57,'caseload data'!$B:$B,{"licence","community"}))</f>
        <v>0</v>
      </c>
      <c r="F59" s="94">
        <f>SUM(SUMIFS('caseload data'!H:H,'caseload data'!$D:$D,"PO",'caseload data'!$C:$C,'community caseload'!$B$57,'caseload data'!$B:$B,{"licence","community"}))</f>
        <v>0</v>
      </c>
      <c r="G59" s="94">
        <f>SUM(SUMIFS('caseload data'!I:I,'caseload data'!$D:$D,"PO",'caseload data'!$C:$C,'community caseload'!$B$57,'caseload data'!$B:$B,{"licence","community"}))</f>
        <v>0</v>
      </c>
      <c r="H59" s="94">
        <f>SUM(SUMIFS('caseload data'!J:J,'caseload data'!$D:$D,"PO",'caseload data'!$C:$C,'community caseload'!$B$57,'caseload data'!$B:$B,{"licence","community"}))</f>
        <v>0</v>
      </c>
      <c r="I59" s="94">
        <f>SUM(SUMIFS('caseload data'!K:K,'caseload data'!$D:$D,"PO",'caseload data'!$C:$C,'community caseload'!$B$57,'caseload data'!$B:$B,{"licence","community"}))</f>
        <v>0</v>
      </c>
      <c r="J59" s="94">
        <f>SUM(SUMIFS('caseload data'!L:L,'caseload data'!$D:$D,"PO",'caseload data'!$C:$C,'community caseload'!$B$57,'caseload data'!$B:$B,{"licence","community"}))</f>
        <v>0</v>
      </c>
      <c r="K59" s="94">
        <f>SUM(SUMIFS('caseload data'!M:M,'caseload data'!$D:$D,"PO",'caseload data'!$C:$C,'community caseload'!$B$57,'caseload data'!$B:$B,{"licence","community"}))</f>
        <v>0</v>
      </c>
      <c r="L59" s="94">
        <f>SUM(SUMIFS('caseload data'!N:N,'caseload data'!$D:$D,"PO",'caseload data'!$C:$C,'community caseload'!$B$57,'caseload data'!$B:$B,{"licence","community"}))</f>
        <v>0</v>
      </c>
      <c r="M59" s="94">
        <f>SUM(SUMIFS('caseload data'!O:O,'caseload data'!$D:$D,"PO",'caseload data'!$C:$C,'community caseload'!$B$57,'caseload data'!$B:$B,{"licence","community"}))</f>
        <v>0</v>
      </c>
      <c r="N59" s="94">
        <f>SUM(SUMIFS('caseload data'!P:P,'caseload data'!$D:$D,"PO",'caseload data'!$C:$C,'community caseload'!$B$57,'caseload data'!$B:$B,{"licence","community"}))</f>
        <v>0</v>
      </c>
      <c r="O59" s="94">
        <f>SUM(SUMIFS('caseload data'!Q:Q,'caseload data'!$D:$D,"PO",'caseload data'!$C:$C,'community caseload'!$B$57,'caseload data'!$B:$B,{"licence","community"}))</f>
        <v>0</v>
      </c>
      <c r="P59" s="94">
        <f>SUM(SUMIFS('caseload data'!R:R,'caseload data'!$D:$D,"PO",'caseload data'!$C:$C,'community caseload'!$B$57,'caseload data'!$B:$B,{"licence","community"}))</f>
        <v>0</v>
      </c>
      <c r="Q59" s="94">
        <f>SUM(SUMIFS('caseload data'!S:S,'caseload data'!$D:$D,"PO",'caseload data'!$C:$C,'community caseload'!$B$57,'caseload data'!$B:$B,{"licence","community"}))</f>
        <v>0</v>
      </c>
      <c r="R59" s="94">
        <f>SUM(SUMIFS('caseload data'!T:T,'caseload data'!$D:$D,"PO",'caseload data'!$C:$C,'community caseload'!$B$57,'caseload data'!$B:$B,{"licence","community"}))</f>
        <v>0</v>
      </c>
      <c r="S59" s="64"/>
      <c r="T59" s="96" t="s">
        <v>1002</v>
      </c>
      <c r="U59" s="94">
        <f>SUM(SUMIFS('caseload data'!E:E,'caseload data'!$D:$D,"PO",'caseload data'!$C:$C,'community caseload'!$T$57,'caseload data'!$B:$B,{"licence","community"}))</f>
        <v>0</v>
      </c>
      <c r="V59" s="94">
        <f>SUM(SUMIFS('caseload data'!F:F,'caseload data'!$D:$D,"PO",'caseload data'!$C:$C,'community caseload'!$T$57,'caseload data'!$B:$B,{"licence","community"}))</f>
        <v>0</v>
      </c>
      <c r="W59" s="94">
        <f>SUM(SUMIFS('caseload data'!G:G,'caseload data'!$D:$D,"PO",'caseload data'!$C:$C,'community caseload'!$T$57,'caseload data'!$B:$B,{"licence","community"}))</f>
        <v>0</v>
      </c>
      <c r="X59" s="94">
        <f>SUM(SUMIFS('caseload data'!H:H,'caseload data'!$D:$D,"PO",'caseload data'!$C:$C,'community caseload'!$T$57,'caseload data'!$B:$B,{"licence","community"}))</f>
        <v>0</v>
      </c>
      <c r="Y59" s="94">
        <f>SUM(SUMIFS('caseload data'!I:I,'caseload data'!$D:$D,"PO",'caseload data'!$C:$C,'community caseload'!$T$57,'caseload data'!$B:$B,{"licence","community"}))</f>
        <v>0</v>
      </c>
      <c r="Z59" s="94">
        <f>SUM(SUMIFS('caseload data'!J:J,'caseload data'!$D:$D,"PO",'caseload data'!$C:$C,'community caseload'!$T$57,'caseload data'!$B:$B,{"licence","community"}))</f>
        <v>0</v>
      </c>
      <c r="AA59" s="94">
        <f>SUM(SUMIFS('caseload data'!K:K,'caseload data'!$D:$D,"PO",'caseload data'!$C:$C,'community caseload'!$T$57,'caseload data'!$B:$B,{"licence","community"}))</f>
        <v>0</v>
      </c>
      <c r="AB59" s="94">
        <f>SUM(SUMIFS('caseload data'!L:L,'caseload data'!$D:$D,"PO",'caseload data'!$C:$C,'community caseload'!$T$57,'caseload data'!$B:$B,{"licence","community"}))</f>
        <v>0</v>
      </c>
      <c r="AC59" s="94">
        <f>SUM(SUMIFS('caseload data'!M:M,'caseload data'!$D:$D,"PO",'caseload data'!$C:$C,'community caseload'!$T$57,'caseload data'!$B:$B,{"licence","community"}))</f>
        <v>0</v>
      </c>
      <c r="AD59" s="94">
        <f>SUM(SUMIFS('caseload data'!N:N,'caseload data'!$D:$D,"PO",'caseload data'!$C:$C,'community caseload'!$T$57,'caseload data'!$B:$B,{"licence","community"}))</f>
        <v>0</v>
      </c>
      <c r="AE59" s="94">
        <f>SUM(SUMIFS('caseload data'!O:O,'caseload data'!$D:$D,"PO",'caseload data'!$C:$C,'community caseload'!$T$57,'caseload data'!$B:$B,{"licence","community"}))</f>
        <v>0</v>
      </c>
      <c r="AF59" s="94">
        <f>SUM(SUMIFS('caseload data'!P:P,'caseload data'!$D:$D,"PO",'caseload data'!$C:$C,'community caseload'!$T$57,'caseload data'!$B:$B,{"licence","community"}))</f>
        <v>0</v>
      </c>
      <c r="AG59" s="94">
        <f>SUM(SUMIFS('caseload data'!Q:Q,'caseload data'!$D:$D,"PO",'caseload data'!$C:$C,'community caseload'!$T$57,'caseload data'!$B:$B,{"licence","community"}))</f>
        <v>0</v>
      </c>
      <c r="AH59" s="94">
        <f>SUM(SUMIFS('caseload data'!R:R,'caseload data'!$D:$D,"PO",'caseload data'!$C:$C,'community caseload'!$T$57,'caseload data'!$B:$B,{"licence","community"}))</f>
        <v>0</v>
      </c>
      <c r="AI59" s="94">
        <f>SUM(SUMIFS('caseload data'!S:S,'caseload data'!$D:$D,"PO",'caseload data'!$C:$C,'community caseload'!$T$57,'caseload data'!$B:$B,{"licence","community"}))</f>
        <v>0</v>
      </c>
      <c r="AJ59" s="94">
        <f>SUM(SUMIFS('caseload data'!T:T,'caseload data'!$D:$D,"PO",'caseload data'!$C:$C,'community caseload'!$T$57,'caseload data'!$B:$B,{"licence","community"}))</f>
        <v>0</v>
      </c>
    </row>
    <row r="60" spans="2:36" x14ac:dyDescent="0.15">
      <c r="B60" s="97" t="s">
        <v>1007</v>
      </c>
      <c r="C60" s="94">
        <f>SUM(SUMIFS('caseload data'!E:E,'caseload data'!$D:$D,"PSO",'caseload data'!$C:$C,'community caseload'!$B$57,'caseload data'!$B:$B,{"licence","community"}))</f>
        <v>0</v>
      </c>
      <c r="D60" s="94">
        <f>SUM(SUMIFS('caseload data'!F:F,'caseload data'!$D:$D,"PSO",'caseload data'!$C:$C,'community caseload'!$B$57,'caseload data'!$B:$B,{"licence","community"}))</f>
        <v>0</v>
      </c>
      <c r="E60" s="94">
        <f>SUM(SUMIFS('caseload data'!G:G,'caseload data'!$D:$D,"PSO",'caseload data'!$C:$C,'community caseload'!$B$57,'caseload data'!$B:$B,{"licence","community"}))</f>
        <v>0</v>
      </c>
      <c r="F60" s="94">
        <f>SUM(SUMIFS('caseload data'!H:H,'caseload data'!$D:$D,"PSO",'caseload data'!$C:$C,'community caseload'!$B$57,'caseload data'!$B:$B,{"licence","community"}))</f>
        <v>0</v>
      </c>
      <c r="G60" s="94">
        <f>SUM(SUMIFS('caseload data'!I:I,'caseload data'!$D:$D,"PSO",'caseload data'!$C:$C,'community caseload'!$B$57,'caseload data'!$B:$B,{"licence","community"}))</f>
        <v>0</v>
      </c>
      <c r="H60" s="94">
        <f>SUM(SUMIFS('caseload data'!J:J,'caseload data'!$D:$D,"PSO",'caseload data'!$C:$C,'community caseload'!$B$57,'caseload data'!$B:$B,{"licence","community"}))</f>
        <v>0</v>
      </c>
      <c r="I60" s="94">
        <f>SUM(SUMIFS('caseload data'!K:K,'caseload data'!$D:$D,"PSO",'caseload data'!$C:$C,'community caseload'!$B$57,'caseload data'!$B:$B,{"licence","community"}))</f>
        <v>0</v>
      </c>
      <c r="J60" s="94">
        <f>SUM(SUMIFS('caseload data'!L:L,'caseload data'!$D:$D,"PSO",'caseload data'!$C:$C,'community caseload'!$B$57,'caseload data'!$B:$B,{"licence","community"}))</f>
        <v>0</v>
      </c>
      <c r="K60" s="94">
        <f>SUM(SUMIFS('caseload data'!M:M,'caseload data'!$D:$D,"PSO",'caseload data'!$C:$C,'community caseload'!$B$57,'caseload data'!$B:$B,{"licence","community"}))</f>
        <v>0</v>
      </c>
      <c r="L60" s="94">
        <f>SUM(SUMIFS('caseload data'!N:N,'caseload data'!$D:$D,"PSO",'caseload data'!$C:$C,'community caseload'!$B$57,'caseload data'!$B:$B,{"licence","community"}))</f>
        <v>0</v>
      </c>
      <c r="M60" s="94">
        <f>SUM(SUMIFS('caseload data'!O:O,'caseload data'!$D:$D,"PSO",'caseload data'!$C:$C,'community caseload'!$B$57,'caseload data'!$B:$B,{"licence","community"}))</f>
        <v>0</v>
      </c>
      <c r="N60" s="94">
        <f>SUM(SUMIFS('caseload data'!P:P,'caseload data'!$D:$D,"PSO",'caseload data'!$C:$C,'community caseload'!$B$57,'caseload data'!$B:$B,{"licence","community"}))</f>
        <v>0</v>
      </c>
      <c r="O60" s="94">
        <f>SUM(SUMIFS('caseload data'!Q:Q,'caseload data'!$D:$D,"PSO",'caseload data'!$C:$C,'community caseload'!$B$57,'caseload data'!$B:$B,{"licence","community"}))</f>
        <v>0</v>
      </c>
      <c r="P60" s="94">
        <f>SUM(SUMIFS('caseload data'!R:R,'caseload data'!$D:$D,"PSO",'caseload data'!$C:$C,'community caseload'!$B$57,'caseload data'!$B:$B,{"licence","community"}))</f>
        <v>0</v>
      </c>
      <c r="Q60" s="94">
        <f>SUM(SUMIFS('caseload data'!S:S,'caseload data'!$D:$D,"PSO",'caseload data'!$C:$C,'community caseload'!$B$57,'caseload data'!$B:$B,{"licence","community"}))</f>
        <v>0</v>
      </c>
      <c r="R60" s="94">
        <f>SUM(SUMIFS('caseload data'!T:T,'caseload data'!$D:$D,"PSO",'caseload data'!$C:$C,'community caseload'!$B$57,'caseload data'!$B:$B,{"licence","community"}))</f>
        <v>0</v>
      </c>
      <c r="S60" s="64"/>
      <c r="T60" s="97" t="s">
        <v>1007</v>
      </c>
      <c r="U60" s="94">
        <f>SUM(SUMIFS('caseload data'!E:E,'caseload data'!$D:$D,"PSO",'caseload data'!$C:$C,'community caseload'!$T$57,'caseload data'!$B:$B,{"licence","community"}))</f>
        <v>0</v>
      </c>
      <c r="V60" s="94">
        <f>SUM(SUMIFS('caseload data'!F:F,'caseload data'!$D:$D,"PSO",'caseload data'!$C:$C,'community caseload'!$T$57,'caseload data'!$B:$B,{"licence","community"}))</f>
        <v>0</v>
      </c>
      <c r="W60" s="94">
        <f>SUM(SUMIFS('caseload data'!G:G,'caseload data'!$D:$D,"PSO",'caseload data'!$C:$C,'community caseload'!$T$57,'caseload data'!$B:$B,{"licence","community"}))</f>
        <v>0</v>
      </c>
      <c r="X60" s="94">
        <f>SUM(SUMIFS('caseload data'!H:H,'caseload data'!$D:$D,"PSO",'caseload data'!$C:$C,'community caseload'!$T$57,'caseload data'!$B:$B,{"licence","community"}))</f>
        <v>0</v>
      </c>
      <c r="Y60" s="94">
        <f>SUM(SUMIFS('caseload data'!I:I,'caseload data'!$D:$D,"PSO",'caseload data'!$C:$C,'community caseload'!$T$57,'caseload data'!$B:$B,{"licence","community"}))</f>
        <v>0</v>
      </c>
      <c r="Z60" s="94">
        <f>SUM(SUMIFS('caseload data'!J:J,'caseload data'!$D:$D,"PSO",'caseload data'!$C:$C,'community caseload'!$T$57,'caseload data'!$B:$B,{"licence","community"}))</f>
        <v>0</v>
      </c>
      <c r="AA60" s="94">
        <f>SUM(SUMIFS('caseload data'!K:K,'caseload data'!$D:$D,"PSO",'caseload data'!$C:$C,'community caseload'!$T$57,'caseload data'!$B:$B,{"licence","community"}))</f>
        <v>0</v>
      </c>
      <c r="AB60" s="94">
        <f>SUM(SUMIFS('caseload data'!L:L,'caseload data'!$D:$D,"PSO",'caseload data'!$C:$C,'community caseload'!$T$57,'caseload data'!$B:$B,{"licence","community"}))</f>
        <v>0</v>
      </c>
      <c r="AC60" s="94">
        <f>SUM(SUMIFS('caseload data'!M:M,'caseload data'!$D:$D,"PSO",'caseload data'!$C:$C,'community caseload'!$T$57,'caseload data'!$B:$B,{"licence","community"}))</f>
        <v>0</v>
      </c>
      <c r="AD60" s="94">
        <f>SUM(SUMIFS('caseload data'!N:N,'caseload data'!$D:$D,"PSO",'caseload data'!$C:$C,'community caseload'!$T$57,'caseload data'!$B:$B,{"licence","community"}))</f>
        <v>0</v>
      </c>
      <c r="AE60" s="94">
        <f>SUM(SUMIFS('caseload data'!O:O,'caseload data'!$D:$D,"PSO",'caseload data'!$C:$C,'community caseload'!$T$57,'caseload data'!$B:$B,{"licence","community"}))</f>
        <v>0</v>
      </c>
      <c r="AF60" s="94">
        <f>SUM(SUMIFS('caseload data'!P:P,'caseload data'!$D:$D,"PSO",'caseload data'!$C:$C,'community caseload'!$T$57,'caseload data'!$B:$B,{"licence","community"}))</f>
        <v>0</v>
      </c>
      <c r="AG60" s="94">
        <f>SUM(SUMIFS('caseload data'!Q:Q,'caseload data'!$D:$D,"PSO",'caseload data'!$C:$C,'community caseload'!$T$57,'caseload data'!$B:$B,{"licence","community"}))</f>
        <v>0</v>
      </c>
      <c r="AH60" s="94">
        <f>SUM(SUMIFS('caseload data'!R:R,'caseload data'!$D:$D,"PSO",'caseload data'!$C:$C,'community caseload'!$T$57,'caseload data'!$B:$B,{"licence","community"}))</f>
        <v>0</v>
      </c>
      <c r="AI60" s="94">
        <f>SUM(SUMIFS('caseload data'!S:S,'caseload data'!$D:$D,"PSO",'caseload data'!$C:$C,'community caseload'!$T$57,'caseload data'!$B:$B,{"licence","community"}))</f>
        <v>0</v>
      </c>
      <c r="AJ60" s="94">
        <f>SUM(SUMIFS('caseload data'!T:T,'caseload data'!$D:$D,"PSO",'caseload data'!$C:$C,'community caseload'!$T$57,'caseload data'!$B:$B,{"licence","community"}))</f>
        <v>0</v>
      </c>
    </row>
    <row r="61" spans="2:36" x14ac:dyDescent="0.15">
      <c r="B61" s="97" t="s">
        <v>1008</v>
      </c>
      <c r="C61" s="94">
        <f>SUM(SUMIFS('caseload data'!E:E,'caseload data'!$D:$D,"TPO",'caseload data'!$C:$C,'community caseload'!$B$57,'caseload data'!$B:$B,{"licence","community"}))</f>
        <v>0</v>
      </c>
      <c r="D61" s="94">
        <f>SUM(SUMIFS('caseload data'!F:F,'caseload data'!$D:$D,"TPO",'caseload data'!$C:$C,'community caseload'!$B$57,'caseload data'!$B:$B,{"licence","community"}))</f>
        <v>0</v>
      </c>
      <c r="E61" s="94">
        <f>SUM(SUMIFS('caseload data'!G:G,'caseload data'!$D:$D,"TPO",'caseload data'!$C:$C,'community caseload'!$B$57,'caseload data'!$B:$B,{"licence","community"}))</f>
        <v>0</v>
      </c>
      <c r="F61" s="94">
        <f>SUM(SUMIFS('caseload data'!H:H,'caseload data'!$D:$D,"TPO",'caseload data'!$C:$C,'community caseload'!$B$57,'caseload data'!$B:$B,{"licence","community"}))</f>
        <v>0</v>
      </c>
      <c r="G61" s="94">
        <f>SUM(SUMIFS('caseload data'!I:I,'caseload data'!$D:$D,"TPO",'caseload data'!$C:$C,'community caseload'!$B$57,'caseload data'!$B:$B,{"licence","community"}))</f>
        <v>0</v>
      </c>
      <c r="H61" s="94">
        <f>SUM(SUMIFS('caseload data'!J:J,'caseload data'!$D:$D,"TPO",'caseload data'!$C:$C,'community caseload'!$B$57,'caseload data'!$B:$B,{"licence","community"}))</f>
        <v>0</v>
      </c>
      <c r="I61" s="94">
        <f>SUM(SUMIFS('caseload data'!K:K,'caseload data'!$D:$D,"TPO",'caseload data'!$C:$C,'community caseload'!$B$57,'caseload data'!$B:$B,{"licence","community"}))</f>
        <v>0</v>
      </c>
      <c r="J61" s="94">
        <f>SUM(SUMIFS('caseload data'!L:L,'caseload data'!$D:$D,"TPO",'caseload data'!$C:$C,'community caseload'!$B$57,'caseload data'!$B:$B,{"licence","community"}))</f>
        <v>0</v>
      </c>
      <c r="K61" s="94">
        <f>SUM(SUMIFS('caseload data'!M:M,'caseload data'!$D:$D,"TPO",'caseload data'!$C:$C,'community caseload'!$B$57,'caseload data'!$B:$B,{"licence","community"}))</f>
        <v>0</v>
      </c>
      <c r="L61" s="94">
        <f>SUM(SUMIFS('caseload data'!N:N,'caseload data'!$D:$D,"TPO",'caseload data'!$C:$C,'community caseload'!$B$57,'caseload data'!$B:$B,{"licence","community"}))</f>
        <v>0</v>
      </c>
      <c r="M61" s="94">
        <f>SUM(SUMIFS('caseload data'!O:O,'caseload data'!$D:$D,"TPO",'caseload data'!$C:$C,'community caseload'!$B$57,'caseload data'!$B:$B,{"licence","community"}))</f>
        <v>0</v>
      </c>
      <c r="N61" s="94">
        <f>SUM(SUMIFS('caseload data'!P:P,'caseload data'!$D:$D,"TPO",'caseload data'!$C:$C,'community caseload'!$B$57,'caseload data'!$B:$B,{"licence","community"}))</f>
        <v>0</v>
      </c>
      <c r="O61" s="94">
        <f>SUM(SUMIFS('caseload data'!Q:Q,'caseload data'!$D:$D,"TPO",'caseload data'!$C:$C,'community caseload'!$B$57,'caseload data'!$B:$B,{"licence","community"}))</f>
        <v>0</v>
      </c>
      <c r="P61" s="94">
        <f>SUM(SUMIFS('caseload data'!R:R,'caseload data'!$D:$D,"TPO",'caseload data'!$C:$C,'community caseload'!$B$57,'caseload data'!$B:$B,{"licence","community"}))</f>
        <v>0</v>
      </c>
      <c r="Q61" s="94">
        <f>SUM(SUMIFS('caseload data'!S:S,'caseload data'!$D:$D,"TPO",'caseload data'!$C:$C,'community caseload'!$B$57,'caseload data'!$B:$B,{"licence","community"}))</f>
        <v>0</v>
      </c>
      <c r="R61" s="94">
        <f>SUM(SUMIFS('caseload data'!T:T,'caseload data'!$D:$D,"TPO",'caseload data'!$C:$C,'community caseload'!$B$57,'caseload data'!$B:$B,{"licence","community"}))</f>
        <v>0</v>
      </c>
      <c r="S61" s="64"/>
      <c r="T61" s="97" t="s">
        <v>1008</v>
      </c>
      <c r="U61" s="94">
        <f>SUM(SUMIFS('caseload data'!E:E,'caseload data'!$D:$D,"TPO",'caseload data'!$C:$C,'community caseload'!$T$57,'caseload data'!$B:$B,{"licence","community"}))</f>
        <v>0</v>
      </c>
      <c r="V61" s="94">
        <f>SUM(SUMIFS('caseload data'!F:F,'caseload data'!$D:$D,"TPO",'caseload data'!$C:$C,'community caseload'!$T$57,'caseload data'!$B:$B,{"licence","community"}))</f>
        <v>0</v>
      </c>
      <c r="W61" s="94">
        <f>SUM(SUMIFS('caseload data'!G:G,'caseload data'!$D:$D,"TPO",'caseload data'!$C:$C,'community caseload'!$T$57,'caseload data'!$B:$B,{"licence","community"}))</f>
        <v>0</v>
      </c>
      <c r="X61" s="94">
        <f>SUM(SUMIFS('caseload data'!H:H,'caseload data'!$D:$D,"TPO",'caseload data'!$C:$C,'community caseload'!$T$57,'caseload data'!$B:$B,{"licence","community"}))</f>
        <v>0</v>
      </c>
      <c r="Y61" s="94">
        <f>SUM(SUMIFS('caseload data'!I:I,'caseload data'!$D:$D,"TPO",'caseload data'!$C:$C,'community caseload'!$T$57,'caseload data'!$B:$B,{"licence","community"}))</f>
        <v>0</v>
      </c>
      <c r="Z61" s="94">
        <f>SUM(SUMIFS('caseload data'!J:J,'caseload data'!$D:$D,"TPO",'caseload data'!$C:$C,'community caseload'!$T$57,'caseload data'!$B:$B,{"licence","community"}))</f>
        <v>0</v>
      </c>
      <c r="AA61" s="94">
        <f>SUM(SUMIFS('caseload data'!K:K,'caseload data'!$D:$D,"TPO",'caseload data'!$C:$C,'community caseload'!$T$57,'caseload data'!$B:$B,{"licence","community"}))</f>
        <v>0</v>
      </c>
      <c r="AB61" s="94">
        <f>SUM(SUMIFS('caseload data'!L:L,'caseload data'!$D:$D,"TPO",'caseload data'!$C:$C,'community caseload'!$T$57,'caseload data'!$B:$B,{"licence","community"}))</f>
        <v>0</v>
      </c>
      <c r="AC61" s="94">
        <f>SUM(SUMIFS('caseload data'!M:M,'caseload data'!$D:$D,"TPO",'caseload data'!$C:$C,'community caseload'!$T$57,'caseload data'!$B:$B,{"licence","community"}))</f>
        <v>0</v>
      </c>
      <c r="AD61" s="94">
        <f>SUM(SUMIFS('caseload data'!N:N,'caseload data'!$D:$D,"TPO",'caseload data'!$C:$C,'community caseload'!$T$57,'caseload data'!$B:$B,{"licence","community"}))</f>
        <v>0</v>
      </c>
      <c r="AE61" s="94">
        <f>SUM(SUMIFS('caseload data'!O:O,'caseload data'!$D:$D,"TPO",'caseload data'!$C:$C,'community caseload'!$T$57,'caseload data'!$B:$B,{"licence","community"}))</f>
        <v>0</v>
      </c>
      <c r="AF61" s="94">
        <f>SUM(SUMIFS('caseload data'!P:P,'caseload data'!$D:$D,"TPO",'caseload data'!$C:$C,'community caseload'!$T$57,'caseload data'!$B:$B,{"licence","community"}))</f>
        <v>0</v>
      </c>
      <c r="AG61" s="94">
        <f>SUM(SUMIFS('caseload data'!Q:Q,'caseload data'!$D:$D,"TPO",'caseload data'!$C:$C,'community caseload'!$T$57,'caseload data'!$B:$B,{"licence","community"}))</f>
        <v>0</v>
      </c>
      <c r="AH61" s="94">
        <f>SUM(SUMIFS('caseload data'!R:R,'caseload data'!$D:$D,"TPO",'caseload data'!$C:$C,'community caseload'!$T$57,'caseload data'!$B:$B,{"licence","community"}))</f>
        <v>0</v>
      </c>
      <c r="AI61" s="94">
        <f>SUM(SUMIFS('caseload data'!S:S,'caseload data'!$D:$D,"TPO",'caseload data'!$C:$C,'community caseload'!$T$57,'caseload data'!$B:$B,{"licence","community"}))</f>
        <v>0</v>
      </c>
      <c r="AJ61" s="94">
        <f>SUM(SUMIFS('caseload data'!T:T,'caseload data'!$D:$D,"TPO",'caseload data'!$C:$C,'community caseload'!$T$57,'caseload data'!$B:$B,{"licence","community"}))</f>
        <v>0</v>
      </c>
    </row>
    <row r="62" spans="2:36" x14ac:dyDescent="0.15">
      <c r="B62" s="98" t="s">
        <v>1009</v>
      </c>
      <c r="C62" s="94">
        <f>SUM(SUMIFS('caseload data'!E:E,'caseload data'!$D:$D,"SPO",'caseload data'!$C:$C,'community caseload'!$B$57,'caseload data'!$B:$B,{"licence","community"}))</f>
        <v>0</v>
      </c>
      <c r="D62" s="94">
        <f>SUM(SUMIFS('caseload data'!F:F,'caseload data'!$D:$D,"SPO",'caseload data'!$C:$C,'community caseload'!$B$57,'caseload data'!$B:$B,{"licence","community"}))</f>
        <v>0</v>
      </c>
      <c r="E62" s="94">
        <f>SUM(SUMIFS('caseload data'!G:G,'caseload data'!$D:$D,"SPO",'caseload data'!$C:$C,'community caseload'!$B$57,'caseload data'!$B:$B,{"licence","community"}))</f>
        <v>0</v>
      </c>
      <c r="F62" s="94">
        <f>SUM(SUMIFS('caseload data'!H:H,'caseload data'!$D:$D,"SPO",'caseload data'!$C:$C,'community caseload'!$B$57,'caseload data'!$B:$B,{"licence","community"}))</f>
        <v>0</v>
      </c>
      <c r="G62" s="94">
        <f>SUM(SUMIFS('caseload data'!I:I,'caseload data'!$D:$D,"SPO",'caseload data'!$C:$C,'community caseload'!$B$57,'caseload data'!$B:$B,{"licence","community"}))</f>
        <v>0</v>
      </c>
      <c r="H62" s="94">
        <f>SUM(SUMIFS('caseload data'!J:J,'caseload data'!$D:$D,"SPO",'caseload data'!$C:$C,'community caseload'!$B$57,'caseload data'!$B:$B,{"licence","community"}))</f>
        <v>0</v>
      </c>
      <c r="I62" s="94">
        <f>SUM(SUMIFS('caseload data'!K:K,'caseload data'!$D:$D,"SPO",'caseload data'!$C:$C,'community caseload'!$B$57,'caseload data'!$B:$B,{"licence","community"}))</f>
        <v>0</v>
      </c>
      <c r="J62" s="94">
        <f>SUM(SUMIFS('caseload data'!L:L,'caseload data'!$D:$D,"SPO",'caseload data'!$C:$C,'community caseload'!$B$57,'caseload data'!$B:$B,{"licence","community"}))</f>
        <v>0</v>
      </c>
      <c r="K62" s="94">
        <f>SUM(SUMIFS('caseload data'!M:M,'caseload data'!$D:$D,"SPO",'caseload data'!$C:$C,'community caseload'!$B$57,'caseload data'!$B:$B,{"licence","community"}))</f>
        <v>0</v>
      </c>
      <c r="L62" s="94">
        <f>SUM(SUMIFS('caseload data'!N:N,'caseload data'!$D:$D,"SPO",'caseload data'!$C:$C,'community caseload'!$B$57,'caseload data'!$B:$B,{"licence","community"}))</f>
        <v>0</v>
      </c>
      <c r="M62" s="94">
        <f>SUM(SUMIFS('caseload data'!O:O,'caseload data'!$D:$D,"SPO",'caseload data'!$C:$C,'community caseload'!$B$57,'caseload data'!$B:$B,{"licence","community"}))</f>
        <v>0</v>
      </c>
      <c r="N62" s="94">
        <f>SUM(SUMIFS('caseload data'!P:P,'caseload data'!$D:$D,"SPO",'caseload data'!$C:$C,'community caseload'!$B$57,'caseload data'!$B:$B,{"licence","community"}))</f>
        <v>0</v>
      </c>
      <c r="O62" s="94">
        <f>SUM(SUMIFS('caseload data'!Q:Q,'caseload data'!$D:$D,"SPO",'caseload data'!$C:$C,'community caseload'!$B$57,'caseload data'!$B:$B,{"licence","community"}))</f>
        <v>0</v>
      </c>
      <c r="P62" s="94">
        <f>SUM(SUMIFS('caseload data'!R:R,'caseload data'!$D:$D,"SPO",'caseload data'!$C:$C,'community caseload'!$B$57,'caseload data'!$B:$B,{"licence","community"}))</f>
        <v>0</v>
      </c>
      <c r="Q62" s="94">
        <f>SUM(SUMIFS('caseload data'!S:S,'caseload data'!$D:$D,"SPO",'caseload data'!$C:$C,'community caseload'!$B$57,'caseload data'!$B:$B,{"licence","community"}))</f>
        <v>0</v>
      </c>
      <c r="R62" s="94">
        <f>SUM(SUMIFS('caseload data'!T:T,'caseload data'!$D:$D,"SPO",'caseload data'!$C:$C,'community caseload'!$B$57,'caseload data'!$B:$B,{"licence","community"}))</f>
        <v>0</v>
      </c>
      <c r="S62" s="64"/>
      <c r="T62" s="98" t="s">
        <v>1009</v>
      </c>
      <c r="U62" s="94">
        <f>SUM(SUMIFS('caseload data'!E:E,'caseload data'!$D:$D,"SPO",'caseload data'!$C:$C,'community caseload'!$T$57,'caseload data'!$B:$B,{"licence","community"}))</f>
        <v>0</v>
      </c>
      <c r="V62" s="94">
        <f>SUM(SUMIFS('caseload data'!F:F,'caseload data'!$D:$D,"SPO",'caseload data'!$C:$C,'community caseload'!$T$57,'caseload data'!$B:$B,{"licence","community"}))</f>
        <v>0</v>
      </c>
      <c r="W62" s="94">
        <f>SUM(SUMIFS('caseload data'!G:G,'caseload data'!$D:$D,"SPO",'caseload data'!$C:$C,'community caseload'!$T$57,'caseload data'!$B:$B,{"licence","community"}))</f>
        <v>0</v>
      </c>
      <c r="X62" s="94">
        <f>SUM(SUMIFS('caseload data'!H:H,'caseload data'!$D:$D,"SPO",'caseload data'!$C:$C,'community caseload'!$T$57,'caseload data'!$B:$B,{"licence","community"}))</f>
        <v>0</v>
      </c>
      <c r="Y62" s="94">
        <f>SUM(SUMIFS('caseload data'!I:I,'caseload data'!$D:$D,"SPO",'caseload data'!$C:$C,'community caseload'!$T$57,'caseload data'!$B:$B,{"licence","community"}))</f>
        <v>0</v>
      </c>
      <c r="Z62" s="94">
        <f>SUM(SUMIFS('caseload data'!J:J,'caseload data'!$D:$D,"SPO",'caseload data'!$C:$C,'community caseload'!$T$57,'caseload data'!$B:$B,{"licence","community"}))</f>
        <v>0</v>
      </c>
      <c r="AA62" s="94">
        <f>SUM(SUMIFS('caseload data'!K:K,'caseload data'!$D:$D,"SPO",'caseload data'!$C:$C,'community caseload'!$T$57,'caseload data'!$B:$B,{"licence","community"}))</f>
        <v>0</v>
      </c>
      <c r="AB62" s="94">
        <f>SUM(SUMIFS('caseload data'!L:L,'caseload data'!$D:$D,"SPO",'caseload data'!$C:$C,'community caseload'!$T$57,'caseload data'!$B:$B,{"licence","community"}))</f>
        <v>0</v>
      </c>
      <c r="AC62" s="94">
        <f>SUM(SUMIFS('caseload data'!M:M,'caseload data'!$D:$D,"SPO",'caseload data'!$C:$C,'community caseload'!$T$57,'caseload data'!$B:$B,{"licence","community"}))</f>
        <v>0</v>
      </c>
      <c r="AD62" s="94">
        <f>SUM(SUMIFS('caseload data'!N:N,'caseload data'!$D:$D,"SPO",'caseload data'!$C:$C,'community caseload'!$T$57,'caseload data'!$B:$B,{"licence","community"}))</f>
        <v>0</v>
      </c>
      <c r="AE62" s="94">
        <f>SUM(SUMIFS('caseload data'!O:O,'caseload data'!$D:$D,"SPO",'caseload data'!$C:$C,'community caseload'!$T$57,'caseload data'!$B:$B,{"licence","community"}))</f>
        <v>0</v>
      </c>
      <c r="AF62" s="94">
        <f>SUM(SUMIFS('caseload data'!P:P,'caseload data'!$D:$D,"SPO",'caseload data'!$C:$C,'community caseload'!$T$57,'caseload data'!$B:$B,{"licence","community"}))</f>
        <v>0</v>
      </c>
      <c r="AG62" s="94">
        <f>SUM(SUMIFS('caseload data'!Q:Q,'caseload data'!$D:$D,"SPO",'caseload data'!$C:$C,'community caseload'!$T$57,'caseload data'!$B:$B,{"licence","community"}))</f>
        <v>0</v>
      </c>
      <c r="AH62" s="94">
        <f>SUM(SUMIFS('caseload data'!R:R,'caseload data'!$D:$D,"SPO",'caseload data'!$C:$C,'community caseload'!$T$57,'caseload data'!$B:$B,{"licence","community"}))</f>
        <v>0</v>
      </c>
      <c r="AI62" s="94">
        <f>SUM(SUMIFS('caseload data'!S:S,'caseload data'!$D:$D,"SPO",'caseload data'!$C:$C,'community caseload'!$T$57,'caseload data'!$B:$B,{"licence","community"}))</f>
        <v>0</v>
      </c>
      <c r="AJ62" s="94">
        <f>SUM(SUMIFS('caseload data'!T:T,'caseload data'!$D:$D,"SPO",'caseload data'!$C:$C,'community caseload'!$T$57,'caseload data'!$B:$B,{"licence","community"}))</f>
        <v>0</v>
      </c>
    </row>
    <row r="64" spans="2:36" ht="23.25" customHeight="1" x14ac:dyDescent="0.15">
      <c r="B64" s="289">
        <f>HLOOKUP($B$5,Region_Table,18,0)</f>
        <v>0</v>
      </c>
      <c r="C64" s="507" t="s">
        <v>1135</v>
      </c>
      <c r="D64" s="508"/>
      <c r="E64" s="508"/>
      <c r="F64" s="508"/>
      <c r="G64" s="508"/>
      <c r="H64" s="508"/>
      <c r="I64" s="508"/>
      <c r="J64" s="508"/>
      <c r="K64" s="508"/>
      <c r="L64" s="508"/>
      <c r="M64" s="537"/>
      <c r="N64" s="537"/>
      <c r="O64" s="538"/>
      <c r="P64" s="510" cm="1">
        <f t="array" ref="P64">SUM(SUMIFS('caseload data'!V:V,'caseload data'!B:B,{"licence","community"},'caseload data'!$C:$C,'community caseload'!B64))</f>
        <v>0</v>
      </c>
      <c r="Q64" s="527"/>
      <c r="R64" s="528"/>
      <c r="S64" s="291"/>
      <c r="T64" s="289">
        <f>HLOOKUP($B$5,Region_Table,19,0)</f>
        <v>0</v>
      </c>
      <c r="U64" s="507" t="s">
        <v>1135</v>
      </c>
      <c r="V64" s="508"/>
      <c r="W64" s="508"/>
      <c r="X64" s="508"/>
      <c r="Y64" s="508"/>
      <c r="Z64" s="508"/>
      <c r="AA64" s="508"/>
      <c r="AB64" s="508"/>
      <c r="AC64" s="508"/>
      <c r="AD64" s="508"/>
      <c r="AE64" s="537"/>
      <c r="AF64" s="537"/>
      <c r="AG64" s="538"/>
      <c r="AH64" s="510" cm="1">
        <f t="array" ref="AH64">SUM(SUMIFS('caseload data'!V:V,'caseload data'!B:B,{"licence","community"},'caseload data'!$C:$C,'community caseload'!T64))</f>
        <v>0</v>
      </c>
      <c r="AI64" s="527"/>
      <c r="AJ64" s="528"/>
    </row>
    <row r="65" spans="2:36" x14ac:dyDescent="0.15">
      <c r="B65" s="95" t="s">
        <v>1005</v>
      </c>
      <c r="C65" s="38" t="s">
        <v>869</v>
      </c>
      <c r="D65" s="38" t="s">
        <v>870</v>
      </c>
      <c r="E65" s="38" t="s">
        <v>871</v>
      </c>
      <c r="F65" s="38" t="s">
        <v>872</v>
      </c>
      <c r="G65" s="38" t="s">
        <v>873</v>
      </c>
      <c r="H65" s="38" t="s">
        <v>874</v>
      </c>
      <c r="I65" s="38" t="s">
        <v>875</v>
      </c>
      <c r="J65" s="38" t="s">
        <v>876</v>
      </c>
      <c r="K65" s="38" t="s">
        <v>877</v>
      </c>
      <c r="L65" s="38" t="s">
        <v>878</v>
      </c>
      <c r="M65" s="38" t="s">
        <v>879</v>
      </c>
      <c r="N65" s="38" t="s">
        <v>880</v>
      </c>
      <c r="O65" s="38" t="s">
        <v>881</v>
      </c>
      <c r="P65" s="38" t="s">
        <v>882</v>
      </c>
      <c r="Q65" s="38" t="s">
        <v>883</v>
      </c>
      <c r="R65" s="38" t="s">
        <v>884</v>
      </c>
      <c r="S65" s="64"/>
      <c r="T65" s="95" t="s">
        <v>1005</v>
      </c>
      <c r="U65" s="38" t="s">
        <v>869</v>
      </c>
      <c r="V65" s="38" t="s">
        <v>870</v>
      </c>
      <c r="W65" s="38" t="s">
        <v>871</v>
      </c>
      <c r="X65" s="38" t="s">
        <v>872</v>
      </c>
      <c r="Y65" s="38" t="s">
        <v>873</v>
      </c>
      <c r="Z65" s="38" t="s">
        <v>874</v>
      </c>
      <c r="AA65" s="38" t="s">
        <v>875</v>
      </c>
      <c r="AB65" s="38" t="s">
        <v>876</v>
      </c>
      <c r="AC65" s="38" t="s">
        <v>877</v>
      </c>
      <c r="AD65" s="38" t="s">
        <v>878</v>
      </c>
      <c r="AE65" s="38" t="s">
        <v>879</v>
      </c>
      <c r="AF65" s="38" t="s">
        <v>880</v>
      </c>
      <c r="AG65" s="38" t="s">
        <v>881</v>
      </c>
      <c r="AH65" s="38" t="s">
        <v>882</v>
      </c>
      <c r="AI65" s="38" t="s">
        <v>883</v>
      </c>
      <c r="AJ65" s="38" t="s">
        <v>884</v>
      </c>
    </row>
    <row r="66" spans="2:36" x14ac:dyDescent="0.15">
      <c r="B66" s="96" t="s">
        <v>1002</v>
      </c>
      <c r="C66" s="94">
        <f>SUM(SUMIFS('caseload data'!E:E,'caseload data'!$D:$D,"PO",'caseload data'!$C:$C,'community caseload'!$B$64,'caseload data'!$B:$B,{"licence","community"}))</f>
        <v>0</v>
      </c>
      <c r="D66" s="94">
        <f>SUM(SUMIFS('caseload data'!F:F,'caseload data'!$D:$D,"PO",'caseload data'!$C:$C,'community caseload'!$B$64,'caseload data'!$B:$B,{"licence","community"}))</f>
        <v>0</v>
      </c>
      <c r="E66" s="94">
        <f>SUM(SUMIFS('caseload data'!G:G,'caseload data'!$D:$D,"PO",'caseload data'!$C:$C,'community caseload'!$B$64,'caseload data'!$B:$B,{"licence","community"}))</f>
        <v>0</v>
      </c>
      <c r="F66" s="94">
        <f>SUM(SUMIFS('caseload data'!H:H,'caseload data'!$D:$D,"PO",'caseload data'!$C:$C,'community caseload'!$B$64,'caseload data'!$B:$B,{"licence","community"}))</f>
        <v>0</v>
      </c>
      <c r="G66" s="94">
        <f>SUM(SUMIFS('caseload data'!I:I,'caseload data'!$D:$D,"PO",'caseload data'!$C:$C,'community caseload'!$B$64,'caseload data'!$B:$B,{"licence","community"}))</f>
        <v>0</v>
      </c>
      <c r="H66" s="94">
        <f>SUM(SUMIFS('caseload data'!J:J,'caseload data'!$D:$D,"PO",'caseload data'!$C:$C,'community caseload'!$B$64,'caseload data'!$B:$B,{"licence","community"}))</f>
        <v>0</v>
      </c>
      <c r="I66" s="94">
        <f>SUM(SUMIFS('caseload data'!K:K,'caseload data'!$D:$D,"PO",'caseload data'!$C:$C,'community caseload'!$B$64,'caseload data'!$B:$B,{"licence","community"}))</f>
        <v>0</v>
      </c>
      <c r="J66" s="94">
        <f>SUM(SUMIFS('caseload data'!L:L,'caseload data'!$D:$D,"PO",'caseload data'!$C:$C,'community caseload'!$B$64,'caseload data'!$B:$B,{"licence","community"}))</f>
        <v>0</v>
      </c>
      <c r="K66" s="94">
        <f>SUM(SUMIFS('caseload data'!M:M,'caseload data'!$D:$D,"PO",'caseload data'!$C:$C,'community caseload'!$B$64,'caseload data'!$B:$B,{"licence","community"}))</f>
        <v>0</v>
      </c>
      <c r="L66" s="94">
        <f>SUM(SUMIFS('caseload data'!N:N,'caseload data'!$D:$D,"PO",'caseload data'!$C:$C,'community caseload'!$B$64,'caseload data'!$B:$B,{"licence","community"}))</f>
        <v>0</v>
      </c>
      <c r="M66" s="94">
        <f>SUM(SUMIFS('caseload data'!O:O,'caseload data'!$D:$D,"PO",'caseload data'!$C:$C,'community caseload'!$B$64,'caseload data'!$B:$B,{"licence","community"}))</f>
        <v>0</v>
      </c>
      <c r="N66" s="94">
        <f>SUM(SUMIFS('caseload data'!P:P,'caseload data'!$D:$D,"PO",'caseload data'!$C:$C,'community caseload'!$B$64,'caseload data'!$B:$B,{"licence","community"}))</f>
        <v>0</v>
      </c>
      <c r="O66" s="94">
        <f>SUM(SUMIFS('caseload data'!Q:Q,'caseload data'!$D:$D,"PO",'caseload data'!$C:$C,'community caseload'!$B$64,'caseload data'!$B:$B,{"licence","community"}))</f>
        <v>0</v>
      </c>
      <c r="P66" s="94">
        <f>SUM(SUMIFS('caseload data'!R:R,'caseload data'!$D:$D,"PO",'caseload data'!$C:$C,'community caseload'!$B$64,'caseload data'!$B:$B,{"licence","community"}))</f>
        <v>0</v>
      </c>
      <c r="Q66" s="94">
        <f>SUM(SUMIFS('caseload data'!S:S,'caseload data'!$D:$D,"PO",'caseload data'!$C:$C,'community caseload'!$B$64,'caseload data'!$B:$B,{"licence","community"}))</f>
        <v>0</v>
      </c>
      <c r="R66" s="94">
        <f>SUM(SUMIFS('caseload data'!T:T,'caseload data'!$D:$D,"PO",'caseload data'!$C:$C,'community caseload'!$B$64,'caseload data'!$B:$B,{"licence","community"}))</f>
        <v>0</v>
      </c>
      <c r="S66" s="64"/>
      <c r="T66" s="96" t="s">
        <v>1002</v>
      </c>
      <c r="U66" s="94">
        <f>SUM(SUMIFS('caseload data'!E:E,'caseload data'!$D:$D,"PO",'caseload data'!$C:$C,'community caseload'!$T$64,'caseload data'!$B:$B,{"licence","community"}))</f>
        <v>0</v>
      </c>
      <c r="V66" s="94">
        <f>SUM(SUMIFS('caseload data'!F:F,'caseload data'!$D:$D,"PO",'caseload data'!$C:$C,'community caseload'!$T$64,'caseload data'!$B:$B,{"licence","community"}))</f>
        <v>0</v>
      </c>
      <c r="W66" s="94">
        <f>SUM(SUMIFS('caseload data'!G:G,'caseload data'!$D:$D,"PO",'caseload data'!$C:$C,'community caseload'!$T$64,'caseload data'!$B:$B,{"licence","community"}))</f>
        <v>0</v>
      </c>
      <c r="X66" s="94">
        <f>SUM(SUMIFS('caseload data'!H:H,'caseload data'!$D:$D,"PO",'caseload data'!$C:$C,'community caseload'!$T$64,'caseload data'!$B:$B,{"licence","community"}))</f>
        <v>0</v>
      </c>
      <c r="Y66" s="94">
        <f>SUM(SUMIFS('caseload data'!I:I,'caseload data'!$D:$D,"PO",'caseload data'!$C:$C,'community caseload'!$T$64,'caseload data'!$B:$B,{"licence","community"}))</f>
        <v>0</v>
      </c>
      <c r="Z66" s="94">
        <f>SUM(SUMIFS('caseload data'!J:J,'caseload data'!$D:$D,"PO",'caseload data'!$C:$C,'community caseload'!$T$64,'caseload data'!$B:$B,{"licence","community"}))</f>
        <v>0</v>
      </c>
      <c r="AA66" s="94">
        <f>SUM(SUMIFS('caseload data'!K:K,'caseload data'!$D:$D,"PO",'caseload data'!$C:$C,'community caseload'!$T$64,'caseload data'!$B:$B,{"licence","community"}))</f>
        <v>0</v>
      </c>
      <c r="AB66" s="94">
        <f>SUM(SUMIFS('caseload data'!L:L,'caseload data'!$D:$D,"PO",'caseload data'!$C:$C,'community caseload'!$T$64,'caseload data'!$B:$B,{"licence","community"}))</f>
        <v>0</v>
      </c>
      <c r="AC66" s="94">
        <f>SUM(SUMIFS('caseload data'!M:M,'caseload data'!$D:$D,"PO",'caseload data'!$C:$C,'community caseload'!$T$64,'caseload data'!$B:$B,{"licence","community"}))</f>
        <v>0</v>
      </c>
      <c r="AD66" s="94">
        <f>SUM(SUMIFS('caseload data'!N:N,'caseload data'!$D:$D,"PO",'caseload data'!$C:$C,'community caseload'!$T$64,'caseload data'!$B:$B,{"licence","community"}))</f>
        <v>0</v>
      </c>
      <c r="AE66" s="94">
        <f>SUM(SUMIFS('caseload data'!O:O,'caseload data'!$D:$D,"PO",'caseload data'!$C:$C,'community caseload'!$T$64,'caseload data'!$B:$B,{"licence","community"}))</f>
        <v>0</v>
      </c>
      <c r="AF66" s="94">
        <f>SUM(SUMIFS('caseload data'!P:P,'caseload data'!$D:$D,"PO",'caseload data'!$C:$C,'community caseload'!$T$64,'caseload data'!$B:$B,{"licence","community"}))</f>
        <v>0</v>
      </c>
      <c r="AG66" s="94">
        <f>SUM(SUMIFS('caseload data'!Q:Q,'caseload data'!$D:$D,"PO",'caseload data'!$C:$C,'community caseload'!$T$64,'caseload data'!$B:$B,{"licence","community"}))</f>
        <v>0</v>
      </c>
      <c r="AH66" s="94">
        <f>SUM(SUMIFS('caseload data'!R:R,'caseload data'!$D:$D,"PO",'caseload data'!$C:$C,'community caseload'!$T$64,'caseload data'!$B:$B,{"licence","community"}))</f>
        <v>0</v>
      </c>
      <c r="AI66" s="94">
        <f>SUM(SUMIFS('caseload data'!S:S,'caseload data'!$D:$D,"PO",'caseload data'!$C:$C,'community caseload'!$T$64,'caseload data'!$B:$B,{"licence","community"}))</f>
        <v>0</v>
      </c>
      <c r="AJ66" s="94">
        <f>SUM(SUMIFS('caseload data'!T:T,'caseload data'!$D:$D,"PO",'caseload data'!$C:$C,'community caseload'!$T$64,'caseload data'!$B:$B,{"licence","community"}))</f>
        <v>0</v>
      </c>
    </row>
    <row r="67" spans="2:36" x14ac:dyDescent="0.15">
      <c r="B67" s="97" t="s">
        <v>1007</v>
      </c>
      <c r="C67" s="94">
        <f>SUM(SUMIFS('caseload data'!E:E,'caseload data'!$D:$D,"PSO",'caseload data'!$C:$C,'community caseload'!$B$64,'caseload data'!$B:$B,{"licence","community"}))</f>
        <v>0</v>
      </c>
      <c r="D67" s="94">
        <f>SUM(SUMIFS('caseload data'!F:F,'caseload data'!$D:$D,"PSO",'caseload data'!$C:$C,'community caseload'!$B$64,'caseload data'!$B:$B,{"licence","community"}))</f>
        <v>0</v>
      </c>
      <c r="E67" s="94">
        <f>SUM(SUMIFS('caseload data'!G:G,'caseload data'!$D:$D,"PSO",'caseload data'!$C:$C,'community caseload'!$B$64,'caseload data'!$B:$B,{"licence","community"}))</f>
        <v>0</v>
      </c>
      <c r="F67" s="94">
        <f>SUM(SUMIFS('caseload data'!H:H,'caseload data'!$D:$D,"PSO",'caseload data'!$C:$C,'community caseload'!$B$64,'caseload data'!$B:$B,{"licence","community"}))</f>
        <v>0</v>
      </c>
      <c r="G67" s="94">
        <f>SUM(SUMIFS('caseload data'!I:I,'caseload data'!$D:$D,"PSO",'caseload data'!$C:$C,'community caseload'!$B$64,'caseload data'!$B:$B,{"licence","community"}))</f>
        <v>0</v>
      </c>
      <c r="H67" s="94">
        <f>SUM(SUMIFS('caseload data'!J:J,'caseload data'!$D:$D,"PSO",'caseload data'!$C:$C,'community caseload'!$B$64,'caseload data'!$B:$B,{"licence","community"}))</f>
        <v>0</v>
      </c>
      <c r="I67" s="94">
        <f>SUM(SUMIFS('caseload data'!K:K,'caseload data'!$D:$D,"PSO",'caseload data'!$C:$C,'community caseload'!$B$64,'caseload data'!$B:$B,{"licence","community"}))</f>
        <v>0</v>
      </c>
      <c r="J67" s="94">
        <f>SUM(SUMIFS('caseload data'!L:L,'caseload data'!$D:$D,"PSO",'caseload data'!$C:$C,'community caseload'!$B$64,'caseload data'!$B:$B,{"licence","community"}))</f>
        <v>0</v>
      </c>
      <c r="K67" s="94">
        <f>SUM(SUMIFS('caseload data'!M:M,'caseload data'!$D:$D,"PSO",'caseload data'!$C:$C,'community caseload'!$B$64,'caseload data'!$B:$B,{"licence","community"}))</f>
        <v>0</v>
      </c>
      <c r="L67" s="94">
        <f>SUM(SUMIFS('caseload data'!N:N,'caseload data'!$D:$D,"PSO",'caseload data'!$C:$C,'community caseload'!$B$64,'caseload data'!$B:$B,{"licence","community"}))</f>
        <v>0</v>
      </c>
      <c r="M67" s="94">
        <f>SUM(SUMIFS('caseload data'!O:O,'caseload data'!$D:$D,"PSO",'caseload data'!$C:$C,'community caseload'!$B$64,'caseload data'!$B:$B,{"licence","community"}))</f>
        <v>0</v>
      </c>
      <c r="N67" s="94">
        <f>SUM(SUMIFS('caseload data'!P:P,'caseload data'!$D:$D,"PSO",'caseload data'!$C:$C,'community caseload'!$B$64,'caseload data'!$B:$B,{"licence","community"}))</f>
        <v>0</v>
      </c>
      <c r="O67" s="94">
        <f>SUM(SUMIFS('caseload data'!Q:Q,'caseload data'!$D:$D,"PSO",'caseload data'!$C:$C,'community caseload'!$B$64,'caseload data'!$B:$B,{"licence","community"}))</f>
        <v>0</v>
      </c>
      <c r="P67" s="94">
        <f>SUM(SUMIFS('caseload data'!R:R,'caseload data'!$D:$D,"PSO",'caseload data'!$C:$C,'community caseload'!$B$64,'caseload data'!$B:$B,{"licence","community"}))</f>
        <v>0</v>
      </c>
      <c r="Q67" s="94">
        <f>SUM(SUMIFS('caseload data'!S:S,'caseload data'!$D:$D,"PSO",'caseload data'!$C:$C,'community caseload'!$B$64,'caseload data'!$B:$B,{"licence","community"}))</f>
        <v>0</v>
      </c>
      <c r="R67" s="94">
        <f>SUM(SUMIFS('caseload data'!T:T,'caseload data'!$D:$D,"PSO",'caseload data'!$C:$C,'community caseload'!$B$64,'caseload data'!$B:$B,{"licence","community"}))</f>
        <v>0</v>
      </c>
      <c r="S67" s="64"/>
      <c r="T67" s="97" t="s">
        <v>1007</v>
      </c>
      <c r="U67" s="94">
        <f>SUM(SUMIFS('caseload data'!E:E,'caseload data'!$D:$D,"PSO",'caseload data'!$C:$C,'community caseload'!$T$64,'caseload data'!$B:$B,{"licence","community"}))</f>
        <v>0</v>
      </c>
      <c r="V67" s="94">
        <f>SUM(SUMIFS('caseload data'!F:F,'caseload data'!$D:$D,"PSO",'caseload data'!$C:$C,'community caseload'!$T$64,'caseload data'!$B:$B,{"licence","community"}))</f>
        <v>0</v>
      </c>
      <c r="W67" s="94">
        <f>SUM(SUMIFS('caseload data'!G:G,'caseload data'!$D:$D,"PSO",'caseload data'!$C:$C,'community caseload'!$T$64,'caseload data'!$B:$B,{"licence","community"}))</f>
        <v>0</v>
      </c>
      <c r="X67" s="94">
        <f>SUM(SUMIFS('caseload data'!H:H,'caseload data'!$D:$D,"PSO",'caseload data'!$C:$C,'community caseload'!$T$64,'caseload data'!$B:$B,{"licence","community"}))</f>
        <v>0</v>
      </c>
      <c r="Y67" s="94">
        <f>SUM(SUMIFS('caseload data'!I:I,'caseload data'!$D:$D,"PSO",'caseload data'!$C:$C,'community caseload'!$T$64,'caseload data'!$B:$B,{"licence","community"}))</f>
        <v>0</v>
      </c>
      <c r="Z67" s="94">
        <f>SUM(SUMIFS('caseload data'!J:J,'caseload data'!$D:$D,"PSO",'caseload data'!$C:$C,'community caseload'!$T$64,'caseload data'!$B:$B,{"licence","community"}))</f>
        <v>0</v>
      </c>
      <c r="AA67" s="94">
        <f>SUM(SUMIFS('caseload data'!K:K,'caseload data'!$D:$D,"PSO",'caseload data'!$C:$C,'community caseload'!$T$64,'caseload data'!$B:$B,{"licence","community"}))</f>
        <v>0</v>
      </c>
      <c r="AB67" s="94">
        <f>SUM(SUMIFS('caseload data'!L:L,'caseload data'!$D:$D,"PSO",'caseload data'!$C:$C,'community caseload'!$T$64,'caseload data'!$B:$B,{"licence","community"}))</f>
        <v>0</v>
      </c>
      <c r="AC67" s="94">
        <f>SUM(SUMIFS('caseload data'!M:M,'caseload data'!$D:$D,"PSO",'caseload data'!$C:$C,'community caseload'!$T$64,'caseload data'!$B:$B,{"licence","community"}))</f>
        <v>0</v>
      </c>
      <c r="AD67" s="94">
        <f>SUM(SUMIFS('caseload data'!N:N,'caseload data'!$D:$D,"PSO",'caseload data'!$C:$C,'community caseload'!$T$64,'caseload data'!$B:$B,{"licence","community"}))</f>
        <v>0</v>
      </c>
      <c r="AE67" s="94">
        <f>SUM(SUMIFS('caseload data'!O:O,'caseload data'!$D:$D,"PSO",'caseload data'!$C:$C,'community caseload'!$T$64,'caseload data'!$B:$B,{"licence","community"}))</f>
        <v>0</v>
      </c>
      <c r="AF67" s="94">
        <f>SUM(SUMIFS('caseload data'!P:P,'caseload data'!$D:$D,"PSO",'caseload data'!$C:$C,'community caseload'!$T$64,'caseload data'!$B:$B,{"licence","community"}))</f>
        <v>0</v>
      </c>
      <c r="AG67" s="94">
        <f>SUM(SUMIFS('caseload data'!Q:Q,'caseload data'!$D:$D,"PSO",'caseload data'!$C:$C,'community caseload'!$T$64,'caseload data'!$B:$B,{"licence","community"}))</f>
        <v>0</v>
      </c>
      <c r="AH67" s="94">
        <f>SUM(SUMIFS('caseload data'!R:R,'caseload data'!$D:$D,"PSO",'caseload data'!$C:$C,'community caseload'!$T$64,'caseload data'!$B:$B,{"licence","community"}))</f>
        <v>0</v>
      </c>
      <c r="AI67" s="94">
        <f>SUM(SUMIFS('caseload data'!S:S,'caseload data'!$D:$D,"PSO",'caseload data'!$C:$C,'community caseload'!$T$64,'caseload data'!$B:$B,{"licence","community"}))</f>
        <v>0</v>
      </c>
      <c r="AJ67" s="94">
        <f>SUM(SUMIFS('caseload data'!T:T,'caseload data'!$D:$D,"PSO",'caseload data'!$C:$C,'community caseload'!$T$64,'caseload data'!$B:$B,{"licence","community"}))</f>
        <v>0</v>
      </c>
    </row>
    <row r="68" spans="2:36" x14ac:dyDescent="0.15">
      <c r="B68" s="97" t="s">
        <v>1008</v>
      </c>
      <c r="C68" s="94">
        <f>SUM(SUMIFS('caseload data'!E:E,'caseload data'!$D:$D,"TPO",'caseload data'!$C:$C,'community caseload'!$B$64,'caseload data'!$B:$B,{"licence","community"}))</f>
        <v>0</v>
      </c>
      <c r="D68" s="94">
        <f>SUM(SUMIFS('caseload data'!F:F,'caseload data'!$D:$D,"TPO",'caseload data'!$C:$C,'community caseload'!$B$64,'caseload data'!$B:$B,{"licence","community"}))</f>
        <v>0</v>
      </c>
      <c r="E68" s="94">
        <f>SUM(SUMIFS('caseload data'!G:G,'caseload data'!$D:$D,"TPO",'caseload data'!$C:$C,'community caseload'!$B$64,'caseload data'!$B:$B,{"licence","community"}))</f>
        <v>0</v>
      </c>
      <c r="F68" s="94">
        <f>SUM(SUMIFS('caseload data'!H:H,'caseload data'!$D:$D,"TPO",'caseload data'!$C:$C,'community caseload'!$B$64,'caseload data'!$B:$B,{"licence","community"}))</f>
        <v>0</v>
      </c>
      <c r="G68" s="94">
        <f>SUM(SUMIFS('caseload data'!I:I,'caseload data'!$D:$D,"TPO",'caseload data'!$C:$C,'community caseload'!$B$64,'caseload data'!$B:$B,{"licence","community"}))</f>
        <v>0</v>
      </c>
      <c r="H68" s="94">
        <f>SUM(SUMIFS('caseload data'!J:J,'caseload data'!$D:$D,"TPO",'caseload data'!$C:$C,'community caseload'!$B$64,'caseload data'!$B:$B,{"licence","community"}))</f>
        <v>0</v>
      </c>
      <c r="I68" s="94">
        <f>SUM(SUMIFS('caseload data'!K:K,'caseload data'!$D:$D,"TPO",'caseload data'!$C:$C,'community caseload'!$B$64,'caseload data'!$B:$B,{"licence","community"}))</f>
        <v>0</v>
      </c>
      <c r="J68" s="94">
        <f>SUM(SUMIFS('caseload data'!L:L,'caseload data'!$D:$D,"TPO",'caseload data'!$C:$C,'community caseload'!$B$64,'caseload data'!$B:$B,{"licence","community"}))</f>
        <v>0</v>
      </c>
      <c r="K68" s="94">
        <f>SUM(SUMIFS('caseload data'!M:M,'caseload data'!$D:$D,"TPO",'caseload data'!$C:$C,'community caseload'!$B$64,'caseload data'!$B:$B,{"licence","community"}))</f>
        <v>0</v>
      </c>
      <c r="L68" s="94">
        <f>SUM(SUMIFS('caseload data'!N:N,'caseload data'!$D:$D,"TPO",'caseload data'!$C:$C,'community caseload'!$B$64,'caseload data'!$B:$B,{"licence","community"}))</f>
        <v>0</v>
      </c>
      <c r="M68" s="94">
        <f>SUM(SUMIFS('caseload data'!O:O,'caseload data'!$D:$D,"TPO",'caseload data'!$C:$C,'community caseload'!$B$64,'caseload data'!$B:$B,{"licence","community"}))</f>
        <v>0</v>
      </c>
      <c r="N68" s="94">
        <f>SUM(SUMIFS('caseload data'!P:P,'caseload data'!$D:$D,"TPO",'caseload data'!$C:$C,'community caseload'!$B$64,'caseload data'!$B:$B,{"licence","community"}))</f>
        <v>0</v>
      </c>
      <c r="O68" s="94">
        <f>SUM(SUMIFS('caseload data'!Q:Q,'caseload data'!$D:$D,"TPO",'caseload data'!$C:$C,'community caseload'!$B$64,'caseload data'!$B:$B,{"licence","community"}))</f>
        <v>0</v>
      </c>
      <c r="P68" s="94">
        <f>SUM(SUMIFS('caseload data'!R:R,'caseload data'!$D:$D,"TPO",'caseload data'!$C:$C,'community caseload'!$B$64,'caseload data'!$B:$B,{"licence","community"}))</f>
        <v>0</v>
      </c>
      <c r="Q68" s="94">
        <f>SUM(SUMIFS('caseload data'!S:S,'caseload data'!$D:$D,"TPO",'caseload data'!$C:$C,'community caseload'!$B$64,'caseload data'!$B:$B,{"licence","community"}))</f>
        <v>0</v>
      </c>
      <c r="R68" s="94">
        <f>SUM(SUMIFS('caseload data'!T:T,'caseload data'!$D:$D,"TPO",'caseload data'!$C:$C,'community caseload'!$B$64,'caseload data'!$B:$B,{"licence","community"}))</f>
        <v>0</v>
      </c>
      <c r="S68" s="64"/>
      <c r="T68" s="97" t="s">
        <v>1008</v>
      </c>
      <c r="U68" s="94">
        <f>SUM(SUMIFS('caseload data'!E:E,'caseload data'!$D:$D,"TPO",'caseload data'!$C:$C,'community caseload'!$T$64,'caseload data'!$B:$B,{"licence","community"}))</f>
        <v>0</v>
      </c>
      <c r="V68" s="94">
        <f>SUM(SUMIFS('caseload data'!F:F,'caseload data'!$D:$D,"TPO",'caseload data'!$C:$C,'community caseload'!$T$64,'caseload data'!$B:$B,{"licence","community"}))</f>
        <v>0</v>
      </c>
      <c r="W68" s="94">
        <f>SUM(SUMIFS('caseload data'!G:G,'caseload data'!$D:$D,"TPO",'caseload data'!$C:$C,'community caseload'!$T$64,'caseload data'!$B:$B,{"licence","community"}))</f>
        <v>0</v>
      </c>
      <c r="X68" s="94">
        <f>SUM(SUMIFS('caseload data'!H:H,'caseload data'!$D:$D,"TPO",'caseload data'!$C:$C,'community caseload'!$T$64,'caseload data'!$B:$B,{"licence","community"}))</f>
        <v>0</v>
      </c>
      <c r="Y68" s="94">
        <f>SUM(SUMIFS('caseload data'!I:I,'caseload data'!$D:$D,"TPO",'caseload data'!$C:$C,'community caseload'!$T$64,'caseload data'!$B:$B,{"licence","community"}))</f>
        <v>0</v>
      </c>
      <c r="Z68" s="94">
        <f>SUM(SUMIFS('caseload data'!J:J,'caseload data'!$D:$D,"TPO",'caseload data'!$C:$C,'community caseload'!$T$64,'caseload data'!$B:$B,{"licence","community"}))</f>
        <v>0</v>
      </c>
      <c r="AA68" s="94">
        <f>SUM(SUMIFS('caseload data'!K:K,'caseload data'!$D:$D,"TPO",'caseload data'!$C:$C,'community caseload'!$T$64,'caseload data'!$B:$B,{"licence","community"}))</f>
        <v>0</v>
      </c>
      <c r="AB68" s="94">
        <f>SUM(SUMIFS('caseload data'!L:L,'caseload data'!$D:$D,"TPO",'caseload data'!$C:$C,'community caseload'!$T$64,'caseload data'!$B:$B,{"licence","community"}))</f>
        <v>0</v>
      </c>
      <c r="AC68" s="94">
        <f>SUM(SUMIFS('caseload data'!M:M,'caseload data'!$D:$D,"TPO",'caseload data'!$C:$C,'community caseload'!$T$64,'caseload data'!$B:$B,{"licence","community"}))</f>
        <v>0</v>
      </c>
      <c r="AD68" s="94">
        <f>SUM(SUMIFS('caseload data'!N:N,'caseload data'!$D:$D,"TPO",'caseload data'!$C:$C,'community caseload'!$T$64,'caseload data'!$B:$B,{"licence","community"}))</f>
        <v>0</v>
      </c>
      <c r="AE68" s="94">
        <f>SUM(SUMIFS('caseload data'!O:O,'caseload data'!$D:$D,"TPO",'caseload data'!$C:$C,'community caseload'!$T$64,'caseload data'!$B:$B,{"licence","community"}))</f>
        <v>0</v>
      </c>
      <c r="AF68" s="94">
        <f>SUM(SUMIFS('caseload data'!P:P,'caseload data'!$D:$D,"TPO",'caseload data'!$C:$C,'community caseload'!$T$64,'caseload data'!$B:$B,{"licence","community"}))</f>
        <v>0</v>
      </c>
      <c r="AG68" s="94">
        <f>SUM(SUMIFS('caseload data'!Q:Q,'caseload data'!$D:$D,"TPO",'caseload data'!$C:$C,'community caseload'!$T$64,'caseload data'!$B:$B,{"licence","community"}))</f>
        <v>0</v>
      </c>
      <c r="AH68" s="94">
        <f>SUM(SUMIFS('caseload data'!R:R,'caseload data'!$D:$D,"TPO",'caseload data'!$C:$C,'community caseload'!$T$64,'caseload data'!$B:$B,{"licence","community"}))</f>
        <v>0</v>
      </c>
      <c r="AI68" s="94">
        <f>SUM(SUMIFS('caseload data'!S:S,'caseload data'!$D:$D,"TPO",'caseload data'!$C:$C,'community caseload'!$T$64,'caseload data'!$B:$B,{"licence","community"}))</f>
        <v>0</v>
      </c>
      <c r="AJ68" s="94">
        <f>SUM(SUMIFS('caseload data'!T:T,'caseload data'!$D:$D,"TPO",'caseload data'!$C:$C,'community caseload'!$T$64,'caseload data'!$B:$B,{"licence","community"}))</f>
        <v>0</v>
      </c>
    </row>
    <row r="69" spans="2:36" x14ac:dyDescent="0.15">
      <c r="B69" s="98" t="s">
        <v>1009</v>
      </c>
      <c r="C69" s="94">
        <f>SUM(SUMIFS('caseload data'!E:E,'caseload data'!$D:$D,"SPO",'caseload data'!$C:$C,'community caseload'!$B$64,'caseload data'!$B:$B,{"licence","community"}))</f>
        <v>0</v>
      </c>
      <c r="D69" s="94">
        <f>SUM(SUMIFS('caseload data'!F:F,'caseload data'!$D:$D,"SPO",'caseload data'!$C:$C,'community caseload'!$B$64,'caseload data'!$B:$B,{"licence","community"}))</f>
        <v>0</v>
      </c>
      <c r="E69" s="94">
        <f>SUM(SUMIFS('caseload data'!G:G,'caseload data'!$D:$D,"SPO",'caseload data'!$C:$C,'community caseload'!$B$64,'caseload data'!$B:$B,{"licence","community"}))</f>
        <v>0</v>
      </c>
      <c r="F69" s="94">
        <f>SUM(SUMIFS('caseload data'!H:H,'caseload data'!$D:$D,"SPO",'caseload data'!$C:$C,'community caseload'!$B$64,'caseload data'!$B:$B,{"licence","community"}))</f>
        <v>0</v>
      </c>
      <c r="G69" s="94">
        <f>SUM(SUMIFS('caseload data'!I:I,'caseload data'!$D:$D,"SPO",'caseload data'!$C:$C,'community caseload'!$B$64,'caseload data'!$B:$B,{"licence","community"}))</f>
        <v>0</v>
      </c>
      <c r="H69" s="94">
        <f>SUM(SUMIFS('caseload data'!J:J,'caseload data'!$D:$D,"SPO",'caseload data'!$C:$C,'community caseload'!$B$64,'caseload data'!$B:$B,{"licence","community"}))</f>
        <v>0</v>
      </c>
      <c r="I69" s="94">
        <f>SUM(SUMIFS('caseload data'!K:K,'caseload data'!$D:$D,"SPO",'caseload data'!$C:$C,'community caseload'!$B$64,'caseload data'!$B:$B,{"licence","community"}))</f>
        <v>0</v>
      </c>
      <c r="J69" s="94">
        <f>SUM(SUMIFS('caseload data'!L:L,'caseload data'!$D:$D,"SPO",'caseload data'!$C:$C,'community caseload'!$B$64,'caseload data'!$B:$B,{"licence","community"}))</f>
        <v>0</v>
      </c>
      <c r="K69" s="94">
        <f>SUM(SUMIFS('caseload data'!M:M,'caseload data'!$D:$D,"SPO",'caseload data'!$C:$C,'community caseload'!$B$64,'caseload data'!$B:$B,{"licence","community"}))</f>
        <v>0</v>
      </c>
      <c r="L69" s="94">
        <f>SUM(SUMIFS('caseload data'!N:N,'caseload data'!$D:$D,"SPO",'caseload data'!$C:$C,'community caseload'!$B$64,'caseload data'!$B:$B,{"licence","community"}))</f>
        <v>0</v>
      </c>
      <c r="M69" s="94">
        <f>SUM(SUMIFS('caseload data'!O:O,'caseload data'!$D:$D,"SPO",'caseload data'!$C:$C,'community caseload'!$B$64,'caseload data'!$B:$B,{"licence","community"}))</f>
        <v>0</v>
      </c>
      <c r="N69" s="94">
        <f>SUM(SUMIFS('caseload data'!P:P,'caseload data'!$D:$D,"SPO",'caseload data'!$C:$C,'community caseload'!$B$64,'caseload data'!$B:$B,{"licence","community"}))</f>
        <v>0</v>
      </c>
      <c r="O69" s="94">
        <f>SUM(SUMIFS('caseload data'!Q:Q,'caseload data'!$D:$D,"SPO",'caseload data'!$C:$C,'community caseload'!$B$64,'caseload data'!$B:$B,{"licence","community"}))</f>
        <v>0</v>
      </c>
      <c r="P69" s="94">
        <f>SUM(SUMIFS('caseload data'!R:R,'caseload data'!$D:$D,"SPO",'caseload data'!$C:$C,'community caseload'!$B$64,'caseload data'!$B:$B,{"licence","community"}))</f>
        <v>0</v>
      </c>
      <c r="Q69" s="94">
        <f>SUM(SUMIFS('caseload data'!S:S,'caseload data'!$D:$D,"SPO",'caseload data'!$C:$C,'community caseload'!$B$64,'caseload data'!$B:$B,{"licence","community"}))</f>
        <v>0</v>
      </c>
      <c r="R69" s="94">
        <f>SUM(SUMIFS('caseload data'!T:T,'caseload data'!$D:$D,"SPO",'caseload data'!$C:$C,'community caseload'!$B$64,'caseload data'!$B:$B,{"licence","community"}))</f>
        <v>0</v>
      </c>
      <c r="S69" s="64"/>
      <c r="T69" s="98" t="s">
        <v>1009</v>
      </c>
      <c r="U69" s="94">
        <f>SUM(SUMIFS('caseload data'!E:E,'caseload data'!$D:$D,"SPO",'caseload data'!$C:$C,'community caseload'!$T$64,'caseload data'!$B:$B,{"licence","community"}))</f>
        <v>0</v>
      </c>
      <c r="V69" s="94">
        <f>SUM(SUMIFS('caseload data'!F:F,'caseload data'!$D:$D,"SPO",'caseload data'!$C:$C,'community caseload'!$T$64,'caseload data'!$B:$B,{"licence","community"}))</f>
        <v>0</v>
      </c>
      <c r="W69" s="94">
        <f>SUM(SUMIFS('caseload data'!G:G,'caseload data'!$D:$D,"SPO",'caseload data'!$C:$C,'community caseload'!$T$64,'caseload data'!$B:$B,{"licence","community"}))</f>
        <v>0</v>
      </c>
      <c r="X69" s="94">
        <f>SUM(SUMIFS('caseload data'!H:H,'caseload data'!$D:$D,"SPO",'caseload data'!$C:$C,'community caseload'!$T$64,'caseload data'!$B:$B,{"licence","community"}))</f>
        <v>0</v>
      </c>
      <c r="Y69" s="94">
        <f>SUM(SUMIFS('caseload data'!I:I,'caseload data'!$D:$D,"SPO",'caseload data'!$C:$C,'community caseload'!$T$64,'caseload data'!$B:$B,{"licence","community"}))</f>
        <v>0</v>
      </c>
      <c r="Z69" s="94">
        <f>SUM(SUMIFS('caseload data'!J:J,'caseload data'!$D:$D,"SPO",'caseload data'!$C:$C,'community caseload'!$T$64,'caseload data'!$B:$B,{"licence","community"}))</f>
        <v>0</v>
      </c>
      <c r="AA69" s="94">
        <f>SUM(SUMIFS('caseload data'!K:K,'caseload data'!$D:$D,"SPO",'caseload data'!$C:$C,'community caseload'!$T$64,'caseload data'!$B:$B,{"licence","community"}))</f>
        <v>0</v>
      </c>
      <c r="AB69" s="94">
        <f>SUM(SUMIFS('caseload data'!L:L,'caseload data'!$D:$D,"SPO",'caseload data'!$C:$C,'community caseload'!$T$64,'caseload data'!$B:$B,{"licence","community"}))</f>
        <v>0</v>
      </c>
      <c r="AC69" s="94">
        <f>SUM(SUMIFS('caseload data'!M:M,'caseload data'!$D:$D,"SPO",'caseload data'!$C:$C,'community caseload'!$T$64,'caseload data'!$B:$B,{"licence","community"}))</f>
        <v>0</v>
      </c>
      <c r="AD69" s="94">
        <f>SUM(SUMIFS('caseload data'!N:N,'caseload data'!$D:$D,"SPO",'caseload data'!$C:$C,'community caseload'!$T$64,'caseload data'!$B:$B,{"licence","community"}))</f>
        <v>0</v>
      </c>
      <c r="AE69" s="94">
        <f>SUM(SUMIFS('caseload data'!O:O,'caseload data'!$D:$D,"SPO",'caseload data'!$C:$C,'community caseload'!$T$64,'caseload data'!$B:$B,{"licence","community"}))</f>
        <v>0</v>
      </c>
      <c r="AF69" s="94">
        <f>SUM(SUMIFS('caseload data'!P:P,'caseload data'!$D:$D,"SPO",'caseload data'!$C:$C,'community caseload'!$T$64,'caseload data'!$B:$B,{"licence","community"}))</f>
        <v>0</v>
      </c>
      <c r="AG69" s="94">
        <f>SUM(SUMIFS('caseload data'!Q:Q,'caseload data'!$D:$D,"SPO",'caseload data'!$C:$C,'community caseload'!$T$64,'caseload data'!$B:$B,{"licence","community"}))</f>
        <v>0</v>
      </c>
      <c r="AH69" s="94">
        <f>SUM(SUMIFS('caseload data'!R:R,'caseload data'!$D:$D,"SPO",'caseload data'!$C:$C,'community caseload'!$T$64,'caseload data'!$B:$B,{"licence","community"}))</f>
        <v>0</v>
      </c>
      <c r="AI69" s="94">
        <f>SUM(SUMIFS('caseload data'!S:S,'caseload data'!$D:$D,"SPO",'caseload data'!$C:$C,'community caseload'!$T$64,'caseload data'!$B:$B,{"licence","community"}))</f>
        <v>0</v>
      </c>
      <c r="AJ69" s="94">
        <f>SUM(SUMIFS('caseload data'!T:T,'caseload data'!$D:$D,"SPO",'caseload data'!$C:$C,'community caseload'!$T$64,'caseload data'!$B:$B,{"licence","community"}))</f>
        <v>0</v>
      </c>
    </row>
    <row r="71" spans="2:36" ht="24.75" customHeight="1" x14ac:dyDescent="0.15">
      <c r="B71" s="289">
        <f>HLOOKUP($B$5,Region_Table,20,0)</f>
        <v>0</v>
      </c>
      <c r="C71" s="507" t="s">
        <v>1135</v>
      </c>
      <c r="D71" s="508"/>
      <c r="E71" s="508"/>
      <c r="F71" s="508"/>
      <c r="G71" s="508"/>
      <c r="H71" s="508"/>
      <c r="I71" s="508"/>
      <c r="J71" s="508"/>
      <c r="K71" s="508"/>
      <c r="L71" s="508"/>
      <c r="M71" s="537"/>
      <c r="N71" s="537"/>
      <c r="O71" s="538"/>
      <c r="P71" s="510" cm="1">
        <f t="array" ref="P71">SUM(SUMIFS('caseload data'!V:V,'caseload data'!B:B,{"licence","community"},'caseload data'!$C:$C,'community caseload'!B71))</f>
        <v>0</v>
      </c>
      <c r="Q71" s="527"/>
      <c r="R71" s="528"/>
      <c r="S71" s="291"/>
      <c r="T71" s="289">
        <f>HLOOKUP($B$5,Region_Table,21,0)</f>
        <v>0</v>
      </c>
      <c r="U71" s="507" t="s">
        <v>1135</v>
      </c>
      <c r="V71" s="508"/>
      <c r="W71" s="508"/>
      <c r="X71" s="508"/>
      <c r="Y71" s="508"/>
      <c r="Z71" s="508"/>
      <c r="AA71" s="508"/>
      <c r="AB71" s="508"/>
      <c r="AC71" s="508"/>
      <c r="AD71" s="508"/>
      <c r="AE71" s="537"/>
      <c r="AF71" s="537"/>
      <c r="AG71" s="538"/>
      <c r="AH71" s="510" cm="1">
        <f t="array" ref="AH71">SUM(SUMIFS('caseload data'!V:V,'caseload data'!B:B,{"licence","community"},'caseload data'!$C:$C,'community caseload'!T71))</f>
        <v>0</v>
      </c>
      <c r="AI71" s="527"/>
      <c r="AJ71" s="528"/>
    </row>
    <row r="72" spans="2:36" x14ac:dyDescent="0.15">
      <c r="B72" s="95" t="s">
        <v>1005</v>
      </c>
      <c r="C72" s="38" t="s">
        <v>869</v>
      </c>
      <c r="D72" s="38" t="s">
        <v>870</v>
      </c>
      <c r="E72" s="38" t="s">
        <v>871</v>
      </c>
      <c r="F72" s="38" t="s">
        <v>872</v>
      </c>
      <c r="G72" s="38" t="s">
        <v>873</v>
      </c>
      <c r="H72" s="38" t="s">
        <v>874</v>
      </c>
      <c r="I72" s="38" t="s">
        <v>875</v>
      </c>
      <c r="J72" s="38" t="s">
        <v>876</v>
      </c>
      <c r="K72" s="38" t="s">
        <v>877</v>
      </c>
      <c r="L72" s="38" t="s">
        <v>878</v>
      </c>
      <c r="M72" s="38" t="s">
        <v>879</v>
      </c>
      <c r="N72" s="38" t="s">
        <v>880</v>
      </c>
      <c r="O72" s="38" t="s">
        <v>881</v>
      </c>
      <c r="P72" s="38" t="s">
        <v>882</v>
      </c>
      <c r="Q72" s="38" t="s">
        <v>883</v>
      </c>
      <c r="R72" s="38" t="s">
        <v>884</v>
      </c>
      <c r="T72" s="95" t="s">
        <v>1005</v>
      </c>
      <c r="U72" s="38" t="s">
        <v>869</v>
      </c>
      <c r="V72" s="38" t="s">
        <v>870</v>
      </c>
      <c r="W72" s="38" t="s">
        <v>871</v>
      </c>
      <c r="X72" s="38" t="s">
        <v>872</v>
      </c>
      <c r="Y72" s="38" t="s">
        <v>873</v>
      </c>
      <c r="Z72" s="38" t="s">
        <v>874</v>
      </c>
      <c r="AA72" s="38" t="s">
        <v>875</v>
      </c>
      <c r="AB72" s="38" t="s">
        <v>876</v>
      </c>
      <c r="AC72" s="38" t="s">
        <v>877</v>
      </c>
      <c r="AD72" s="38" t="s">
        <v>878</v>
      </c>
      <c r="AE72" s="38" t="s">
        <v>879</v>
      </c>
      <c r="AF72" s="38" t="s">
        <v>880</v>
      </c>
      <c r="AG72" s="38" t="s">
        <v>881</v>
      </c>
      <c r="AH72" s="38" t="s">
        <v>882</v>
      </c>
      <c r="AI72" s="38" t="s">
        <v>883</v>
      </c>
      <c r="AJ72" s="38" t="s">
        <v>884</v>
      </c>
    </row>
    <row r="73" spans="2:36" x14ac:dyDescent="0.15">
      <c r="B73" s="96" t="s">
        <v>1002</v>
      </c>
      <c r="C73" s="94">
        <f>SUM(SUMIFS('caseload data'!E:E,'caseload data'!$D:$D,"PO",'caseload data'!$C:$C,'community caseload'!$B$71,'caseload data'!$B:$B,{"licence","community"}))</f>
        <v>0</v>
      </c>
      <c r="D73" s="94">
        <f>SUM(SUMIFS('caseload data'!F:F,'caseload data'!$D:$D,"PO",'caseload data'!$C:$C,'community caseload'!$B$71,'caseload data'!$B:$B,{"licence","community"}))</f>
        <v>0</v>
      </c>
      <c r="E73" s="94">
        <f>SUM(SUMIFS('caseload data'!G:G,'caseload data'!$D:$D,"PO",'caseload data'!$C:$C,'community caseload'!$B$71,'caseload data'!$B:$B,{"licence","community"}))</f>
        <v>0</v>
      </c>
      <c r="F73" s="94">
        <f>SUM(SUMIFS('caseload data'!H:H,'caseload data'!$D:$D,"PO",'caseload data'!$C:$C,'community caseload'!$B$71,'caseload data'!$B:$B,{"licence","community"}))</f>
        <v>0</v>
      </c>
      <c r="G73" s="94">
        <f>SUM(SUMIFS('caseload data'!I:I,'caseload data'!$D:$D,"PO",'caseload data'!$C:$C,'community caseload'!$B$71,'caseload data'!$B:$B,{"licence","community"}))</f>
        <v>0</v>
      </c>
      <c r="H73" s="94">
        <f>SUM(SUMIFS('caseload data'!J:J,'caseload data'!$D:$D,"PO",'caseload data'!$C:$C,'community caseload'!$B$71,'caseload data'!$B:$B,{"licence","community"}))</f>
        <v>0</v>
      </c>
      <c r="I73" s="94">
        <f>SUM(SUMIFS('caseload data'!K:K,'caseload data'!$D:$D,"PO",'caseload data'!$C:$C,'community caseload'!$B$71,'caseload data'!$B:$B,{"licence","community"}))</f>
        <v>0</v>
      </c>
      <c r="J73" s="94">
        <f>SUM(SUMIFS('caseload data'!L:L,'caseload data'!$D:$D,"PO",'caseload data'!$C:$C,'community caseload'!$B$71,'caseload data'!$B:$B,{"licence","community"}))</f>
        <v>0</v>
      </c>
      <c r="K73" s="94">
        <f>SUM(SUMIFS('caseload data'!M:M,'caseload data'!$D:$D,"PO",'caseload data'!$C:$C,'community caseload'!$B$71,'caseload data'!$B:$B,{"licence","community"}))</f>
        <v>0</v>
      </c>
      <c r="L73" s="94">
        <f>SUM(SUMIFS('caseload data'!N:N,'caseload data'!$D:$D,"PO",'caseload data'!$C:$C,'community caseload'!$B$71,'caseload data'!$B:$B,{"licence","community"}))</f>
        <v>0</v>
      </c>
      <c r="M73" s="94">
        <f>SUM(SUMIFS('caseload data'!O:O,'caseload data'!$D:$D,"PO",'caseload data'!$C:$C,'community caseload'!$B$71,'caseload data'!$B:$B,{"licence","community"}))</f>
        <v>0</v>
      </c>
      <c r="N73" s="94">
        <f>SUM(SUMIFS('caseload data'!P:P,'caseload data'!$D:$D,"PO",'caseload data'!$C:$C,'community caseload'!$B$71,'caseload data'!$B:$B,{"licence","community"}))</f>
        <v>0</v>
      </c>
      <c r="O73" s="94">
        <f>SUM(SUMIFS('caseload data'!Q:Q,'caseload data'!$D:$D,"PO",'caseload data'!$C:$C,'community caseload'!$B$71,'caseload data'!$B:$B,{"licence","community"}))</f>
        <v>0</v>
      </c>
      <c r="P73" s="94">
        <f>SUM(SUMIFS('caseload data'!R:R,'caseload data'!$D:$D,"PO",'caseload data'!$C:$C,'community caseload'!$B$71,'caseload data'!$B:$B,{"licence","community"}))</f>
        <v>0</v>
      </c>
      <c r="Q73" s="94">
        <f>SUM(SUMIFS('caseload data'!S:S,'caseload data'!$D:$D,"PO",'caseload data'!$C:$C,'community caseload'!$B$71,'caseload data'!$B:$B,{"licence","community"}))</f>
        <v>0</v>
      </c>
      <c r="R73" s="94">
        <f>SUM(SUMIFS('caseload data'!T:T,'caseload data'!$D:$D,"PO",'caseload data'!$C:$C,'community caseload'!$B$71,'caseload data'!$B:$B,{"licence","community"}))</f>
        <v>0</v>
      </c>
      <c r="T73" s="96" t="s">
        <v>1002</v>
      </c>
      <c r="U73" s="94" cm="1">
        <f t="array" ref="U73">SUM(SUMIFS('caseload data'!E:E,'caseload data'!$D:$D,"PO",'caseload data'!$C:$C,'community caseload'!$T$71,'caseload data'!$B:$B,{"licence","community"}))</f>
        <v>0</v>
      </c>
      <c r="V73" s="94" cm="1">
        <f t="array" ref="V73">SUM(SUMIFS('caseload data'!F:F,'caseload data'!$D:$D,"PO",'caseload data'!$C:$C,'community caseload'!$T$71,'caseload data'!$B:$B,{"licence","community"}))</f>
        <v>0</v>
      </c>
      <c r="W73" s="94" cm="1">
        <f t="array" ref="W73">SUM(SUMIFS('caseload data'!G:G,'caseload data'!$D:$D,"PO",'caseload data'!$C:$C,'community caseload'!$T$71,'caseload data'!$B:$B,{"licence","community"}))</f>
        <v>0</v>
      </c>
      <c r="X73" s="94" cm="1">
        <f t="array" ref="X73">SUM(SUMIFS('caseload data'!H:H,'caseload data'!$D:$D,"PO",'caseload data'!$C:$C,'community caseload'!$T$71,'caseload data'!$B:$B,{"licence","community"}))</f>
        <v>0</v>
      </c>
      <c r="Y73" s="94" cm="1">
        <f t="array" ref="Y73">SUM(SUMIFS('caseload data'!I:I,'caseload data'!$D:$D,"PO",'caseload data'!$C:$C,'community caseload'!$T$71,'caseload data'!$B:$B,{"licence","community"}))</f>
        <v>0</v>
      </c>
      <c r="Z73" s="94" cm="1">
        <f t="array" ref="Z73">SUM(SUMIFS('caseload data'!J:J,'caseload data'!$D:$D,"PO",'caseload data'!$C:$C,'community caseload'!$T$71,'caseload data'!$B:$B,{"licence","community"}))</f>
        <v>0</v>
      </c>
      <c r="AA73" s="94" cm="1">
        <f t="array" ref="AA73">SUM(SUMIFS('caseload data'!K:K,'caseload data'!$D:$D,"PO",'caseload data'!$C:$C,'community caseload'!$T$71,'caseload data'!$B:$B,{"licence","community"}))</f>
        <v>0</v>
      </c>
      <c r="AB73" s="94" cm="1">
        <f t="array" ref="AB73">SUM(SUMIFS('caseload data'!L:L,'caseload data'!$D:$D,"PO",'caseload data'!$C:$C,'community caseload'!$T$71,'caseload data'!$B:$B,{"licence","community"}))</f>
        <v>0</v>
      </c>
      <c r="AC73" s="94" cm="1">
        <f t="array" ref="AC73">SUM(SUMIFS('caseload data'!M:M,'caseload data'!$D:$D,"PO",'caseload data'!$C:$C,'community caseload'!$T$71,'caseload data'!$B:$B,{"licence","community"}))</f>
        <v>0</v>
      </c>
      <c r="AD73" s="94" cm="1">
        <f t="array" ref="AD73">SUM(SUMIFS('caseload data'!N:N,'caseload data'!$D:$D,"PO",'caseload data'!$C:$C,'community caseload'!$T$71,'caseload data'!$B:$B,{"licence","community"}))</f>
        <v>0</v>
      </c>
      <c r="AE73" s="94" cm="1">
        <f t="array" ref="AE73">SUM(SUMIFS('caseload data'!O:O,'caseload data'!$D:$D,"PO",'caseload data'!$C:$C,'community caseload'!$T$71,'caseload data'!$B:$B,{"licence","community"}))</f>
        <v>0</v>
      </c>
      <c r="AF73" s="94" cm="1">
        <f t="array" ref="AF73">SUM(SUMIFS('caseload data'!P:P,'caseload data'!$D:$D,"PO",'caseload data'!$C:$C,'community caseload'!$T$71,'caseload data'!$B:$B,{"licence","community"}))</f>
        <v>0</v>
      </c>
      <c r="AG73" s="94" cm="1">
        <f t="array" ref="AG73">SUM(SUMIFS('caseload data'!Q:Q,'caseload data'!$D:$D,"PO",'caseload data'!$C:$C,'community caseload'!$T$71,'caseload data'!$B:$B,{"licence","community"}))</f>
        <v>0</v>
      </c>
      <c r="AH73" s="94" cm="1">
        <f t="array" ref="AH73">SUM(SUMIFS('caseload data'!R:R,'caseload data'!$D:$D,"PO",'caseload data'!$C:$C,'community caseload'!$T$71,'caseload data'!$B:$B,{"licence","community"}))</f>
        <v>0</v>
      </c>
      <c r="AI73" s="94" cm="1">
        <f t="array" ref="AI73">SUM(SUMIFS('caseload data'!S:S,'caseload data'!$D:$D,"PO",'caseload data'!$C:$C,'community caseload'!$T$71,'caseload data'!$B:$B,{"licence","community"}))</f>
        <v>0</v>
      </c>
      <c r="AJ73" s="94" cm="1">
        <f t="array" ref="AJ73">SUM(SUMIFS('caseload data'!T:T,'caseload data'!$D:$D,"PO",'caseload data'!$C:$C,'community caseload'!$T$71,'caseload data'!$B:$B,{"licence","community"}))</f>
        <v>0</v>
      </c>
    </row>
    <row r="74" spans="2:36" x14ac:dyDescent="0.15">
      <c r="B74" s="97" t="s">
        <v>1007</v>
      </c>
      <c r="C74" s="94">
        <f>SUM(SUMIFS('caseload data'!E:E,'caseload data'!$D:$D,"PSO",'caseload data'!$C:$C,'community caseload'!$B$71,'caseload data'!$B:$B,{"licence","community"}))</f>
        <v>0</v>
      </c>
      <c r="D74" s="94">
        <f>SUM(SUMIFS('caseload data'!F:F,'caseload data'!$D:$D,"PSO",'caseload data'!$C:$C,'community caseload'!$B$71,'caseload data'!$B:$B,{"licence","community"}))</f>
        <v>0</v>
      </c>
      <c r="E74" s="94">
        <f>SUM(SUMIFS('caseload data'!G:G,'caseload data'!$D:$D,"PSO",'caseload data'!$C:$C,'community caseload'!$B$71,'caseload data'!$B:$B,{"licence","community"}))</f>
        <v>0</v>
      </c>
      <c r="F74" s="94">
        <f>SUM(SUMIFS('caseload data'!H:H,'caseload data'!$D:$D,"PSO",'caseload data'!$C:$C,'community caseload'!$B$71,'caseload data'!$B:$B,{"licence","community"}))</f>
        <v>0</v>
      </c>
      <c r="G74" s="94">
        <f>SUM(SUMIFS('caseload data'!I:I,'caseload data'!$D:$D,"PSO",'caseload data'!$C:$C,'community caseload'!$B$71,'caseload data'!$B:$B,{"licence","community"}))</f>
        <v>0</v>
      </c>
      <c r="H74" s="94">
        <f>SUM(SUMIFS('caseload data'!J:J,'caseload data'!$D:$D,"PSO",'caseload data'!$C:$C,'community caseload'!$B$71,'caseload data'!$B:$B,{"licence","community"}))</f>
        <v>0</v>
      </c>
      <c r="I74" s="94">
        <f>SUM(SUMIFS('caseload data'!K:K,'caseload data'!$D:$D,"PSO",'caseload data'!$C:$C,'community caseload'!$B$71,'caseload data'!$B:$B,{"licence","community"}))</f>
        <v>0</v>
      </c>
      <c r="J74" s="94">
        <f>SUM(SUMIFS('caseload data'!L:L,'caseload data'!$D:$D,"PSO",'caseload data'!$C:$C,'community caseload'!$B$71,'caseload data'!$B:$B,{"licence","community"}))</f>
        <v>0</v>
      </c>
      <c r="K74" s="94">
        <f>SUM(SUMIFS('caseload data'!M:M,'caseload data'!$D:$D,"PSO",'caseload data'!$C:$C,'community caseload'!$B$71,'caseload data'!$B:$B,{"licence","community"}))</f>
        <v>0</v>
      </c>
      <c r="L74" s="94">
        <f>SUM(SUMIFS('caseload data'!N:N,'caseload data'!$D:$D,"PSO",'caseload data'!$C:$C,'community caseload'!$B$71,'caseload data'!$B:$B,{"licence","community"}))</f>
        <v>0</v>
      </c>
      <c r="M74" s="94">
        <f>SUM(SUMIFS('caseload data'!O:O,'caseload data'!$D:$D,"PSO",'caseload data'!$C:$C,'community caseload'!$B$71,'caseload data'!$B:$B,{"licence","community"}))</f>
        <v>0</v>
      </c>
      <c r="N74" s="94">
        <f>SUM(SUMIFS('caseload data'!P:P,'caseload data'!$D:$D,"PSO",'caseload data'!$C:$C,'community caseload'!$B$71,'caseload data'!$B:$B,{"licence","community"}))</f>
        <v>0</v>
      </c>
      <c r="O74" s="94">
        <f>SUM(SUMIFS('caseload data'!Q:Q,'caseload data'!$D:$D,"PSO",'caseload data'!$C:$C,'community caseload'!$B$71,'caseload data'!$B:$B,{"licence","community"}))</f>
        <v>0</v>
      </c>
      <c r="P74" s="94">
        <f>SUM(SUMIFS('caseload data'!R:R,'caseload data'!$D:$D,"PSO",'caseload data'!$C:$C,'community caseload'!$B$71,'caseload data'!$B:$B,{"licence","community"}))</f>
        <v>0</v>
      </c>
      <c r="Q74" s="94">
        <f>SUM(SUMIFS('caseload data'!S:S,'caseload data'!$D:$D,"PSO",'caseload data'!$C:$C,'community caseload'!$B$71,'caseload data'!$B:$B,{"licence","community"}))</f>
        <v>0</v>
      </c>
      <c r="R74" s="94">
        <f>SUM(SUMIFS('caseload data'!T:T,'caseload data'!$D:$D,"PSO",'caseload data'!$C:$C,'community caseload'!$B$71,'caseload data'!$B:$B,{"licence","community"}))</f>
        <v>0</v>
      </c>
      <c r="T74" s="97" t="s">
        <v>1007</v>
      </c>
      <c r="U74" s="94" cm="1">
        <f t="array" ref="U74">SUM(SUMIFS('caseload data'!E:E,'caseload data'!$D:$D,"PSO",'caseload data'!$C:$C,'community caseload'!$T$71,'caseload data'!$B:$B,{"licence","community"}))</f>
        <v>0</v>
      </c>
      <c r="V74" s="94" cm="1">
        <f t="array" ref="V74">SUM(SUMIFS('caseload data'!F:F,'caseload data'!$D:$D,"PSO",'caseload data'!$C:$C,'community caseload'!$T$71,'caseload data'!$B:$B,{"licence","community"}))</f>
        <v>0</v>
      </c>
      <c r="W74" s="94" cm="1">
        <f t="array" ref="W74">SUM(SUMIFS('caseload data'!G:G,'caseload data'!$D:$D,"PSO",'caseload data'!$C:$C,'community caseload'!$T$71,'caseload data'!$B:$B,{"licence","community"}))</f>
        <v>0</v>
      </c>
      <c r="X74" s="94" cm="1">
        <f t="array" ref="X74">SUM(SUMIFS('caseload data'!H:H,'caseload data'!$D:$D,"PSO",'caseload data'!$C:$C,'community caseload'!$T$71,'caseload data'!$B:$B,{"licence","community"}))</f>
        <v>0</v>
      </c>
      <c r="Y74" s="94" cm="1">
        <f t="array" ref="Y74">SUM(SUMIFS('caseload data'!I:I,'caseload data'!$D:$D,"PSO",'caseload data'!$C:$C,'community caseload'!$T$71,'caseload data'!$B:$B,{"licence","community"}))</f>
        <v>0</v>
      </c>
      <c r="Z74" s="94" cm="1">
        <f t="array" ref="Z74">SUM(SUMIFS('caseload data'!J:J,'caseload data'!$D:$D,"PSO",'caseload data'!$C:$C,'community caseload'!$T$71,'caseload data'!$B:$B,{"licence","community"}))</f>
        <v>0</v>
      </c>
      <c r="AA74" s="94" cm="1">
        <f t="array" ref="AA74">SUM(SUMIFS('caseload data'!K:K,'caseload data'!$D:$D,"PSO",'caseload data'!$C:$C,'community caseload'!$T$71,'caseload data'!$B:$B,{"licence","community"}))</f>
        <v>0</v>
      </c>
      <c r="AB74" s="94" cm="1">
        <f t="array" ref="AB74">SUM(SUMIFS('caseload data'!L:L,'caseload data'!$D:$D,"PSO",'caseload data'!$C:$C,'community caseload'!$T$71,'caseload data'!$B:$B,{"licence","community"}))</f>
        <v>0</v>
      </c>
      <c r="AC74" s="94" cm="1">
        <f t="array" ref="AC74">SUM(SUMIFS('caseload data'!M:M,'caseload data'!$D:$D,"PSO",'caseload data'!$C:$C,'community caseload'!$T$71,'caseload data'!$B:$B,{"licence","community"}))</f>
        <v>0</v>
      </c>
      <c r="AD74" s="94" cm="1">
        <f t="array" ref="AD74">SUM(SUMIFS('caseload data'!N:N,'caseload data'!$D:$D,"PSO",'caseload data'!$C:$C,'community caseload'!$T$71,'caseload data'!$B:$B,{"licence","community"}))</f>
        <v>0</v>
      </c>
      <c r="AE74" s="94" cm="1">
        <f t="array" ref="AE74">SUM(SUMIFS('caseload data'!O:O,'caseload data'!$D:$D,"PSO",'caseload data'!$C:$C,'community caseload'!$T$71,'caseload data'!$B:$B,{"licence","community"}))</f>
        <v>0</v>
      </c>
      <c r="AF74" s="94" cm="1">
        <f t="array" ref="AF74">SUM(SUMIFS('caseload data'!P:P,'caseload data'!$D:$D,"PSO",'caseload data'!$C:$C,'community caseload'!$T$71,'caseload data'!$B:$B,{"licence","community"}))</f>
        <v>0</v>
      </c>
      <c r="AG74" s="94" cm="1">
        <f t="array" ref="AG74">SUM(SUMIFS('caseload data'!Q:Q,'caseload data'!$D:$D,"PSO",'caseload data'!$C:$C,'community caseload'!$T$71,'caseload data'!$B:$B,{"licence","community"}))</f>
        <v>0</v>
      </c>
      <c r="AH74" s="94" cm="1">
        <f t="array" ref="AH74">SUM(SUMIFS('caseload data'!R:R,'caseload data'!$D:$D,"PSO",'caseload data'!$C:$C,'community caseload'!$T$71,'caseload data'!$B:$B,{"licence","community"}))</f>
        <v>0</v>
      </c>
      <c r="AI74" s="94" cm="1">
        <f t="array" ref="AI74">SUM(SUMIFS('caseload data'!S:S,'caseload data'!$D:$D,"PSO",'caseload data'!$C:$C,'community caseload'!$T$71,'caseload data'!$B:$B,{"licence","community"}))</f>
        <v>0</v>
      </c>
      <c r="AJ74" s="94" cm="1">
        <f t="array" ref="AJ74">SUM(SUMIFS('caseload data'!T:T,'caseload data'!$D:$D,"PSO",'caseload data'!$C:$C,'community caseload'!$T$71,'caseload data'!$B:$B,{"licence","community"}))</f>
        <v>0</v>
      </c>
    </row>
    <row r="75" spans="2:36" x14ac:dyDescent="0.15">
      <c r="B75" s="97" t="s">
        <v>1008</v>
      </c>
      <c r="C75" s="94">
        <f>SUM(SUMIFS('caseload data'!E:E,'caseload data'!$D:$D,"TPO",'caseload data'!$C:$C,'community caseload'!$B$71,'caseload data'!$B:$B,{"licence","community"}))</f>
        <v>0</v>
      </c>
      <c r="D75" s="94">
        <f>SUM(SUMIFS('caseload data'!F:F,'caseload data'!$D:$D,"TPO",'caseload data'!$C:$C,'community caseload'!$B$71,'caseload data'!$B:$B,{"licence","community"}))</f>
        <v>0</v>
      </c>
      <c r="E75" s="94">
        <f>SUM(SUMIFS('caseload data'!G:G,'caseload data'!$D:$D,"TPO",'caseload data'!$C:$C,'community caseload'!$B$71,'caseload data'!$B:$B,{"licence","community"}))</f>
        <v>0</v>
      </c>
      <c r="F75" s="94">
        <f>SUM(SUMIFS('caseload data'!H:H,'caseload data'!$D:$D,"TPO",'caseload data'!$C:$C,'community caseload'!$B$71,'caseload data'!$B:$B,{"licence","community"}))</f>
        <v>0</v>
      </c>
      <c r="G75" s="94">
        <f>SUM(SUMIFS('caseload data'!I:I,'caseload data'!$D:$D,"TPO",'caseload data'!$C:$C,'community caseload'!$B$71,'caseload data'!$B:$B,{"licence","community"}))</f>
        <v>0</v>
      </c>
      <c r="H75" s="94">
        <f>SUM(SUMIFS('caseload data'!J:J,'caseload data'!$D:$D,"TPO",'caseload data'!$C:$C,'community caseload'!$B$71,'caseload data'!$B:$B,{"licence","community"}))</f>
        <v>0</v>
      </c>
      <c r="I75" s="94">
        <f>SUM(SUMIFS('caseload data'!K:K,'caseload data'!$D:$D,"TPO",'caseload data'!$C:$C,'community caseload'!$B$71,'caseload data'!$B:$B,{"licence","community"}))</f>
        <v>0</v>
      </c>
      <c r="J75" s="94">
        <f>SUM(SUMIFS('caseload data'!L:L,'caseload data'!$D:$D,"TPO",'caseload data'!$C:$C,'community caseload'!$B$71,'caseload data'!$B:$B,{"licence","community"}))</f>
        <v>0</v>
      </c>
      <c r="K75" s="94">
        <f>SUM(SUMIFS('caseload data'!M:M,'caseload data'!$D:$D,"TPO",'caseload data'!$C:$C,'community caseload'!$B$71,'caseload data'!$B:$B,{"licence","community"}))</f>
        <v>0</v>
      </c>
      <c r="L75" s="94">
        <f>SUM(SUMIFS('caseload data'!N:N,'caseload data'!$D:$D,"TPO",'caseload data'!$C:$C,'community caseload'!$B$71,'caseload data'!$B:$B,{"licence","community"}))</f>
        <v>0</v>
      </c>
      <c r="M75" s="94">
        <f>SUM(SUMIFS('caseload data'!O:O,'caseload data'!$D:$D,"TPO",'caseload data'!$C:$C,'community caseload'!$B$71,'caseload data'!$B:$B,{"licence","community"}))</f>
        <v>0</v>
      </c>
      <c r="N75" s="94">
        <f>SUM(SUMIFS('caseload data'!P:P,'caseload data'!$D:$D,"TPO",'caseload data'!$C:$C,'community caseload'!$B$71,'caseload data'!$B:$B,{"licence","community"}))</f>
        <v>0</v>
      </c>
      <c r="O75" s="94">
        <f>SUM(SUMIFS('caseload data'!Q:Q,'caseload data'!$D:$D,"TPO",'caseload data'!$C:$C,'community caseload'!$B$71,'caseload data'!$B:$B,{"licence","community"}))</f>
        <v>0</v>
      </c>
      <c r="P75" s="94">
        <f>SUM(SUMIFS('caseload data'!R:R,'caseload data'!$D:$D,"TPO",'caseload data'!$C:$C,'community caseload'!$B$71,'caseload data'!$B:$B,{"licence","community"}))</f>
        <v>0</v>
      </c>
      <c r="Q75" s="94">
        <f>SUM(SUMIFS('caseload data'!S:S,'caseload data'!$D:$D,"TPO",'caseload data'!$C:$C,'community caseload'!$B$71,'caseload data'!$B:$B,{"licence","community"}))</f>
        <v>0</v>
      </c>
      <c r="R75" s="94">
        <f>SUM(SUMIFS('caseload data'!T:T,'caseload data'!$D:$D,"TPO",'caseload data'!$C:$C,'community caseload'!$B$71,'caseload data'!$B:$B,{"licence","community"}))</f>
        <v>0</v>
      </c>
      <c r="T75" s="97" t="s">
        <v>1008</v>
      </c>
      <c r="U75" s="94" cm="1">
        <f t="array" ref="U75">SUM(SUMIFS('caseload data'!E:E,'caseload data'!$D:$D,"TPO",'caseload data'!$C:$C,'community caseload'!$T$71,'caseload data'!$B:$B,{"licence","community"}))</f>
        <v>0</v>
      </c>
      <c r="V75" s="94" cm="1">
        <f t="array" ref="V75">SUM(SUMIFS('caseload data'!F:F,'caseload data'!$D:$D,"TPO",'caseload data'!$C:$C,'community caseload'!$T$71,'caseload data'!$B:$B,{"licence","community"}))</f>
        <v>0</v>
      </c>
      <c r="W75" s="94" cm="1">
        <f t="array" ref="W75">SUM(SUMIFS('caseload data'!G:G,'caseload data'!$D:$D,"TPO",'caseload data'!$C:$C,'community caseload'!$T$71,'caseload data'!$B:$B,{"licence","community"}))</f>
        <v>0</v>
      </c>
      <c r="X75" s="94" cm="1">
        <f t="array" ref="X75">SUM(SUMIFS('caseload data'!H:H,'caseload data'!$D:$D,"TPO",'caseload data'!$C:$C,'community caseload'!$T$71,'caseload data'!$B:$B,{"licence","community"}))</f>
        <v>0</v>
      </c>
      <c r="Y75" s="94" cm="1">
        <f t="array" ref="Y75">SUM(SUMIFS('caseload data'!I:I,'caseload data'!$D:$D,"TPO",'caseload data'!$C:$C,'community caseload'!$T$71,'caseload data'!$B:$B,{"licence","community"}))</f>
        <v>0</v>
      </c>
      <c r="Z75" s="94" cm="1">
        <f t="array" ref="Z75">SUM(SUMIFS('caseload data'!J:J,'caseload data'!$D:$D,"TPO",'caseload data'!$C:$C,'community caseload'!$T$71,'caseload data'!$B:$B,{"licence","community"}))</f>
        <v>0</v>
      </c>
      <c r="AA75" s="94" cm="1">
        <f t="array" ref="AA75">SUM(SUMIFS('caseload data'!K:K,'caseload data'!$D:$D,"TPO",'caseload data'!$C:$C,'community caseload'!$T$71,'caseload data'!$B:$B,{"licence","community"}))</f>
        <v>0</v>
      </c>
      <c r="AB75" s="94" cm="1">
        <f t="array" ref="AB75">SUM(SUMIFS('caseload data'!L:L,'caseload data'!$D:$D,"TPO",'caseload data'!$C:$C,'community caseload'!$T$71,'caseload data'!$B:$B,{"licence","community"}))</f>
        <v>0</v>
      </c>
      <c r="AC75" s="94" cm="1">
        <f t="array" ref="AC75">SUM(SUMIFS('caseload data'!M:M,'caseload data'!$D:$D,"TPO",'caseload data'!$C:$C,'community caseload'!$T$71,'caseload data'!$B:$B,{"licence","community"}))</f>
        <v>0</v>
      </c>
      <c r="AD75" s="94" cm="1">
        <f t="array" ref="AD75">SUM(SUMIFS('caseload data'!N:N,'caseload data'!$D:$D,"TPO",'caseload data'!$C:$C,'community caseload'!$T$71,'caseload data'!$B:$B,{"licence","community"}))</f>
        <v>0</v>
      </c>
      <c r="AE75" s="94" cm="1">
        <f t="array" ref="AE75">SUM(SUMIFS('caseload data'!O:O,'caseload data'!$D:$D,"TPO",'caseload data'!$C:$C,'community caseload'!$T$71,'caseload data'!$B:$B,{"licence","community"}))</f>
        <v>0</v>
      </c>
      <c r="AF75" s="94" cm="1">
        <f t="array" ref="AF75">SUM(SUMIFS('caseload data'!P:P,'caseload data'!$D:$D,"TPO",'caseload data'!$C:$C,'community caseload'!$T$71,'caseload data'!$B:$B,{"licence","community"}))</f>
        <v>0</v>
      </c>
      <c r="AG75" s="94" cm="1">
        <f t="array" ref="AG75">SUM(SUMIFS('caseload data'!Q:Q,'caseload data'!$D:$D,"TPO",'caseload data'!$C:$C,'community caseload'!$T$71,'caseload data'!$B:$B,{"licence","community"}))</f>
        <v>0</v>
      </c>
      <c r="AH75" s="94" cm="1">
        <f t="array" ref="AH75">SUM(SUMIFS('caseload data'!R:R,'caseload data'!$D:$D,"TPO",'caseload data'!$C:$C,'community caseload'!$T$71,'caseload data'!$B:$B,{"licence","community"}))</f>
        <v>0</v>
      </c>
      <c r="AI75" s="94" cm="1">
        <f t="array" ref="AI75">SUM(SUMIFS('caseload data'!S:S,'caseload data'!$D:$D,"TPO",'caseload data'!$C:$C,'community caseload'!$T$71,'caseload data'!$B:$B,{"licence","community"}))</f>
        <v>0</v>
      </c>
      <c r="AJ75" s="94" cm="1">
        <f t="array" ref="AJ75">SUM(SUMIFS('caseload data'!T:T,'caseload data'!$D:$D,"TPO",'caseload data'!$C:$C,'community caseload'!$T$71,'caseload data'!$B:$B,{"licence","community"}))</f>
        <v>0</v>
      </c>
    </row>
    <row r="76" spans="2:36" x14ac:dyDescent="0.15">
      <c r="B76" s="98" t="s">
        <v>1009</v>
      </c>
      <c r="C76" s="94">
        <f>SUM(SUMIFS('caseload data'!E:E,'caseload data'!$D:$D,"SPO",'caseload data'!$C:$C,'community caseload'!$B$71,'caseload data'!$B:$B,{"licence","community"}))</f>
        <v>0</v>
      </c>
      <c r="D76" s="94">
        <f>SUM(SUMIFS('caseload data'!F:F,'caseload data'!$D:$D,"SPO",'caseload data'!$C:$C,'community caseload'!$B$71,'caseload data'!$B:$B,{"licence","community"}))</f>
        <v>0</v>
      </c>
      <c r="E76" s="94">
        <f>SUM(SUMIFS('caseload data'!G:G,'caseload data'!$D:$D,"SPO",'caseload data'!$C:$C,'community caseload'!$B$71,'caseload data'!$B:$B,{"licence","community"}))</f>
        <v>0</v>
      </c>
      <c r="F76" s="94">
        <f>SUM(SUMIFS('caseload data'!H:H,'caseload data'!$D:$D,"SPO",'caseload data'!$C:$C,'community caseload'!$B$71,'caseload data'!$B:$B,{"licence","community"}))</f>
        <v>0</v>
      </c>
      <c r="G76" s="94">
        <f>SUM(SUMIFS('caseload data'!I:I,'caseload data'!$D:$D,"SPO",'caseload data'!$C:$C,'community caseload'!$B$71,'caseload data'!$B:$B,{"licence","community"}))</f>
        <v>0</v>
      </c>
      <c r="H76" s="94">
        <f>SUM(SUMIFS('caseload data'!J:J,'caseload data'!$D:$D,"SPO",'caseload data'!$C:$C,'community caseload'!$B$71,'caseload data'!$B:$B,{"licence","community"}))</f>
        <v>0</v>
      </c>
      <c r="I76" s="94">
        <f>SUM(SUMIFS('caseload data'!K:K,'caseload data'!$D:$D,"SPO",'caseload data'!$C:$C,'community caseload'!$B$71,'caseload data'!$B:$B,{"licence","community"}))</f>
        <v>0</v>
      </c>
      <c r="J76" s="94">
        <f>SUM(SUMIFS('caseload data'!L:L,'caseload data'!$D:$D,"SPO",'caseload data'!$C:$C,'community caseload'!$B$71,'caseload data'!$B:$B,{"licence","community"}))</f>
        <v>0</v>
      </c>
      <c r="K76" s="94">
        <f>SUM(SUMIFS('caseload data'!M:M,'caseload data'!$D:$D,"SPO",'caseload data'!$C:$C,'community caseload'!$B$71,'caseload data'!$B:$B,{"licence","community"}))</f>
        <v>0</v>
      </c>
      <c r="L76" s="94">
        <f>SUM(SUMIFS('caseload data'!N:N,'caseload data'!$D:$D,"SPO",'caseload data'!$C:$C,'community caseload'!$B$71,'caseload data'!$B:$B,{"licence","community"}))</f>
        <v>0</v>
      </c>
      <c r="M76" s="94">
        <f>SUM(SUMIFS('caseload data'!O:O,'caseload data'!$D:$D,"SPO",'caseload data'!$C:$C,'community caseload'!$B$71,'caseload data'!$B:$B,{"licence","community"}))</f>
        <v>0</v>
      </c>
      <c r="N76" s="94">
        <f>SUM(SUMIFS('caseload data'!P:P,'caseload data'!$D:$D,"SPO",'caseload data'!$C:$C,'community caseload'!$B$71,'caseload data'!$B:$B,{"licence","community"}))</f>
        <v>0</v>
      </c>
      <c r="O76" s="94">
        <f>SUM(SUMIFS('caseload data'!Q:Q,'caseload data'!$D:$D,"SPO",'caseload data'!$C:$C,'community caseload'!$B$71,'caseload data'!$B:$B,{"licence","community"}))</f>
        <v>0</v>
      </c>
      <c r="P76" s="94">
        <f>SUM(SUMIFS('caseload data'!R:R,'caseload data'!$D:$D,"SPO",'caseload data'!$C:$C,'community caseload'!$B$71,'caseload data'!$B:$B,{"licence","community"}))</f>
        <v>0</v>
      </c>
      <c r="Q76" s="94">
        <f>SUM(SUMIFS('caseload data'!S:S,'caseload data'!$D:$D,"SPO",'caseload data'!$C:$C,'community caseload'!$B$71,'caseload data'!$B:$B,{"licence","community"}))</f>
        <v>0</v>
      </c>
      <c r="R76" s="94">
        <f>SUM(SUMIFS('caseload data'!T:T,'caseload data'!$D:$D,"SPO",'caseload data'!$C:$C,'community caseload'!$B$71,'caseload data'!$B:$B,{"licence","community"}))</f>
        <v>0</v>
      </c>
      <c r="T76" s="98" t="s">
        <v>1009</v>
      </c>
      <c r="U76" s="94" cm="1">
        <f t="array" ref="U76">SUM(SUMIFS('caseload data'!E:E,'caseload data'!$D:$D,"SPO",'caseload data'!$C:$C,'community caseload'!$T$71,'caseload data'!$B:$B,{"licence","community"}))</f>
        <v>0</v>
      </c>
      <c r="V76" s="94" cm="1">
        <f t="array" ref="V76">SUM(SUMIFS('caseload data'!F:F,'caseload data'!$D:$D,"SPO",'caseload data'!$C:$C,'community caseload'!$T$71,'caseload data'!$B:$B,{"licence","community"}))</f>
        <v>0</v>
      </c>
      <c r="W76" s="94" cm="1">
        <f t="array" ref="W76">SUM(SUMIFS('caseload data'!G:G,'caseload data'!$D:$D,"SPO",'caseload data'!$C:$C,'community caseload'!$T$71,'caseload data'!$B:$B,{"licence","community"}))</f>
        <v>0</v>
      </c>
      <c r="X76" s="94" cm="1">
        <f t="array" ref="X76">SUM(SUMIFS('caseload data'!H:H,'caseload data'!$D:$D,"SPO",'caseload data'!$C:$C,'community caseload'!$T$71,'caseload data'!$B:$B,{"licence","community"}))</f>
        <v>0</v>
      </c>
      <c r="Y76" s="94" cm="1">
        <f t="array" ref="Y76">SUM(SUMIFS('caseload data'!I:I,'caseload data'!$D:$D,"SPO",'caseload data'!$C:$C,'community caseload'!$T$71,'caseload data'!$B:$B,{"licence","community"}))</f>
        <v>0</v>
      </c>
      <c r="Z76" s="94" cm="1">
        <f t="array" ref="Z76">SUM(SUMIFS('caseload data'!J:J,'caseload data'!$D:$D,"SPO",'caseload data'!$C:$C,'community caseload'!$T$71,'caseload data'!$B:$B,{"licence","community"}))</f>
        <v>0</v>
      </c>
      <c r="AA76" s="94" cm="1">
        <f t="array" ref="AA76">SUM(SUMIFS('caseload data'!K:K,'caseload data'!$D:$D,"SPO",'caseload data'!$C:$C,'community caseload'!$T$71,'caseload data'!$B:$B,{"licence","community"}))</f>
        <v>0</v>
      </c>
      <c r="AB76" s="94" cm="1">
        <f t="array" ref="AB76">SUM(SUMIFS('caseload data'!L:L,'caseload data'!$D:$D,"SPO",'caseload data'!$C:$C,'community caseload'!$T$71,'caseload data'!$B:$B,{"licence","community"}))</f>
        <v>0</v>
      </c>
      <c r="AC76" s="94" cm="1">
        <f t="array" ref="AC76">SUM(SUMIFS('caseload data'!M:M,'caseload data'!$D:$D,"SPO",'caseload data'!$C:$C,'community caseload'!$T$71,'caseload data'!$B:$B,{"licence","community"}))</f>
        <v>0</v>
      </c>
      <c r="AD76" s="94" cm="1">
        <f t="array" ref="AD76">SUM(SUMIFS('caseload data'!N:N,'caseload data'!$D:$D,"SPO",'caseload data'!$C:$C,'community caseload'!$T$71,'caseload data'!$B:$B,{"licence","community"}))</f>
        <v>0</v>
      </c>
      <c r="AE76" s="94" cm="1">
        <f t="array" ref="AE76">SUM(SUMIFS('caseload data'!O:O,'caseload data'!$D:$D,"SPO",'caseload data'!$C:$C,'community caseload'!$T$71,'caseload data'!$B:$B,{"licence","community"}))</f>
        <v>0</v>
      </c>
      <c r="AF76" s="94" cm="1">
        <f t="array" ref="AF76">SUM(SUMIFS('caseload data'!P:P,'caseload data'!$D:$D,"SPO",'caseload data'!$C:$C,'community caseload'!$T$71,'caseload data'!$B:$B,{"licence","community"}))</f>
        <v>0</v>
      </c>
      <c r="AG76" s="94" cm="1">
        <f t="array" ref="AG76">SUM(SUMIFS('caseload data'!Q:Q,'caseload data'!$D:$D,"SPO",'caseload data'!$C:$C,'community caseload'!$T$71,'caseload data'!$B:$B,{"licence","community"}))</f>
        <v>0</v>
      </c>
      <c r="AH76" s="94" cm="1">
        <f t="array" ref="AH76">SUM(SUMIFS('caseload data'!R:R,'caseload data'!$D:$D,"SPO",'caseload data'!$C:$C,'community caseload'!$T$71,'caseload data'!$B:$B,{"licence","community"}))</f>
        <v>0</v>
      </c>
      <c r="AI76" s="94" cm="1">
        <f t="array" ref="AI76">SUM(SUMIFS('caseload data'!S:S,'caseload data'!$D:$D,"SPO",'caseload data'!$C:$C,'community caseload'!$T$71,'caseload data'!$B:$B,{"licence","community"}))</f>
        <v>0</v>
      </c>
      <c r="AJ76" s="94" cm="1">
        <f t="array" ref="AJ76">SUM(SUMIFS('caseload data'!T:T,'caseload data'!$D:$D,"SPO",'caseload data'!$C:$C,'community caseload'!$T$71,'caseload data'!$B:$B,{"licence","community"}))</f>
        <v>0</v>
      </c>
    </row>
    <row r="78" spans="2:36" ht="27" customHeight="1" x14ac:dyDescent="0.15">
      <c r="B78" s="289">
        <f>HLOOKUP($B$5,Region_Table,22,0)</f>
        <v>0</v>
      </c>
      <c r="C78" s="507" t="s">
        <v>1135</v>
      </c>
      <c r="D78" s="508"/>
      <c r="E78" s="508"/>
      <c r="F78" s="508"/>
      <c r="G78" s="508"/>
      <c r="H78" s="508"/>
      <c r="I78" s="508"/>
      <c r="J78" s="508"/>
      <c r="K78" s="508"/>
      <c r="L78" s="508"/>
      <c r="M78" s="537"/>
      <c r="N78" s="537"/>
      <c r="O78" s="538"/>
      <c r="P78" s="510" cm="1">
        <f t="array" ref="P78">SUM(SUMIFS('caseload data'!V:V,'caseload data'!B:B,{"licence","community"},'caseload data'!$C:$C,'community caseload'!B78))</f>
        <v>0</v>
      </c>
      <c r="Q78" s="527"/>
      <c r="R78" s="528"/>
      <c r="S78" s="291"/>
      <c r="T78" s="289">
        <f>HLOOKUP($B$5,Region_Table,23,0)</f>
        <v>0</v>
      </c>
      <c r="U78" s="507" t="s">
        <v>1135</v>
      </c>
      <c r="V78" s="508"/>
      <c r="W78" s="508"/>
      <c r="X78" s="508"/>
      <c r="Y78" s="508"/>
      <c r="Z78" s="508"/>
      <c r="AA78" s="508"/>
      <c r="AB78" s="508"/>
      <c r="AC78" s="508"/>
      <c r="AD78" s="508"/>
      <c r="AE78" s="537"/>
      <c r="AF78" s="537"/>
      <c r="AG78" s="538"/>
      <c r="AH78" s="510" cm="1">
        <f t="array" ref="AH78">SUM(SUMIFS('caseload data'!V:V,'caseload data'!B:B,{"licence","community"},'caseload data'!$C:$C,'community caseload'!T78))</f>
        <v>0</v>
      </c>
      <c r="AI78" s="527"/>
      <c r="AJ78" s="528"/>
    </row>
    <row r="79" spans="2:36" x14ac:dyDescent="0.15">
      <c r="B79" s="290" t="s">
        <v>1005</v>
      </c>
      <c r="C79" s="38" t="s">
        <v>869</v>
      </c>
      <c r="D79" s="38" t="s">
        <v>870</v>
      </c>
      <c r="E79" s="38" t="s">
        <v>871</v>
      </c>
      <c r="F79" s="38" t="s">
        <v>872</v>
      </c>
      <c r="G79" s="38" t="s">
        <v>873</v>
      </c>
      <c r="H79" s="38" t="s">
        <v>874</v>
      </c>
      <c r="I79" s="38" t="s">
        <v>875</v>
      </c>
      <c r="J79" s="38" t="s">
        <v>876</v>
      </c>
      <c r="K79" s="38" t="s">
        <v>877</v>
      </c>
      <c r="L79" s="38" t="s">
        <v>878</v>
      </c>
      <c r="M79" s="38" t="s">
        <v>879</v>
      </c>
      <c r="N79" s="38" t="s">
        <v>880</v>
      </c>
      <c r="O79" s="38" t="s">
        <v>881</v>
      </c>
      <c r="P79" s="38" t="s">
        <v>882</v>
      </c>
      <c r="Q79" s="38" t="s">
        <v>883</v>
      </c>
      <c r="R79" s="38" t="s">
        <v>884</v>
      </c>
      <c r="T79" s="95" t="s">
        <v>1005</v>
      </c>
      <c r="U79" s="38" t="s">
        <v>869</v>
      </c>
      <c r="V79" s="38" t="s">
        <v>870</v>
      </c>
      <c r="W79" s="38" t="s">
        <v>871</v>
      </c>
      <c r="X79" s="38" t="s">
        <v>872</v>
      </c>
      <c r="Y79" s="38" t="s">
        <v>873</v>
      </c>
      <c r="Z79" s="38" t="s">
        <v>874</v>
      </c>
      <c r="AA79" s="38" t="s">
        <v>875</v>
      </c>
      <c r="AB79" s="38" t="s">
        <v>876</v>
      </c>
      <c r="AC79" s="38" t="s">
        <v>877</v>
      </c>
      <c r="AD79" s="38" t="s">
        <v>878</v>
      </c>
      <c r="AE79" s="38" t="s">
        <v>879</v>
      </c>
      <c r="AF79" s="38" t="s">
        <v>880</v>
      </c>
      <c r="AG79" s="38" t="s">
        <v>881</v>
      </c>
      <c r="AH79" s="38" t="s">
        <v>882</v>
      </c>
      <c r="AI79" s="38" t="s">
        <v>883</v>
      </c>
      <c r="AJ79" s="38" t="s">
        <v>884</v>
      </c>
    </row>
    <row r="80" spans="2:36" x14ac:dyDescent="0.15">
      <c r="B80" s="96" t="s">
        <v>1002</v>
      </c>
      <c r="C80" s="94" cm="1">
        <f t="array" ref="C80">SUM(SUMIFS('caseload data'!E:E,'caseload data'!$D:$D,"PO",'caseload data'!$C:$C,'community caseload'!$B$78,'caseload data'!$B:$B,{"licence","community"}))</f>
        <v>0</v>
      </c>
      <c r="D80" s="94" cm="1">
        <f t="array" ref="D80">SUM(SUMIFS('caseload data'!F:F,'caseload data'!$D:$D,"PO",'caseload data'!$C:$C,'community caseload'!$B$78,'caseload data'!$B:$B,{"licence","community"}))</f>
        <v>0</v>
      </c>
      <c r="E80" s="94" cm="1">
        <f t="array" ref="E80">SUM(SUMIFS('caseload data'!G:G,'caseload data'!$D:$D,"PO",'caseload data'!$C:$C,'community caseload'!$B$78,'caseload data'!$B:$B,{"licence","community"}))</f>
        <v>0</v>
      </c>
      <c r="F80" s="94" cm="1">
        <f t="array" ref="F80">SUM(SUMIFS('caseload data'!H:H,'caseload data'!$D:$D,"PO",'caseload data'!$C:$C,'community caseload'!$B$78,'caseload data'!$B:$B,{"licence","community"}))</f>
        <v>0</v>
      </c>
      <c r="G80" s="94" cm="1">
        <f t="array" ref="G80">SUM(SUMIFS('caseload data'!I:I,'caseload data'!$D:$D,"PO",'caseload data'!$C:$C,'community caseload'!$B$78,'caseload data'!$B:$B,{"licence","community"}))</f>
        <v>0</v>
      </c>
      <c r="H80" s="94" cm="1">
        <f t="array" ref="H80">SUM(SUMIFS('caseload data'!J:J,'caseload data'!$D:$D,"PO",'caseload data'!$C:$C,'community caseload'!$B$78,'caseload data'!$B:$B,{"licence","community"}))</f>
        <v>0</v>
      </c>
      <c r="I80" s="94" cm="1">
        <f t="array" ref="I80">SUM(SUMIFS('caseload data'!K:K,'caseload data'!$D:$D,"PO",'caseload data'!$C:$C,'community caseload'!$B$78,'caseload data'!$B:$B,{"licence","community"}))</f>
        <v>0</v>
      </c>
      <c r="J80" s="94" cm="1">
        <f t="array" ref="J80">SUM(SUMIFS('caseload data'!L:L,'caseload data'!$D:$D,"PO",'caseload data'!$C:$C,'community caseload'!$B$78,'caseload data'!$B:$B,{"licence","community"}))</f>
        <v>0</v>
      </c>
      <c r="K80" s="94" cm="1">
        <f t="array" ref="K80">SUM(SUMIFS('caseload data'!M:M,'caseload data'!$D:$D,"PO",'caseload data'!$C:$C,'community caseload'!$B$78,'caseload data'!$B:$B,{"licence","community"}))</f>
        <v>0</v>
      </c>
      <c r="L80" s="94" cm="1">
        <f t="array" ref="L80">SUM(SUMIFS('caseload data'!N:N,'caseload data'!$D:$D,"PO",'caseload data'!$C:$C,'community caseload'!$B$78,'caseload data'!$B:$B,{"licence","community"}))</f>
        <v>0</v>
      </c>
      <c r="M80" s="94" cm="1">
        <f t="array" ref="M80">SUM(SUMIFS('caseload data'!O:O,'caseload data'!$D:$D,"PO",'caseload data'!$C:$C,'community caseload'!$B$78,'caseload data'!$B:$B,{"licence","community"}))</f>
        <v>0</v>
      </c>
      <c r="N80" s="94" cm="1">
        <f t="array" ref="N80">SUM(SUMIFS('caseload data'!P:P,'caseload data'!$D:$D,"PO",'caseload data'!$C:$C,'community caseload'!$B$78,'caseload data'!$B:$B,{"licence","community"}))</f>
        <v>0</v>
      </c>
      <c r="O80" s="94" cm="1">
        <f t="array" ref="O80">SUM(SUMIFS('caseload data'!Q:Q,'caseload data'!$D:$D,"PO",'caseload data'!$C:$C,'community caseload'!$B$78,'caseload data'!$B:$B,{"licence","community"}))</f>
        <v>0</v>
      </c>
      <c r="P80" s="94" cm="1">
        <f t="array" ref="P80">SUM(SUMIFS('caseload data'!R:R,'caseload data'!$D:$D,"PO",'caseload data'!$C:$C,'community caseload'!$B$78,'caseload data'!$B:$B,{"licence","community"}))</f>
        <v>0</v>
      </c>
      <c r="Q80" s="94" cm="1">
        <f t="array" ref="Q80">SUM(SUMIFS('caseload data'!S:S,'caseload data'!$D:$D,"PO",'caseload data'!$C:$C,'community caseload'!$B$78,'caseload data'!$B:$B,{"licence","community"}))</f>
        <v>0</v>
      </c>
      <c r="R80" s="94" cm="1">
        <f t="array" ref="R80">SUM(SUMIFS('caseload data'!T:T,'caseload data'!$D:$D,"PO",'caseload data'!$C:$C,'community caseload'!$B$78,'caseload data'!$B:$B,{"licence","community"}))</f>
        <v>0</v>
      </c>
      <c r="T80" s="96" t="s">
        <v>1002</v>
      </c>
      <c r="U80" s="94" cm="1">
        <f t="array" ref="U80">SUM(SUMIFS('caseload data'!E:E,'caseload data'!$D:$D,"PO",'caseload data'!$C:$C,'community caseload'!$T$78,'caseload data'!$B:$B,{"licence","community"}))</f>
        <v>0</v>
      </c>
      <c r="V80" s="94" cm="1">
        <f t="array" ref="V80">SUM(SUMIFS('caseload data'!F:F,'caseload data'!$D:$D,"PO",'caseload data'!$C:$C,'community caseload'!$T$78,'caseload data'!$B:$B,{"licence","community"}))</f>
        <v>0</v>
      </c>
      <c r="W80" s="94" cm="1">
        <f t="array" ref="W80">SUM(SUMIFS('caseload data'!G:G,'caseload data'!$D:$D,"PO",'caseload data'!$C:$C,'community caseload'!$T$78,'caseload data'!$B:$B,{"licence","community"}))</f>
        <v>0</v>
      </c>
      <c r="X80" s="94" cm="1">
        <f t="array" ref="X80">SUM(SUMIFS('caseload data'!H:H,'caseload data'!$D:$D,"PO",'caseload data'!$C:$C,'community caseload'!$T$78,'caseload data'!$B:$B,{"licence","community"}))</f>
        <v>0</v>
      </c>
      <c r="Y80" s="94" cm="1">
        <f t="array" ref="Y80">SUM(SUMIFS('caseload data'!I:I,'caseload data'!$D:$D,"PO",'caseload data'!$C:$C,'community caseload'!$T$78,'caseload data'!$B:$B,{"licence","community"}))</f>
        <v>0</v>
      </c>
      <c r="Z80" s="94" cm="1">
        <f t="array" ref="Z80">SUM(SUMIFS('caseload data'!J:J,'caseload data'!$D:$D,"PO",'caseload data'!$C:$C,'community caseload'!$T$78,'caseload data'!$B:$B,{"licence","community"}))</f>
        <v>0</v>
      </c>
      <c r="AA80" s="94" cm="1">
        <f t="array" ref="AA80">SUM(SUMIFS('caseload data'!K:K,'caseload data'!$D:$D,"PO",'caseload data'!$C:$C,'community caseload'!$T$78,'caseload data'!$B:$B,{"licence","community"}))</f>
        <v>0</v>
      </c>
      <c r="AB80" s="94" cm="1">
        <f t="array" ref="AB80">SUM(SUMIFS('caseload data'!L:L,'caseload data'!$D:$D,"PO",'caseload data'!$C:$C,'community caseload'!$T$78,'caseload data'!$B:$B,{"licence","community"}))</f>
        <v>0</v>
      </c>
      <c r="AC80" s="94" cm="1">
        <f t="array" ref="AC80">SUM(SUMIFS('caseload data'!M:M,'caseload data'!$D:$D,"PO",'caseload data'!$C:$C,'community caseload'!$T$78,'caseload data'!$B:$B,{"licence","community"}))</f>
        <v>0</v>
      </c>
      <c r="AD80" s="94" cm="1">
        <f t="array" ref="AD80">SUM(SUMIFS('caseload data'!N:N,'caseload data'!$D:$D,"PO",'caseload data'!$C:$C,'community caseload'!$T$78,'caseload data'!$B:$B,{"licence","community"}))</f>
        <v>0</v>
      </c>
      <c r="AE80" s="94" cm="1">
        <f t="array" ref="AE80">SUM(SUMIFS('caseload data'!O:O,'caseload data'!$D:$D,"PO",'caseload data'!$C:$C,'community caseload'!$T$78,'caseload data'!$B:$B,{"licence","community"}))</f>
        <v>0</v>
      </c>
      <c r="AF80" s="94" cm="1">
        <f t="array" ref="AF80">SUM(SUMIFS('caseload data'!P:P,'caseload data'!$D:$D,"PO",'caseload data'!$C:$C,'community caseload'!$T$78,'caseload data'!$B:$B,{"licence","community"}))</f>
        <v>0</v>
      </c>
      <c r="AG80" s="94" cm="1">
        <f t="array" ref="AG80">SUM(SUMIFS('caseload data'!Q:Q,'caseload data'!$D:$D,"PO",'caseload data'!$C:$C,'community caseload'!$T$78,'caseload data'!$B:$B,{"licence","community"}))</f>
        <v>0</v>
      </c>
      <c r="AH80" s="94" cm="1">
        <f t="array" ref="AH80">SUM(SUMIFS('caseload data'!R:R,'caseload data'!$D:$D,"PO",'caseload data'!$C:$C,'community caseload'!$T$78,'caseload data'!$B:$B,{"licence","community"}))</f>
        <v>0</v>
      </c>
      <c r="AI80" s="94" cm="1">
        <f t="array" ref="AI80">SUM(SUMIFS('caseload data'!S:S,'caseload data'!$D:$D,"PO",'caseload data'!$C:$C,'community caseload'!$T$78,'caseload data'!$B:$B,{"licence","community"}))</f>
        <v>0</v>
      </c>
      <c r="AJ80" s="94" cm="1">
        <f t="array" ref="AJ80">SUM(SUMIFS('caseload data'!T:T,'caseload data'!$D:$D,"PO",'caseload data'!$C:$C,'community caseload'!$T$78,'caseload data'!$B:$B,{"licence","community"}))</f>
        <v>0</v>
      </c>
    </row>
    <row r="81" spans="2:36" x14ac:dyDescent="0.15">
      <c r="B81" s="97" t="s">
        <v>1007</v>
      </c>
      <c r="C81" s="94" cm="1">
        <f t="array" ref="C81">SUM(SUMIFS('caseload data'!E:E,'caseload data'!$D:$D,"PSO",'caseload data'!$C:$C,'community caseload'!$B$78,'caseload data'!$B:$B,{"licence","community"}))</f>
        <v>0</v>
      </c>
      <c r="D81" s="94" cm="1">
        <f t="array" ref="D81">SUM(SUMIFS('caseload data'!F:F,'caseload data'!$D:$D,"PSO",'caseload data'!$C:$C,'community caseload'!$B$78,'caseload data'!$B:$B,{"licence","community"}))</f>
        <v>0</v>
      </c>
      <c r="E81" s="94" cm="1">
        <f t="array" ref="E81">SUM(SUMIFS('caseload data'!G:G,'caseload data'!$D:$D,"PSO",'caseload data'!$C:$C,'community caseload'!$B$78,'caseload data'!$B:$B,{"licence","community"}))</f>
        <v>0</v>
      </c>
      <c r="F81" s="94" cm="1">
        <f t="array" ref="F81">SUM(SUMIFS('caseload data'!H:H,'caseload data'!$D:$D,"PSO",'caseload data'!$C:$C,'community caseload'!$B$78,'caseload data'!$B:$B,{"licence","community"}))</f>
        <v>0</v>
      </c>
      <c r="G81" s="94" cm="1">
        <f t="array" ref="G81">SUM(SUMIFS('caseload data'!I:I,'caseload data'!$D:$D,"PSO",'caseload data'!$C:$C,'community caseload'!$B$78,'caseload data'!$B:$B,{"licence","community"}))</f>
        <v>0</v>
      </c>
      <c r="H81" s="94" cm="1">
        <f t="array" ref="H81">SUM(SUMIFS('caseload data'!J:J,'caseload data'!$D:$D,"PSO",'caseload data'!$C:$C,'community caseload'!$B$78,'caseload data'!$B:$B,{"licence","community"}))</f>
        <v>0</v>
      </c>
      <c r="I81" s="94" cm="1">
        <f t="array" ref="I81">SUM(SUMIFS('caseload data'!K:K,'caseload data'!$D:$D,"PSO",'caseload data'!$C:$C,'community caseload'!$B$78,'caseload data'!$B:$B,{"licence","community"}))</f>
        <v>0</v>
      </c>
      <c r="J81" s="94" cm="1">
        <f t="array" ref="J81">SUM(SUMIFS('caseload data'!L:L,'caseload data'!$D:$D,"PSO",'caseload data'!$C:$C,'community caseload'!$B$78,'caseload data'!$B:$B,{"licence","community"}))</f>
        <v>0</v>
      </c>
      <c r="K81" s="94" cm="1">
        <f t="array" ref="K81">SUM(SUMIFS('caseload data'!M:M,'caseload data'!$D:$D,"PSO",'caseload data'!$C:$C,'community caseload'!$B$78,'caseload data'!$B:$B,{"licence","community"}))</f>
        <v>0</v>
      </c>
      <c r="L81" s="94" cm="1">
        <f t="array" ref="L81">SUM(SUMIFS('caseload data'!N:N,'caseload data'!$D:$D,"PSO",'caseload data'!$C:$C,'community caseload'!$B$78,'caseload data'!$B:$B,{"licence","community"}))</f>
        <v>0</v>
      </c>
      <c r="M81" s="94" cm="1">
        <f t="array" ref="M81">SUM(SUMIFS('caseload data'!O:O,'caseload data'!$D:$D,"PSO",'caseload data'!$C:$C,'community caseload'!$B$78,'caseload data'!$B:$B,{"licence","community"}))</f>
        <v>0</v>
      </c>
      <c r="N81" s="94" cm="1">
        <f t="array" ref="N81">SUM(SUMIFS('caseload data'!P:P,'caseload data'!$D:$D,"PSO",'caseload data'!$C:$C,'community caseload'!$B$78,'caseload data'!$B:$B,{"licence","community"}))</f>
        <v>0</v>
      </c>
      <c r="O81" s="94" cm="1">
        <f t="array" ref="O81">SUM(SUMIFS('caseload data'!Q:Q,'caseload data'!$D:$D,"PSO",'caseload data'!$C:$C,'community caseload'!$B$78,'caseload data'!$B:$B,{"licence","community"}))</f>
        <v>0</v>
      </c>
      <c r="P81" s="94" cm="1">
        <f t="array" ref="P81">SUM(SUMIFS('caseload data'!R:R,'caseload data'!$D:$D,"PSO",'caseload data'!$C:$C,'community caseload'!$B$78,'caseload data'!$B:$B,{"licence","community"}))</f>
        <v>0</v>
      </c>
      <c r="Q81" s="94" cm="1">
        <f t="array" ref="Q81">SUM(SUMIFS('caseload data'!S:S,'caseload data'!$D:$D,"PSO",'caseload data'!$C:$C,'community caseload'!$B$78,'caseload data'!$B:$B,{"licence","community"}))</f>
        <v>0</v>
      </c>
      <c r="R81" s="94" cm="1">
        <f t="array" ref="R81">SUM(SUMIFS('caseload data'!T:T,'caseload data'!$D:$D,"PSO",'caseload data'!$C:$C,'community caseload'!$B$78,'caseload data'!$B:$B,{"licence","community"}))</f>
        <v>0</v>
      </c>
      <c r="T81" s="97" t="s">
        <v>1007</v>
      </c>
      <c r="U81" s="94" cm="1">
        <f t="array" ref="U81">SUM(SUMIFS('caseload data'!E:E,'caseload data'!$D:$D,"PSO",'caseload data'!$C:$C,'community caseload'!$T$78,'caseload data'!$B:$B,{"licence","community"}))</f>
        <v>0</v>
      </c>
      <c r="V81" s="94" cm="1">
        <f t="array" ref="V81">SUM(SUMIFS('caseload data'!F:F,'caseload data'!$D:$D,"PSO",'caseload data'!$C:$C,'community caseload'!$T$78,'caseload data'!$B:$B,{"licence","community"}))</f>
        <v>0</v>
      </c>
      <c r="W81" s="94" cm="1">
        <f t="array" ref="W81">SUM(SUMIFS('caseload data'!G:G,'caseload data'!$D:$D,"PSO",'caseload data'!$C:$C,'community caseload'!$T$78,'caseload data'!$B:$B,{"licence","community"}))</f>
        <v>0</v>
      </c>
      <c r="X81" s="94" cm="1">
        <f t="array" ref="X81">SUM(SUMIFS('caseload data'!H:H,'caseload data'!$D:$D,"PSO",'caseload data'!$C:$C,'community caseload'!$T$78,'caseload data'!$B:$B,{"licence","community"}))</f>
        <v>0</v>
      </c>
      <c r="Y81" s="94" cm="1">
        <f t="array" ref="Y81">SUM(SUMIFS('caseload data'!I:I,'caseload data'!$D:$D,"PSO",'caseload data'!$C:$C,'community caseload'!$T$78,'caseload data'!$B:$B,{"licence","community"}))</f>
        <v>0</v>
      </c>
      <c r="Z81" s="94" cm="1">
        <f t="array" ref="Z81">SUM(SUMIFS('caseload data'!J:J,'caseload data'!$D:$D,"PSO",'caseload data'!$C:$C,'community caseload'!$T$78,'caseload data'!$B:$B,{"licence","community"}))</f>
        <v>0</v>
      </c>
      <c r="AA81" s="94" cm="1">
        <f t="array" ref="AA81">SUM(SUMIFS('caseload data'!K:K,'caseload data'!$D:$D,"PSO",'caseload data'!$C:$C,'community caseload'!$T$78,'caseload data'!$B:$B,{"licence","community"}))</f>
        <v>0</v>
      </c>
      <c r="AB81" s="94" cm="1">
        <f t="array" ref="AB81">SUM(SUMIFS('caseload data'!L:L,'caseload data'!$D:$D,"PSO",'caseload data'!$C:$C,'community caseload'!$T$78,'caseload data'!$B:$B,{"licence","community"}))</f>
        <v>0</v>
      </c>
      <c r="AC81" s="94" cm="1">
        <f t="array" ref="AC81">SUM(SUMIFS('caseload data'!M:M,'caseload data'!$D:$D,"PSO",'caseload data'!$C:$C,'community caseload'!$T$78,'caseload data'!$B:$B,{"licence","community"}))</f>
        <v>0</v>
      </c>
      <c r="AD81" s="94" cm="1">
        <f t="array" ref="AD81">SUM(SUMIFS('caseload data'!N:N,'caseload data'!$D:$D,"PSO",'caseload data'!$C:$C,'community caseload'!$T$78,'caseload data'!$B:$B,{"licence","community"}))</f>
        <v>0</v>
      </c>
      <c r="AE81" s="94" cm="1">
        <f t="array" ref="AE81">SUM(SUMIFS('caseload data'!O:O,'caseload data'!$D:$D,"PSO",'caseload data'!$C:$C,'community caseload'!$T$78,'caseload data'!$B:$B,{"licence","community"}))</f>
        <v>0</v>
      </c>
      <c r="AF81" s="94" cm="1">
        <f t="array" ref="AF81">SUM(SUMIFS('caseload data'!P:P,'caseload data'!$D:$D,"PSO",'caseload data'!$C:$C,'community caseload'!$T$78,'caseload data'!$B:$B,{"licence","community"}))</f>
        <v>0</v>
      </c>
      <c r="AG81" s="94" cm="1">
        <f t="array" ref="AG81">SUM(SUMIFS('caseload data'!Q:Q,'caseload data'!$D:$D,"PSO",'caseload data'!$C:$C,'community caseload'!$T$78,'caseload data'!$B:$B,{"licence","community"}))</f>
        <v>0</v>
      </c>
      <c r="AH81" s="94" cm="1">
        <f t="array" ref="AH81">SUM(SUMIFS('caseload data'!R:R,'caseload data'!$D:$D,"PSO",'caseload data'!$C:$C,'community caseload'!$T$78,'caseload data'!$B:$B,{"licence","community"}))</f>
        <v>0</v>
      </c>
      <c r="AI81" s="94" cm="1">
        <f t="array" ref="AI81">SUM(SUMIFS('caseload data'!S:S,'caseload data'!$D:$D,"PSO",'caseload data'!$C:$C,'community caseload'!$T$78,'caseload data'!$B:$B,{"licence","community"}))</f>
        <v>0</v>
      </c>
      <c r="AJ81" s="94" cm="1">
        <f t="array" ref="AJ81">SUM(SUMIFS('caseload data'!T:T,'caseload data'!$D:$D,"PSO",'caseload data'!$C:$C,'community caseload'!$T$78,'caseload data'!$B:$B,{"licence","community"}))</f>
        <v>0</v>
      </c>
    </row>
    <row r="82" spans="2:36" x14ac:dyDescent="0.15">
      <c r="B82" s="97" t="s">
        <v>1008</v>
      </c>
      <c r="C82" s="94" cm="1">
        <f t="array" ref="C82">SUM(SUMIFS('caseload data'!E:E,'caseload data'!$D:$D,"TPO",'caseload data'!$C:$C,'community caseload'!$B$78,'caseload data'!$B:$B,{"licence","community"}))</f>
        <v>0</v>
      </c>
      <c r="D82" s="94" cm="1">
        <f t="array" ref="D82">SUM(SUMIFS('caseload data'!F:F,'caseload data'!$D:$D,"TPO",'caseload data'!$C:$C,'community caseload'!$B$78,'caseload data'!$B:$B,{"licence","community"}))</f>
        <v>0</v>
      </c>
      <c r="E82" s="94" cm="1">
        <f t="array" ref="E82">SUM(SUMIFS('caseload data'!G:G,'caseload data'!$D:$D,"TPO",'caseload data'!$C:$C,'community caseload'!$B$78,'caseload data'!$B:$B,{"licence","community"}))</f>
        <v>0</v>
      </c>
      <c r="F82" s="94" cm="1">
        <f t="array" ref="F82">SUM(SUMIFS('caseload data'!H:H,'caseload data'!$D:$D,"TPO",'caseload data'!$C:$C,'community caseload'!$B$78,'caseload data'!$B:$B,{"licence","community"}))</f>
        <v>0</v>
      </c>
      <c r="G82" s="94" cm="1">
        <f t="array" ref="G82">SUM(SUMIFS('caseload data'!I:I,'caseload data'!$D:$D,"TPO",'caseload data'!$C:$C,'community caseload'!$B$78,'caseload data'!$B:$B,{"licence","community"}))</f>
        <v>0</v>
      </c>
      <c r="H82" s="94" cm="1">
        <f t="array" ref="H82">SUM(SUMIFS('caseload data'!J:J,'caseload data'!$D:$D,"TPO",'caseload data'!$C:$C,'community caseload'!$B$78,'caseload data'!$B:$B,{"licence","community"}))</f>
        <v>0</v>
      </c>
      <c r="I82" s="94" cm="1">
        <f t="array" ref="I82">SUM(SUMIFS('caseload data'!K:K,'caseload data'!$D:$D,"TPO",'caseload data'!$C:$C,'community caseload'!$B$78,'caseload data'!$B:$B,{"licence","community"}))</f>
        <v>0</v>
      </c>
      <c r="J82" s="94" cm="1">
        <f t="array" ref="J82">SUM(SUMIFS('caseload data'!L:L,'caseload data'!$D:$D,"TPO",'caseload data'!$C:$C,'community caseload'!$B$78,'caseload data'!$B:$B,{"licence","community"}))</f>
        <v>0</v>
      </c>
      <c r="K82" s="94" cm="1">
        <f t="array" ref="K82">SUM(SUMIFS('caseload data'!M:M,'caseload data'!$D:$D,"TPO",'caseload data'!$C:$C,'community caseload'!$B$78,'caseload data'!$B:$B,{"licence","community"}))</f>
        <v>0</v>
      </c>
      <c r="L82" s="94" cm="1">
        <f t="array" ref="L82">SUM(SUMIFS('caseload data'!N:N,'caseload data'!$D:$D,"TPO",'caseload data'!$C:$C,'community caseload'!$B$78,'caseload data'!$B:$B,{"licence","community"}))</f>
        <v>0</v>
      </c>
      <c r="M82" s="94" cm="1">
        <f t="array" ref="M82">SUM(SUMIFS('caseload data'!O:O,'caseload data'!$D:$D,"TPO",'caseload data'!$C:$C,'community caseload'!$B$78,'caseload data'!$B:$B,{"licence","community"}))</f>
        <v>0</v>
      </c>
      <c r="N82" s="94" cm="1">
        <f t="array" ref="N82">SUM(SUMIFS('caseload data'!P:P,'caseload data'!$D:$D,"TPO",'caseload data'!$C:$C,'community caseload'!$B$78,'caseload data'!$B:$B,{"licence","community"}))</f>
        <v>0</v>
      </c>
      <c r="O82" s="94" cm="1">
        <f t="array" ref="O82">SUM(SUMIFS('caseload data'!Q:Q,'caseload data'!$D:$D,"TPO",'caseload data'!$C:$C,'community caseload'!$B$78,'caseload data'!$B:$B,{"licence","community"}))</f>
        <v>0</v>
      </c>
      <c r="P82" s="94" cm="1">
        <f t="array" ref="P82">SUM(SUMIFS('caseload data'!R:R,'caseload data'!$D:$D,"TPO",'caseload data'!$C:$C,'community caseload'!$B$78,'caseload data'!$B:$B,{"licence","community"}))</f>
        <v>0</v>
      </c>
      <c r="Q82" s="94" cm="1">
        <f t="array" ref="Q82">SUM(SUMIFS('caseload data'!S:S,'caseload data'!$D:$D,"TPO",'caseload data'!$C:$C,'community caseload'!$B$78,'caseload data'!$B:$B,{"licence","community"}))</f>
        <v>0</v>
      </c>
      <c r="R82" s="94" cm="1">
        <f t="array" ref="R82">SUM(SUMIFS('caseload data'!T:T,'caseload data'!$D:$D,"TPO",'caseload data'!$C:$C,'community caseload'!$B$78,'caseload data'!$B:$B,{"licence","community"}))</f>
        <v>0</v>
      </c>
      <c r="T82" s="97" t="s">
        <v>1008</v>
      </c>
      <c r="U82" s="94" cm="1">
        <f t="array" ref="U82">SUM(SUMIFS('caseload data'!E:E,'caseload data'!$D:$D,"TPO",'caseload data'!$C:$C,'community caseload'!$T$78,'caseload data'!$B:$B,{"licence","community"}))</f>
        <v>0</v>
      </c>
      <c r="V82" s="94" cm="1">
        <f t="array" ref="V82">SUM(SUMIFS('caseload data'!F:F,'caseload data'!$D:$D,"TPO",'caseload data'!$C:$C,'community caseload'!$T$78,'caseload data'!$B:$B,{"licence","community"}))</f>
        <v>0</v>
      </c>
      <c r="W82" s="94" cm="1">
        <f t="array" ref="W82">SUM(SUMIFS('caseload data'!G:G,'caseload data'!$D:$D,"TPO",'caseload data'!$C:$C,'community caseload'!$T$78,'caseload data'!$B:$B,{"licence","community"}))</f>
        <v>0</v>
      </c>
      <c r="X82" s="94" cm="1">
        <f t="array" ref="X82">SUM(SUMIFS('caseload data'!H:H,'caseload data'!$D:$D,"TPO",'caseload data'!$C:$C,'community caseload'!$T$78,'caseload data'!$B:$B,{"licence","community"}))</f>
        <v>0</v>
      </c>
      <c r="Y82" s="94" cm="1">
        <f t="array" ref="Y82">SUM(SUMIFS('caseload data'!I:I,'caseload data'!$D:$D,"TPO",'caseload data'!$C:$C,'community caseload'!$T$78,'caseload data'!$B:$B,{"licence","community"}))</f>
        <v>0</v>
      </c>
      <c r="Z82" s="94" cm="1">
        <f t="array" ref="Z82">SUM(SUMIFS('caseload data'!J:J,'caseload data'!$D:$D,"TPO",'caseload data'!$C:$C,'community caseload'!$T$78,'caseload data'!$B:$B,{"licence","community"}))</f>
        <v>0</v>
      </c>
      <c r="AA82" s="94" cm="1">
        <f t="array" ref="AA82">SUM(SUMIFS('caseload data'!K:K,'caseload data'!$D:$D,"TPO",'caseload data'!$C:$C,'community caseload'!$T$78,'caseload data'!$B:$B,{"licence","community"}))</f>
        <v>0</v>
      </c>
      <c r="AB82" s="94" cm="1">
        <f t="array" ref="AB82">SUM(SUMIFS('caseload data'!L:L,'caseload data'!$D:$D,"TPO",'caseload data'!$C:$C,'community caseload'!$T$78,'caseload data'!$B:$B,{"licence","community"}))</f>
        <v>0</v>
      </c>
      <c r="AC82" s="94" cm="1">
        <f t="array" ref="AC82">SUM(SUMIFS('caseload data'!M:M,'caseload data'!$D:$D,"TPO",'caseload data'!$C:$C,'community caseload'!$T$78,'caseload data'!$B:$B,{"licence","community"}))</f>
        <v>0</v>
      </c>
      <c r="AD82" s="94" cm="1">
        <f t="array" ref="AD82">SUM(SUMIFS('caseload data'!N:N,'caseload data'!$D:$D,"TPO",'caseload data'!$C:$C,'community caseload'!$T$78,'caseload data'!$B:$B,{"licence","community"}))</f>
        <v>0</v>
      </c>
      <c r="AE82" s="94" cm="1">
        <f t="array" ref="AE82">SUM(SUMIFS('caseload data'!O:O,'caseload data'!$D:$D,"TPO",'caseload data'!$C:$C,'community caseload'!$T$78,'caseload data'!$B:$B,{"licence","community"}))</f>
        <v>0</v>
      </c>
      <c r="AF82" s="94" cm="1">
        <f t="array" ref="AF82">SUM(SUMIFS('caseload data'!P:P,'caseload data'!$D:$D,"TPO",'caseload data'!$C:$C,'community caseload'!$T$78,'caseload data'!$B:$B,{"licence","community"}))</f>
        <v>0</v>
      </c>
      <c r="AG82" s="94" cm="1">
        <f t="array" ref="AG82">SUM(SUMIFS('caseload data'!Q:Q,'caseload data'!$D:$D,"TPO",'caseload data'!$C:$C,'community caseload'!$T$78,'caseload data'!$B:$B,{"licence","community"}))</f>
        <v>0</v>
      </c>
      <c r="AH82" s="94" cm="1">
        <f t="array" ref="AH82">SUM(SUMIFS('caseload data'!R:R,'caseload data'!$D:$D,"TPO",'caseload data'!$C:$C,'community caseload'!$T$78,'caseload data'!$B:$B,{"licence","community"}))</f>
        <v>0</v>
      </c>
      <c r="AI82" s="94" cm="1">
        <f t="array" ref="AI82">SUM(SUMIFS('caseload data'!S:S,'caseload data'!$D:$D,"TPO",'caseload data'!$C:$C,'community caseload'!$T$78,'caseload data'!$B:$B,{"licence","community"}))</f>
        <v>0</v>
      </c>
      <c r="AJ82" s="94" cm="1">
        <f t="array" ref="AJ82">SUM(SUMIFS('caseload data'!T:T,'caseload data'!$D:$D,"TPO",'caseload data'!$C:$C,'community caseload'!$T$78,'caseload data'!$B:$B,{"licence","community"}))</f>
        <v>0</v>
      </c>
    </row>
    <row r="83" spans="2:36" x14ac:dyDescent="0.15">
      <c r="B83" s="98" t="s">
        <v>1009</v>
      </c>
      <c r="C83" s="94" cm="1">
        <f t="array" ref="C83">SUM(SUMIFS('caseload data'!E:E,'caseload data'!$D:$D,"SPO",'caseload data'!$C:$C,'community caseload'!$B$78,'caseload data'!$B:$B,{"licence","community"}))</f>
        <v>0</v>
      </c>
      <c r="D83" s="94" cm="1">
        <f t="array" ref="D83">SUM(SUMIFS('caseload data'!F:F,'caseload data'!$D:$D,"SPO",'caseload data'!$C:$C,'community caseload'!$B$78,'caseload data'!$B:$B,{"licence","community"}))</f>
        <v>0</v>
      </c>
      <c r="E83" s="94" cm="1">
        <f t="array" ref="E83">SUM(SUMIFS('caseload data'!G:G,'caseload data'!$D:$D,"SPO",'caseload data'!$C:$C,'community caseload'!$B$78,'caseload data'!$B:$B,{"licence","community"}))</f>
        <v>0</v>
      </c>
      <c r="F83" s="94" cm="1">
        <f t="array" ref="F83">SUM(SUMIFS('caseload data'!H:H,'caseload data'!$D:$D,"SPO",'caseload data'!$C:$C,'community caseload'!$B$78,'caseload data'!$B:$B,{"licence","community"}))</f>
        <v>0</v>
      </c>
      <c r="G83" s="94" cm="1">
        <f t="array" ref="G83">SUM(SUMIFS('caseload data'!I:I,'caseload data'!$D:$D,"SPO",'caseload data'!$C:$C,'community caseload'!$B$78,'caseload data'!$B:$B,{"licence","community"}))</f>
        <v>0</v>
      </c>
      <c r="H83" s="94" cm="1">
        <f t="array" ref="H83">SUM(SUMIFS('caseload data'!J:J,'caseload data'!$D:$D,"SPO",'caseload data'!$C:$C,'community caseload'!$B$78,'caseload data'!$B:$B,{"licence","community"}))</f>
        <v>0</v>
      </c>
      <c r="I83" s="94" cm="1">
        <f t="array" ref="I83">SUM(SUMIFS('caseload data'!K:K,'caseload data'!$D:$D,"SPO",'caseload data'!$C:$C,'community caseload'!$B$78,'caseload data'!$B:$B,{"licence","community"}))</f>
        <v>0</v>
      </c>
      <c r="J83" s="94" cm="1">
        <f t="array" ref="J83">SUM(SUMIFS('caseload data'!L:L,'caseload data'!$D:$D,"SPO",'caseload data'!$C:$C,'community caseload'!$B$78,'caseload data'!$B:$B,{"licence","community"}))</f>
        <v>0</v>
      </c>
      <c r="K83" s="94" cm="1">
        <f t="array" ref="K83">SUM(SUMIFS('caseload data'!M:M,'caseload data'!$D:$D,"SPO",'caseload data'!$C:$C,'community caseload'!$B$78,'caseload data'!$B:$B,{"licence","community"}))</f>
        <v>0</v>
      </c>
      <c r="L83" s="94" cm="1">
        <f t="array" ref="L83">SUM(SUMIFS('caseload data'!N:N,'caseload data'!$D:$D,"SPO",'caseload data'!$C:$C,'community caseload'!$B$78,'caseload data'!$B:$B,{"licence","community"}))</f>
        <v>0</v>
      </c>
      <c r="M83" s="94" cm="1">
        <f t="array" ref="M83">SUM(SUMIFS('caseload data'!O:O,'caseload data'!$D:$D,"SPO",'caseload data'!$C:$C,'community caseload'!$B$78,'caseload data'!$B:$B,{"licence","community"}))</f>
        <v>0</v>
      </c>
      <c r="N83" s="94" cm="1">
        <f t="array" ref="N83">SUM(SUMIFS('caseload data'!P:P,'caseload data'!$D:$D,"SPO",'caseload data'!$C:$C,'community caseload'!$B$78,'caseload data'!$B:$B,{"licence","community"}))</f>
        <v>0</v>
      </c>
      <c r="O83" s="94" cm="1">
        <f t="array" ref="O83">SUM(SUMIFS('caseload data'!Q:Q,'caseload data'!$D:$D,"SPO",'caseload data'!$C:$C,'community caseload'!$B$78,'caseload data'!$B:$B,{"licence","community"}))</f>
        <v>0</v>
      </c>
      <c r="P83" s="94" cm="1">
        <f t="array" ref="P83">SUM(SUMIFS('caseload data'!R:R,'caseload data'!$D:$D,"SPO",'caseload data'!$C:$C,'community caseload'!$B$78,'caseload data'!$B:$B,{"licence","community"}))</f>
        <v>0</v>
      </c>
      <c r="Q83" s="94" cm="1">
        <f t="array" ref="Q83">SUM(SUMIFS('caseload data'!S:S,'caseload data'!$D:$D,"SPO",'caseload data'!$C:$C,'community caseload'!$B$78,'caseload data'!$B:$B,{"licence","community"}))</f>
        <v>0</v>
      </c>
      <c r="R83" s="94" cm="1">
        <f t="array" ref="R83">SUM(SUMIFS('caseload data'!T:T,'caseload data'!$D:$D,"SPO",'caseload data'!$C:$C,'community caseload'!$B$78,'caseload data'!$B:$B,{"licence","community"}))</f>
        <v>0</v>
      </c>
      <c r="T83" s="98" t="s">
        <v>1009</v>
      </c>
      <c r="U83" s="94" cm="1">
        <f t="array" ref="U83">SUM(SUMIFS('caseload data'!E:E,'caseload data'!$D:$D,"SPO",'caseload data'!$C:$C,'community caseload'!$T$78,'caseload data'!$B:$B,{"licence","community"}))</f>
        <v>0</v>
      </c>
      <c r="V83" s="94" cm="1">
        <f t="array" ref="V83">SUM(SUMIFS('caseload data'!F:F,'caseload data'!$D:$D,"SPO",'caseload data'!$C:$C,'community caseload'!$T$78,'caseload data'!$B:$B,{"licence","community"}))</f>
        <v>0</v>
      </c>
      <c r="W83" s="94" cm="1">
        <f t="array" ref="W83">SUM(SUMIFS('caseload data'!G:G,'caseload data'!$D:$D,"SPO",'caseload data'!$C:$C,'community caseload'!$T$78,'caseload data'!$B:$B,{"licence","community"}))</f>
        <v>0</v>
      </c>
      <c r="X83" s="94" cm="1">
        <f t="array" ref="X83">SUM(SUMIFS('caseload data'!H:H,'caseload data'!$D:$D,"SPO",'caseload data'!$C:$C,'community caseload'!$T$78,'caseload data'!$B:$B,{"licence","community"}))</f>
        <v>0</v>
      </c>
      <c r="Y83" s="94" cm="1">
        <f t="array" ref="Y83">SUM(SUMIFS('caseload data'!I:I,'caseload data'!$D:$D,"SPO",'caseload data'!$C:$C,'community caseload'!$T$78,'caseload data'!$B:$B,{"licence","community"}))</f>
        <v>0</v>
      </c>
      <c r="Z83" s="94" cm="1">
        <f t="array" ref="Z83">SUM(SUMIFS('caseload data'!J:J,'caseload data'!$D:$D,"SPO",'caseload data'!$C:$C,'community caseload'!$T$78,'caseload data'!$B:$B,{"licence","community"}))</f>
        <v>0</v>
      </c>
      <c r="AA83" s="94" cm="1">
        <f t="array" ref="AA83">SUM(SUMIFS('caseload data'!K:K,'caseload data'!$D:$D,"SPO",'caseload data'!$C:$C,'community caseload'!$T$78,'caseload data'!$B:$B,{"licence","community"}))</f>
        <v>0</v>
      </c>
      <c r="AB83" s="94" cm="1">
        <f t="array" ref="AB83">SUM(SUMIFS('caseload data'!L:L,'caseload data'!$D:$D,"SPO",'caseload data'!$C:$C,'community caseload'!$T$78,'caseload data'!$B:$B,{"licence","community"}))</f>
        <v>0</v>
      </c>
      <c r="AC83" s="94" cm="1">
        <f t="array" ref="AC83">SUM(SUMIFS('caseload data'!M:M,'caseload data'!$D:$D,"SPO",'caseload data'!$C:$C,'community caseload'!$T$78,'caseload data'!$B:$B,{"licence","community"}))</f>
        <v>0</v>
      </c>
      <c r="AD83" s="94" cm="1">
        <f t="array" ref="AD83">SUM(SUMIFS('caseload data'!N:N,'caseload data'!$D:$D,"SPO",'caseload data'!$C:$C,'community caseload'!$T$78,'caseload data'!$B:$B,{"licence","community"}))</f>
        <v>0</v>
      </c>
      <c r="AE83" s="94" cm="1">
        <f t="array" ref="AE83">SUM(SUMIFS('caseload data'!O:O,'caseload data'!$D:$D,"SPO",'caseload data'!$C:$C,'community caseload'!$T$78,'caseload data'!$B:$B,{"licence","community"}))</f>
        <v>0</v>
      </c>
      <c r="AF83" s="94" cm="1">
        <f t="array" ref="AF83">SUM(SUMIFS('caseload data'!P:P,'caseload data'!$D:$D,"SPO",'caseload data'!$C:$C,'community caseload'!$T$78,'caseload data'!$B:$B,{"licence","community"}))</f>
        <v>0</v>
      </c>
      <c r="AG83" s="94" cm="1">
        <f t="array" ref="AG83">SUM(SUMIFS('caseload data'!Q:Q,'caseload data'!$D:$D,"SPO",'caseload data'!$C:$C,'community caseload'!$T$78,'caseload data'!$B:$B,{"licence","community"}))</f>
        <v>0</v>
      </c>
      <c r="AH83" s="94" cm="1">
        <f t="array" ref="AH83">SUM(SUMIFS('caseload data'!R:R,'caseload data'!$D:$D,"SPO",'caseload data'!$C:$C,'community caseload'!$T$78,'caseload data'!$B:$B,{"licence","community"}))</f>
        <v>0</v>
      </c>
      <c r="AI83" s="94" cm="1">
        <f t="array" ref="AI83">SUM(SUMIFS('caseload data'!S:S,'caseload data'!$D:$D,"SPO",'caseload data'!$C:$C,'community caseload'!$T$78,'caseload data'!$B:$B,{"licence","community"}))</f>
        <v>0</v>
      </c>
      <c r="AJ83" s="94" cm="1">
        <f t="array" ref="AJ83">SUM(SUMIFS('caseload data'!T:T,'caseload data'!$D:$D,"SPO",'caseload data'!$C:$C,'community caseload'!$T$78,'caseload data'!$B:$B,{"licence","community"}))</f>
        <v>0</v>
      </c>
    </row>
    <row r="85" spans="2:36" ht="33.75" customHeight="1" x14ac:dyDescent="0.15">
      <c r="B85" s="289">
        <f>HLOOKUP($B$5,Region_Table,24,0)</f>
        <v>0</v>
      </c>
      <c r="C85" s="507" t="s">
        <v>1135</v>
      </c>
      <c r="D85" s="508"/>
      <c r="E85" s="508"/>
      <c r="F85" s="508"/>
      <c r="G85" s="508"/>
      <c r="H85" s="508"/>
      <c r="I85" s="508"/>
      <c r="J85" s="508"/>
      <c r="K85" s="508"/>
      <c r="L85" s="508"/>
      <c r="M85" s="537"/>
      <c r="N85" s="537"/>
      <c r="O85" s="538"/>
      <c r="P85" s="510" cm="1">
        <f t="array" ref="P85">SUM(SUMIFS('caseload data'!V:V,'caseload data'!B:B,{"licence","community"},'caseload data'!$C:$C,'community caseload'!B85))</f>
        <v>0</v>
      </c>
      <c r="Q85" s="527"/>
      <c r="R85" s="528"/>
      <c r="S85" s="291"/>
      <c r="T85" s="289">
        <f>HLOOKUP($B$5,Region_Table,25,0)</f>
        <v>0</v>
      </c>
      <c r="U85" s="507" t="s">
        <v>1135</v>
      </c>
      <c r="V85" s="508"/>
      <c r="W85" s="508"/>
      <c r="X85" s="508"/>
      <c r="Y85" s="508"/>
      <c r="Z85" s="508"/>
      <c r="AA85" s="508"/>
      <c r="AB85" s="508"/>
      <c r="AC85" s="508"/>
      <c r="AD85" s="508"/>
      <c r="AE85" s="537"/>
      <c r="AF85" s="537"/>
      <c r="AG85" s="538"/>
      <c r="AH85" s="510" cm="1">
        <f t="array" ref="AH85">SUM(SUMIFS('caseload data'!V:V,'caseload data'!B:B,{"licence","community"},'caseload data'!$C:$C,'community caseload'!T85))</f>
        <v>0</v>
      </c>
      <c r="AI85" s="527"/>
      <c r="AJ85" s="528"/>
    </row>
    <row r="86" spans="2:36" x14ac:dyDescent="0.15">
      <c r="B86" s="95" t="s">
        <v>1005</v>
      </c>
      <c r="C86" s="38" t="s">
        <v>869</v>
      </c>
      <c r="D86" s="38" t="s">
        <v>870</v>
      </c>
      <c r="E86" s="38" t="s">
        <v>871</v>
      </c>
      <c r="F86" s="38" t="s">
        <v>872</v>
      </c>
      <c r="G86" s="38" t="s">
        <v>873</v>
      </c>
      <c r="H86" s="38" t="s">
        <v>874</v>
      </c>
      <c r="I86" s="38" t="s">
        <v>875</v>
      </c>
      <c r="J86" s="38" t="s">
        <v>876</v>
      </c>
      <c r="K86" s="38" t="s">
        <v>877</v>
      </c>
      <c r="L86" s="38" t="s">
        <v>878</v>
      </c>
      <c r="M86" s="38" t="s">
        <v>879</v>
      </c>
      <c r="N86" s="38" t="s">
        <v>880</v>
      </c>
      <c r="O86" s="38" t="s">
        <v>881</v>
      </c>
      <c r="P86" s="38" t="s">
        <v>882</v>
      </c>
      <c r="Q86" s="38" t="s">
        <v>883</v>
      </c>
      <c r="R86" s="38" t="s">
        <v>884</v>
      </c>
      <c r="T86" s="95" t="s">
        <v>1005</v>
      </c>
      <c r="U86" s="38" t="s">
        <v>869</v>
      </c>
      <c r="V86" s="38" t="s">
        <v>870</v>
      </c>
      <c r="W86" s="38" t="s">
        <v>871</v>
      </c>
      <c r="X86" s="38" t="s">
        <v>872</v>
      </c>
      <c r="Y86" s="38" t="s">
        <v>873</v>
      </c>
      <c r="Z86" s="38" t="s">
        <v>874</v>
      </c>
      <c r="AA86" s="38" t="s">
        <v>875</v>
      </c>
      <c r="AB86" s="38" t="s">
        <v>876</v>
      </c>
      <c r="AC86" s="38" t="s">
        <v>877</v>
      </c>
      <c r="AD86" s="38" t="s">
        <v>878</v>
      </c>
      <c r="AE86" s="38" t="s">
        <v>879</v>
      </c>
      <c r="AF86" s="38" t="s">
        <v>880</v>
      </c>
      <c r="AG86" s="38" t="s">
        <v>881</v>
      </c>
      <c r="AH86" s="38" t="s">
        <v>882</v>
      </c>
      <c r="AI86" s="38" t="s">
        <v>883</v>
      </c>
      <c r="AJ86" s="38" t="s">
        <v>884</v>
      </c>
    </row>
    <row r="87" spans="2:36" x14ac:dyDescent="0.15">
      <c r="B87" s="96" t="s">
        <v>1002</v>
      </c>
      <c r="C87" s="94" cm="1">
        <f t="array" ref="C87">SUM(SUMIFS('caseload data'!E:E,'caseload data'!$D:$D,"PO",'caseload data'!$C:$C,'community caseload'!$B$85,'caseload data'!$B:$B,{"licence","community"}))</f>
        <v>0</v>
      </c>
      <c r="D87" s="94" cm="1">
        <f t="array" ref="D87">SUM(SUMIFS('caseload data'!F:F,'caseload data'!$D:$D,"PO",'caseload data'!$C:$C,'community caseload'!$B$85,'caseload data'!$B:$B,{"licence","community"}))</f>
        <v>0</v>
      </c>
      <c r="E87" s="94" cm="1">
        <f t="array" ref="E87">SUM(SUMIFS('caseload data'!G:G,'caseload data'!$D:$D,"PO",'caseload data'!$C:$C,'community caseload'!$B$85,'caseload data'!$B:$B,{"licence","community"}))</f>
        <v>0</v>
      </c>
      <c r="F87" s="94" cm="1">
        <f t="array" ref="F87">SUM(SUMIFS('caseload data'!H:H,'caseload data'!$D:$D,"PO",'caseload data'!$C:$C,'community caseload'!$B$85,'caseload data'!$B:$B,{"licence","community"}))</f>
        <v>0</v>
      </c>
      <c r="G87" s="94" cm="1">
        <f t="array" ref="G87">SUM(SUMIFS('caseload data'!I:I,'caseload data'!$D:$D,"PO",'caseload data'!$C:$C,'community caseload'!$B$85,'caseload data'!$B:$B,{"licence","community"}))</f>
        <v>0</v>
      </c>
      <c r="H87" s="94" cm="1">
        <f t="array" ref="H87">SUM(SUMIFS('caseload data'!J:J,'caseload data'!$D:$D,"PO",'caseload data'!$C:$C,'community caseload'!$B$85,'caseload data'!$B:$B,{"licence","community"}))</f>
        <v>0</v>
      </c>
      <c r="I87" s="94" cm="1">
        <f t="array" ref="I87">SUM(SUMIFS('caseload data'!K:K,'caseload data'!$D:$D,"PO",'caseload data'!$C:$C,'community caseload'!$B$85,'caseload data'!$B:$B,{"licence","community"}))</f>
        <v>0</v>
      </c>
      <c r="J87" s="94" cm="1">
        <f t="array" ref="J87">SUM(SUMIFS('caseload data'!L:L,'caseload data'!$D:$D,"PO",'caseload data'!$C:$C,'community caseload'!$B$85,'caseload data'!$B:$B,{"licence","community"}))</f>
        <v>0</v>
      </c>
      <c r="K87" s="94" cm="1">
        <f t="array" ref="K87">SUM(SUMIFS('caseload data'!M:M,'caseload data'!$D:$D,"PO",'caseload data'!$C:$C,'community caseload'!$B$85,'caseload data'!$B:$B,{"licence","community"}))</f>
        <v>0</v>
      </c>
      <c r="L87" s="94" cm="1">
        <f t="array" ref="L87">SUM(SUMIFS('caseload data'!N:N,'caseload data'!$D:$D,"PO",'caseload data'!$C:$C,'community caseload'!$B$85,'caseload data'!$B:$B,{"licence","community"}))</f>
        <v>0</v>
      </c>
      <c r="M87" s="94" cm="1">
        <f t="array" ref="M87">SUM(SUMIFS('caseload data'!O:O,'caseload data'!$D:$D,"PO",'caseload data'!$C:$C,'community caseload'!$B$85,'caseload data'!$B:$B,{"licence","community"}))</f>
        <v>0</v>
      </c>
      <c r="N87" s="94" cm="1">
        <f t="array" ref="N87">SUM(SUMIFS('caseload data'!P:P,'caseload data'!$D:$D,"PO",'caseload data'!$C:$C,'community caseload'!$B$85,'caseload data'!$B:$B,{"licence","community"}))</f>
        <v>0</v>
      </c>
      <c r="O87" s="94" cm="1">
        <f t="array" ref="O87">SUM(SUMIFS('caseload data'!Q:Q,'caseload data'!$D:$D,"PO",'caseload data'!$C:$C,'community caseload'!$B$85,'caseload data'!$B:$B,{"licence","community"}))</f>
        <v>0</v>
      </c>
      <c r="P87" s="94" cm="1">
        <f t="array" ref="P87">SUM(SUMIFS('caseload data'!R:R,'caseload data'!$D:$D,"PO",'caseload data'!$C:$C,'community caseload'!$B$85,'caseload data'!$B:$B,{"licence","community"}))</f>
        <v>0</v>
      </c>
      <c r="Q87" s="94" cm="1">
        <f t="array" ref="Q87">SUM(SUMIFS('caseload data'!S:S,'caseload data'!$D:$D,"PO",'caseload data'!$C:$C,'community caseload'!$B$85,'caseload data'!$B:$B,{"licence","community"}))</f>
        <v>0</v>
      </c>
      <c r="R87" s="94" cm="1">
        <f t="array" ref="R87">SUM(SUMIFS('caseload data'!T:T,'caseload data'!$D:$D,"PO",'caseload data'!$C:$C,'community caseload'!$B$85,'caseload data'!$B:$B,{"licence","community"}))</f>
        <v>0</v>
      </c>
      <c r="T87" s="96" t="s">
        <v>1002</v>
      </c>
      <c r="U87" s="94" cm="1">
        <f t="array" ref="U87">SUM(SUMIFS('caseload data'!E:E,'caseload data'!$D:$D,"PO",'caseload data'!$C:$C,'community caseload'!$T$85,'caseload data'!$B:$B,{"licence","community"}))</f>
        <v>0</v>
      </c>
      <c r="V87" s="94" cm="1">
        <f t="array" ref="V87">SUM(SUMIFS('caseload data'!F:F,'caseload data'!$D:$D,"PO",'caseload data'!$C:$C,'community caseload'!$T$85,'caseload data'!$B:$B,{"licence","community"}))</f>
        <v>0</v>
      </c>
      <c r="W87" s="94" cm="1">
        <f t="array" ref="W87">SUM(SUMIFS('caseload data'!G:G,'caseload data'!$D:$D,"PO",'caseload data'!$C:$C,'community caseload'!$T$85,'caseload data'!$B:$B,{"licence","community"}))</f>
        <v>0</v>
      </c>
      <c r="X87" s="94" cm="1">
        <f t="array" ref="X87">SUM(SUMIFS('caseload data'!H:H,'caseload data'!$D:$D,"PO",'caseload data'!$C:$C,'community caseload'!$T$85,'caseload data'!$B:$B,{"licence","community"}))</f>
        <v>0</v>
      </c>
      <c r="Y87" s="94" cm="1">
        <f t="array" ref="Y87">SUM(SUMIFS('caseload data'!I:I,'caseload data'!$D:$D,"PO",'caseload data'!$C:$C,'community caseload'!$T$85,'caseload data'!$B:$B,{"licence","community"}))</f>
        <v>0</v>
      </c>
      <c r="Z87" s="94" cm="1">
        <f t="array" ref="Z87">SUM(SUMIFS('caseload data'!J:J,'caseload data'!$D:$D,"PO",'caseload data'!$C:$C,'community caseload'!$T$85,'caseload data'!$B:$B,{"licence","community"}))</f>
        <v>0</v>
      </c>
      <c r="AA87" s="94" cm="1">
        <f t="array" ref="AA87">SUM(SUMIFS('caseload data'!K:K,'caseload data'!$D:$D,"PO",'caseload data'!$C:$C,'community caseload'!$T$85,'caseload data'!$B:$B,{"licence","community"}))</f>
        <v>0</v>
      </c>
      <c r="AB87" s="94" cm="1">
        <f t="array" ref="AB87">SUM(SUMIFS('caseload data'!L:L,'caseload data'!$D:$D,"PO",'caseload data'!$C:$C,'community caseload'!$T$85,'caseload data'!$B:$B,{"licence","community"}))</f>
        <v>0</v>
      </c>
      <c r="AC87" s="94" cm="1">
        <f t="array" ref="AC87">SUM(SUMIFS('caseload data'!M:M,'caseload data'!$D:$D,"PO",'caseload data'!$C:$C,'community caseload'!$T$85,'caseload data'!$B:$B,{"licence","community"}))</f>
        <v>0</v>
      </c>
      <c r="AD87" s="94" cm="1">
        <f t="array" ref="AD87">SUM(SUMIFS('caseload data'!N:N,'caseload data'!$D:$D,"PO",'caseload data'!$C:$C,'community caseload'!$T$85,'caseload data'!$B:$B,{"licence","community"}))</f>
        <v>0</v>
      </c>
      <c r="AE87" s="94" cm="1">
        <f t="array" ref="AE87">SUM(SUMIFS('caseload data'!O:O,'caseload data'!$D:$D,"PO",'caseload data'!$C:$C,'community caseload'!$T$85,'caseload data'!$B:$B,{"licence","community"}))</f>
        <v>0</v>
      </c>
      <c r="AF87" s="94" cm="1">
        <f t="array" ref="AF87">SUM(SUMIFS('caseload data'!P:P,'caseload data'!$D:$D,"PO",'caseload data'!$C:$C,'community caseload'!$T$85,'caseload data'!$B:$B,{"licence","community"}))</f>
        <v>0</v>
      </c>
      <c r="AG87" s="94" cm="1">
        <f t="array" ref="AG87">SUM(SUMIFS('caseload data'!Q:Q,'caseload data'!$D:$D,"PO",'caseload data'!$C:$C,'community caseload'!$T$85,'caseload data'!$B:$B,{"licence","community"}))</f>
        <v>0</v>
      </c>
      <c r="AH87" s="94" cm="1">
        <f t="array" ref="AH87">SUM(SUMIFS('caseload data'!R:R,'caseload data'!$D:$D,"PO",'caseload data'!$C:$C,'community caseload'!$T$85,'caseload data'!$B:$B,{"licence","community"}))</f>
        <v>0</v>
      </c>
      <c r="AI87" s="94" cm="1">
        <f t="array" ref="AI87">SUM(SUMIFS('caseload data'!S:S,'caseload data'!$D:$D,"PO",'caseload data'!$C:$C,'community caseload'!$T$85,'caseload data'!$B:$B,{"licence","community"}))</f>
        <v>0</v>
      </c>
      <c r="AJ87" s="94" cm="1">
        <f t="array" ref="AJ87">SUM(SUMIFS('caseload data'!T:T,'caseload data'!$D:$D,"PO",'caseload data'!$C:$C,'community caseload'!$T$85,'caseload data'!$B:$B,{"licence","community"}))</f>
        <v>0</v>
      </c>
    </row>
    <row r="88" spans="2:36" x14ac:dyDescent="0.15">
      <c r="B88" s="97" t="s">
        <v>1007</v>
      </c>
      <c r="C88" s="94" cm="1">
        <f t="array" ref="C88">SUM(SUMIFS('caseload data'!E:E,'caseload data'!$D:$D,"PSO",'caseload data'!$C:$C,'community caseload'!$B$85,'caseload data'!$B:$B,{"licence","community"}))</f>
        <v>0</v>
      </c>
      <c r="D88" s="94" cm="1">
        <f t="array" ref="D88">SUM(SUMIFS('caseload data'!F:F,'caseload data'!$D:$D,"PSO",'caseload data'!$C:$C,'community caseload'!$B$85,'caseload data'!$B:$B,{"licence","community"}))</f>
        <v>0</v>
      </c>
      <c r="E88" s="94" cm="1">
        <f t="array" ref="E88">SUM(SUMIFS('caseload data'!G:G,'caseload data'!$D:$D,"PSO",'caseload data'!$C:$C,'community caseload'!$B$85,'caseload data'!$B:$B,{"licence","community"}))</f>
        <v>0</v>
      </c>
      <c r="F88" s="94" cm="1">
        <f t="array" ref="F88">SUM(SUMIFS('caseload data'!H:H,'caseload data'!$D:$D,"PSO",'caseload data'!$C:$C,'community caseload'!$B$85,'caseload data'!$B:$B,{"licence","community"}))</f>
        <v>0</v>
      </c>
      <c r="G88" s="94" cm="1">
        <f t="array" ref="G88">SUM(SUMIFS('caseload data'!I:I,'caseload data'!$D:$D,"PSO",'caseload data'!$C:$C,'community caseload'!$B$85,'caseload data'!$B:$B,{"licence","community"}))</f>
        <v>0</v>
      </c>
      <c r="H88" s="94" cm="1">
        <f t="array" ref="H88">SUM(SUMIFS('caseload data'!J:J,'caseload data'!$D:$D,"PSO",'caseload data'!$C:$C,'community caseload'!$B$85,'caseload data'!$B:$B,{"licence","community"}))</f>
        <v>0</v>
      </c>
      <c r="I88" s="94" cm="1">
        <f t="array" ref="I88">SUM(SUMIFS('caseload data'!K:K,'caseload data'!$D:$D,"PSO",'caseload data'!$C:$C,'community caseload'!$B$85,'caseload data'!$B:$B,{"licence","community"}))</f>
        <v>0</v>
      </c>
      <c r="J88" s="94" cm="1">
        <f t="array" ref="J88">SUM(SUMIFS('caseload data'!L:L,'caseload data'!$D:$D,"PSO",'caseload data'!$C:$C,'community caseload'!$B$85,'caseload data'!$B:$B,{"licence","community"}))</f>
        <v>0</v>
      </c>
      <c r="K88" s="94" cm="1">
        <f t="array" ref="K88">SUM(SUMIFS('caseload data'!M:M,'caseload data'!$D:$D,"PSO",'caseload data'!$C:$C,'community caseload'!$B$85,'caseload data'!$B:$B,{"licence","community"}))</f>
        <v>0</v>
      </c>
      <c r="L88" s="94" cm="1">
        <f t="array" ref="L88">SUM(SUMIFS('caseload data'!N:N,'caseload data'!$D:$D,"PSO",'caseload data'!$C:$C,'community caseload'!$B$85,'caseload data'!$B:$B,{"licence","community"}))</f>
        <v>0</v>
      </c>
      <c r="M88" s="94" cm="1">
        <f t="array" ref="M88">SUM(SUMIFS('caseload data'!O:O,'caseload data'!$D:$D,"PSO",'caseload data'!$C:$C,'community caseload'!$B$85,'caseload data'!$B:$B,{"licence","community"}))</f>
        <v>0</v>
      </c>
      <c r="N88" s="94" cm="1">
        <f t="array" ref="N88">SUM(SUMIFS('caseload data'!P:P,'caseload data'!$D:$D,"PSO",'caseload data'!$C:$C,'community caseload'!$B$85,'caseload data'!$B:$B,{"licence","community"}))</f>
        <v>0</v>
      </c>
      <c r="O88" s="94" cm="1">
        <f t="array" ref="O88">SUM(SUMIFS('caseload data'!Q:Q,'caseload data'!$D:$D,"PSO",'caseload data'!$C:$C,'community caseload'!$B$85,'caseload data'!$B:$B,{"licence","community"}))</f>
        <v>0</v>
      </c>
      <c r="P88" s="94" cm="1">
        <f t="array" ref="P88">SUM(SUMIFS('caseload data'!R:R,'caseload data'!$D:$D,"PSO",'caseload data'!$C:$C,'community caseload'!$B$85,'caseload data'!$B:$B,{"licence","community"}))</f>
        <v>0</v>
      </c>
      <c r="Q88" s="94" cm="1">
        <f t="array" ref="Q88">SUM(SUMIFS('caseload data'!S:S,'caseload data'!$D:$D,"PSO",'caseload data'!$C:$C,'community caseload'!$B$85,'caseload data'!$B:$B,{"licence","community"}))</f>
        <v>0</v>
      </c>
      <c r="R88" s="94" cm="1">
        <f t="array" ref="R88">SUM(SUMIFS('caseload data'!T:T,'caseload data'!$D:$D,"PSO",'caseload data'!$C:$C,'community caseload'!$B$85,'caseload data'!$B:$B,{"licence","community"}))</f>
        <v>0</v>
      </c>
      <c r="T88" s="97" t="s">
        <v>1007</v>
      </c>
      <c r="U88" s="94" cm="1">
        <f t="array" ref="U88">SUM(SUMIFS('caseload data'!E:E,'caseload data'!$D:$D,"PSO",'caseload data'!$C:$C,'community caseload'!$T$85,'caseload data'!$B:$B,{"licence","community"}))</f>
        <v>0</v>
      </c>
      <c r="V88" s="94" cm="1">
        <f t="array" ref="V88">SUM(SUMIFS('caseload data'!F:F,'caseload data'!$D:$D,"PSO",'caseload data'!$C:$C,'community caseload'!$T$85,'caseload data'!$B:$B,{"licence","community"}))</f>
        <v>0</v>
      </c>
      <c r="W88" s="94" cm="1">
        <f t="array" ref="W88">SUM(SUMIFS('caseload data'!G:G,'caseload data'!$D:$D,"PSO",'caseload data'!$C:$C,'community caseload'!$T$85,'caseload data'!$B:$B,{"licence","community"}))</f>
        <v>0</v>
      </c>
      <c r="X88" s="94" cm="1">
        <f t="array" ref="X88">SUM(SUMIFS('caseload data'!H:H,'caseload data'!$D:$D,"PSO",'caseload data'!$C:$C,'community caseload'!$T$85,'caseload data'!$B:$B,{"licence","community"}))</f>
        <v>0</v>
      </c>
      <c r="Y88" s="94" cm="1">
        <f t="array" ref="Y88">SUM(SUMIFS('caseload data'!I:I,'caseload data'!$D:$D,"PSO",'caseload data'!$C:$C,'community caseload'!$T$85,'caseload data'!$B:$B,{"licence","community"}))</f>
        <v>0</v>
      </c>
      <c r="Z88" s="94" cm="1">
        <f t="array" ref="Z88">SUM(SUMIFS('caseload data'!J:J,'caseload data'!$D:$D,"PSO",'caseload data'!$C:$C,'community caseload'!$T$85,'caseload data'!$B:$B,{"licence","community"}))</f>
        <v>0</v>
      </c>
      <c r="AA88" s="94" cm="1">
        <f t="array" ref="AA88">SUM(SUMIFS('caseload data'!K:K,'caseload data'!$D:$D,"PSO",'caseload data'!$C:$C,'community caseload'!$T$85,'caseload data'!$B:$B,{"licence","community"}))</f>
        <v>0</v>
      </c>
      <c r="AB88" s="94" cm="1">
        <f t="array" ref="AB88">SUM(SUMIFS('caseload data'!L:L,'caseload data'!$D:$D,"PSO",'caseload data'!$C:$C,'community caseload'!$T$85,'caseload data'!$B:$B,{"licence","community"}))</f>
        <v>0</v>
      </c>
      <c r="AC88" s="94" cm="1">
        <f t="array" ref="AC88">SUM(SUMIFS('caseload data'!M:M,'caseload data'!$D:$D,"PSO",'caseload data'!$C:$C,'community caseload'!$T$85,'caseload data'!$B:$B,{"licence","community"}))</f>
        <v>0</v>
      </c>
      <c r="AD88" s="94" cm="1">
        <f t="array" ref="AD88">SUM(SUMIFS('caseload data'!N:N,'caseload data'!$D:$D,"PSO",'caseload data'!$C:$C,'community caseload'!$T$85,'caseload data'!$B:$B,{"licence","community"}))</f>
        <v>0</v>
      </c>
      <c r="AE88" s="94" cm="1">
        <f t="array" ref="AE88">SUM(SUMIFS('caseload data'!O:O,'caseload data'!$D:$D,"PSO",'caseload data'!$C:$C,'community caseload'!$T$85,'caseload data'!$B:$B,{"licence","community"}))</f>
        <v>0</v>
      </c>
      <c r="AF88" s="94" cm="1">
        <f t="array" ref="AF88">SUM(SUMIFS('caseload data'!P:P,'caseload data'!$D:$D,"PSO",'caseload data'!$C:$C,'community caseload'!$T$85,'caseload data'!$B:$B,{"licence","community"}))</f>
        <v>0</v>
      </c>
      <c r="AG88" s="94" cm="1">
        <f t="array" ref="AG88">SUM(SUMIFS('caseload data'!Q:Q,'caseload data'!$D:$D,"PSO",'caseload data'!$C:$C,'community caseload'!$T$85,'caseload data'!$B:$B,{"licence","community"}))</f>
        <v>0</v>
      </c>
      <c r="AH88" s="94" cm="1">
        <f t="array" ref="AH88">SUM(SUMIFS('caseload data'!R:R,'caseload data'!$D:$D,"PSO",'caseload data'!$C:$C,'community caseload'!$T$85,'caseload data'!$B:$B,{"licence","community"}))</f>
        <v>0</v>
      </c>
      <c r="AI88" s="94" cm="1">
        <f t="array" ref="AI88">SUM(SUMIFS('caseload data'!S:S,'caseload data'!$D:$D,"PSO",'caseload data'!$C:$C,'community caseload'!$T$85,'caseload data'!$B:$B,{"licence","community"}))</f>
        <v>0</v>
      </c>
      <c r="AJ88" s="94" cm="1">
        <f t="array" ref="AJ88">SUM(SUMIFS('caseload data'!T:T,'caseload data'!$D:$D,"PSO",'caseload data'!$C:$C,'community caseload'!$T$85,'caseload data'!$B:$B,{"licence","community"}))</f>
        <v>0</v>
      </c>
    </row>
    <row r="89" spans="2:36" x14ac:dyDescent="0.15">
      <c r="B89" s="97" t="s">
        <v>1008</v>
      </c>
      <c r="C89" s="94" cm="1">
        <f t="array" ref="C89">SUM(SUMIFS('caseload data'!E:E,'caseload data'!$D:$D,"TPO",'caseload data'!$C:$C,'community caseload'!$B$85,'caseload data'!$B:$B,{"licence","community"}))</f>
        <v>0</v>
      </c>
      <c r="D89" s="94" cm="1">
        <f t="array" ref="D89">SUM(SUMIFS('caseload data'!F:F,'caseload data'!$D:$D,"TPO",'caseload data'!$C:$C,'community caseload'!$B$85,'caseload data'!$B:$B,{"licence","community"}))</f>
        <v>0</v>
      </c>
      <c r="E89" s="94" cm="1">
        <f t="array" ref="E89">SUM(SUMIFS('caseload data'!G:G,'caseload data'!$D:$D,"TPO",'caseload data'!$C:$C,'community caseload'!$B$85,'caseload data'!$B:$B,{"licence","community"}))</f>
        <v>0</v>
      </c>
      <c r="F89" s="94" cm="1">
        <f t="array" ref="F89">SUM(SUMIFS('caseload data'!H:H,'caseload data'!$D:$D,"TPO",'caseload data'!$C:$C,'community caseload'!$B$85,'caseload data'!$B:$B,{"licence","community"}))</f>
        <v>0</v>
      </c>
      <c r="G89" s="94" cm="1">
        <f t="array" ref="G89">SUM(SUMIFS('caseload data'!I:I,'caseload data'!$D:$D,"TPO",'caseload data'!$C:$C,'community caseload'!$B$85,'caseload data'!$B:$B,{"licence","community"}))</f>
        <v>0</v>
      </c>
      <c r="H89" s="94" cm="1">
        <f t="array" ref="H89">SUM(SUMIFS('caseload data'!J:J,'caseload data'!$D:$D,"TPO",'caseload data'!$C:$C,'community caseload'!$B$85,'caseload data'!$B:$B,{"licence","community"}))</f>
        <v>0</v>
      </c>
      <c r="I89" s="94" cm="1">
        <f t="array" ref="I89">SUM(SUMIFS('caseload data'!K:K,'caseload data'!$D:$D,"TPO",'caseload data'!$C:$C,'community caseload'!$B$85,'caseload data'!$B:$B,{"licence","community"}))</f>
        <v>0</v>
      </c>
      <c r="J89" s="94" cm="1">
        <f t="array" ref="J89">SUM(SUMIFS('caseload data'!L:L,'caseload data'!$D:$D,"TPO",'caseload data'!$C:$C,'community caseload'!$B$85,'caseload data'!$B:$B,{"licence","community"}))</f>
        <v>0</v>
      </c>
      <c r="K89" s="94" cm="1">
        <f t="array" ref="K89">SUM(SUMIFS('caseload data'!M:M,'caseload data'!$D:$D,"TPO",'caseload data'!$C:$C,'community caseload'!$B$85,'caseload data'!$B:$B,{"licence","community"}))</f>
        <v>0</v>
      </c>
      <c r="L89" s="94" cm="1">
        <f t="array" ref="L89">SUM(SUMIFS('caseload data'!N:N,'caseload data'!$D:$D,"TPO",'caseload data'!$C:$C,'community caseload'!$B$85,'caseload data'!$B:$B,{"licence","community"}))</f>
        <v>0</v>
      </c>
      <c r="M89" s="94" cm="1">
        <f t="array" ref="M89">SUM(SUMIFS('caseload data'!O:O,'caseload data'!$D:$D,"TPO",'caseload data'!$C:$C,'community caseload'!$B$85,'caseload data'!$B:$B,{"licence","community"}))</f>
        <v>0</v>
      </c>
      <c r="N89" s="94" cm="1">
        <f t="array" ref="N89">SUM(SUMIFS('caseload data'!P:P,'caseload data'!$D:$D,"TPO",'caseload data'!$C:$C,'community caseload'!$B$85,'caseload data'!$B:$B,{"licence","community"}))</f>
        <v>0</v>
      </c>
      <c r="O89" s="94" cm="1">
        <f t="array" ref="O89">SUM(SUMIFS('caseload data'!Q:Q,'caseload data'!$D:$D,"TPO",'caseload data'!$C:$C,'community caseload'!$B$85,'caseload data'!$B:$B,{"licence","community"}))</f>
        <v>0</v>
      </c>
      <c r="P89" s="94" cm="1">
        <f t="array" ref="P89">SUM(SUMIFS('caseload data'!R:R,'caseload data'!$D:$D,"TPO",'caseload data'!$C:$C,'community caseload'!$B$85,'caseload data'!$B:$B,{"licence","community"}))</f>
        <v>0</v>
      </c>
      <c r="Q89" s="94" cm="1">
        <f t="array" ref="Q89">SUM(SUMIFS('caseload data'!S:S,'caseload data'!$D:$D,"TPO",'caseload data'!$C:$C,'community caseload'!$B$85,'caseload data'!$B:$B,{"licence","community"}))</f>
        <v>0</v>
      </c>
      <c r="R89" s="94" cm="1">
        <f t="array" ref="R89">SUM(SUMIFS('caseload data'!T:T,'caseload data'!$D:$D,"TPO",'caseload data'!$C:$C,'community caseload'!$B$85,'caseload data'!$B:$B,{"licence","community"}))</f>
        <v>0</v>
      </c>
      <c r="T89" s="97" t="s">
        <v>1008</v>
      </c>
      <c r="U89" s="94" cm="1">
        <f t="array" ref="U89">SUM(SUMIFS('caseload data'!E:E,'caseload data'!$D:$D,"TPO",'caseload data'!$C:$C,'community caseload'!$T$85,'caseload data'!$B:$B,{"licence","community"}))</f>
        <v>0</v>
      </c>
      <c r="V89" s="94" cm="1">
        <f t="array" ref="V89">SUM(SUMIFS('caseload data'!F:F,'caseload data'!$D:$D,"TPO",'caseload data'!$C:$C,'community caseload'!$T$85,'caseload data'!$B:$B,{"licence","community"}))</f>
        <v>0</v>
      </c>
      <c r="W89" s="94" cm="1">
        <f t="array" ref="W89">SUM(SUMIFS('caseload data'!G:G,'caseload data'!$D:$D,"TPO",'caseload data'!$C:$C,'community caseload'!$T$85,'caseload data'!$B:$B,{"licence","community"}))</f>
        <v>0</v>
      </c>
      <c r="X89" s="94" cm="1">
        <f t="array" ref="X89">SUM(SUMIFS('caseload data'!H:H,'caseload data'!$D:$D,"TPO",'caseload data'!$C:$C,'community caseload'!$T$85,'caseload data'!$B:$B,{"licence","community"}))</f>
        <v>0</v>
      </c>
      <c r="Y89" s="94" cm="1">
        <f t="array" ref="Y89">SUM(SUMIFS('caseload data'!I:I,'caseload data'!$D:$D,"TPO",'caseload data'!$C:$C,'community caseload'!$T$85,'caseload data'!$B:$B,{"licence","community"}))</f>
        <v>0</v>
      </c>
      <c r="Z89" s="94" cm="1">
        <f t="array" ref="Z89">SUM(SUMIFS('caseload data'!J:J,'caseload data'!$D:$D,"TPO",'caseload data'!$C:$C,'community caseload'!$T$85,'caseload data'!$B:$B,{"licence","community"}))</f>
        <v>0</v>
      </c>
      <c r="AA89" s="94" cm="1">
        <f t="array" ref="AA89">SUM(SUMIFS('caseload data'!K:K,'caseload data'!$D:$D,"TPO",'caseload data'!$C:$C,'community caseload'!$T$85,'caseload data'!$B:$B,{"licence","community"}))</f>
        <v>0</v>
      </c>
      <c r="AB89" s="94" cm="1">
        <f t="array" ref="AB89">SUM(SUMIFS('caseload data'!L:L,'caseload data'!$D:$D,"TPO",'caseload data'!$C:$C,'community caseload'!$T$85,'caseload data'!$B:$B,{"licence","community"}))</f>
        <v>0</v>
      </c>
      <c r="AC89" s="94" cm="1">
        <f t="array" ref="AC89">SUM(SUMIFS('caseload data'!M:M,'caseload data'!$D:$D,"TPO",'caseload data'!$C:$C,'community caseload'!$T$85,'caseload data'!$B:$B,{"licence","community"}))</f>
        <v>0</v>
      </c>
      <c r="AD89" s="94" cm="1">
        <f t="array" ref="AD89">SUM(SUMIFS('caseload data'!N:N,'caseload data'!$D:$D,"TPO",'caseload data'!$C:$C,'community caseload'!$T$85,'caseload data'!$B:$B,{"licence","community"}))</f>
        <v>0</v>
      </c>
      <c r="AE89" s="94" cm="1">
        <f t="array" ref="AE89">SUM(SUMIFS('caseload data'!O:O,'caseload data'!$D:$D,"TPO",'caseload data'!$C:$C,'community caseload'!$T$85,'caseload data'!$B:$B,{"licence","community"}))</f>
        <v>0</v>
      </c>
      <c r="AF89" s="94" cm="1">
        <f t="array" ref="AF89">SUM(SUMIFS('caseload data'!P:P,'caseload data'!$D:$D,"TPO",'caseload data'!$C:$C,'community caseload'!$T$85,'caseload data'!$B:$B,{"licence","community"}))</f>
        <v>0</v>
      </c>
      <c r="AG89" s="94" cm="1">
        <f t="array" ref="AG89">SUM(SUMIFS('caseload data'!Q:Q,'caseload data'!$D:$D,"TPO",'caseload data'!$C:$C,'community caseload'!$T$85,'caseload data'!$B:$B,{"licence","community"}))</f>
        <v>0</v>
      </c>
      <c r="AH89" s="94" cm="1">
        <f t="array" ref="AH89">SUM(SUMIFS('caseload data'!R:R,'caseload data'!$D:$D,"TPO",'caseload data'!$C:$C,'community caseload'!$T$85,'caseload data'!$B:$B,{"licence","community"}))</f>
        <v>0</v>
      </c>
      <c r="AI89" s="94" cm="1">
        <f t="array" ref="AI89">SUM(SUMIFS('caseload data'!S:S,'caseload data'!$D:$D,"TPO",'caseload data'!$C:$C,'community caseload'!$T$85,'caseload data'!$B:$B,{"licence","community"}))</f>
        <v>0</v>
      </c>
      <c r="AJ89" s="94" cm="1">
        <f t="array" ref="AJ89">SUM(SUMIFS('caseload data'!T:T,'caseload data'!$D:$D,"TPO",'caseload data'!$C:$C,'community caseload'!$T$85,'caseload data'!$B:$B,{"licence","community"}))</f>
        <v>0</v>
      </c>
    </row>
    <row r="90" spans="2:36" x14ac:dyDescent="0.15">
      <c r="B90" s="98" t="s">
        <v>1009</v>
      </c>
      <c r="C90" s="94" cm="1">
        <f t="array" ref="C90">SUM(SUMIFS('caseload data'!E:E,'caseload data'!$D:$D,"SPO",'caseload data'!$C:$C,'community caseload'!$B$85,'caseload data'!$B:$B,{"licence","community"}))</f>
        <v>0</v>
      </c>
      <c r="D90" s="94" cm="1">
        <f t="array" ref="D90">SUM(SUMIFS('caseload data'!F:F,'caseload data'!$D:$D,"SPO",'caseload data'!$C:$C,'community caseload'!$B$85,'caseload data'!$B:$B,{"licence","community"}))</f>
        <v>0</v>
      </c>
      <c r="E90" s="94" cm="1">
        <f t="array" ref="E90">SUM(SUMIFS('caseload data'!G:G,'caseload data'!$D:$D,"SPO",'caseload data'!$C:$C,'community caseload'!$B$85,'caseload data'!$B:$B,{"licence","community"}))</f>
        <v>0</v>
      </c>
      <c r="F90" s="94" cm="1">
        <f t="array" ref="F90">SUM(SUMIFS('caseload data'!H:H,'caseload data'!$D:$D,"SPO",'caseload data'!$C:$C,'community caseload'!$B$85,'caseload data'!$B:$B,{"licence","community"}))</f>
        <v>0</v>
      </c>
      <c r="G90" s="94" cm="1">
        <f t="array" ref="G90">SUM(SUMIFS('caseload data'!I:I,'caseload data'!$D:$D,"SPO",'caseload data'!$C:$C,'community caseload'!$B$85,'caseload data'!$B:$B,{"licence","community"}))</f>
        <v>0</v>
      </c>
      <c r="H90" s="94" cm="1">
        <f t="array" ref="H90">SUM(SUMIFS('caseload data'!J:J,'caseload data'!$D:$D,"SPO",'caseload data'!$C:$C,'community caseload'!$B$85,'caseload data'!$B:$B,{"licence","community"}))</f>
        <v>0</v>
      </c>
      <c r="I90" s="94" cm="1">
        <f t="array" ref="I90">SUM(SUMIFS('caseload data'!K:K,'caseload data'!$D:$D,"SPO",'caseload data'!$C:$C,'community caseload'!$B$85,'caseload data'!$B:$B,{"licence","community"}))</f>
        <v>0</v>
      </c>
      <c r="J90" s="94" cm="1">
        <f t="array" ref="J90">SUM(SUMIFS('caseload data'!L:L,'caseload data'!$D:$D,"SPO",'caseload data'!$C:$C,'community caseload'!$B$85,'caseload data'!$B:$B,{"licence","community"}))</f>
        <v>0</v>
      </c>
      <c r="K90" s="94" cm="1">
        <f t="array" ref="K90">SUM(SUMIFS('caseload data'!M:M,'caseload data'!$D:$D,"SPO",'caseload data'!$C:$C,'community caseload'!$B$85,'caseload data'!$B:$B,{"licence","community"}))</f>
        <v>0</v>
      </c>
      <c r="L90" s="94" cm="1">
        <f t="array" ref="L90">SUM(SUMIFS('caseload data'!N:N,'caseload data'!$D:$D,"SPO",'caseload data'!$C:$C,'community caseload'!$B$85,'caseload data'!$B:$B,{"licence","community"}))</f>
        <v>0</v>
      </c>
      <c r="M90" s="94" cm="1">
        <f t="array" ref="M90">SUM(SUMIFS('caseload data'!O:O,'caseload data'!$D:$D,"SPO",'caseload data'!$C:$C,'community caseload'!$B$85,'caseload data'!$B:$B,{"licence","community"}))</f>
        <v>0</v>
      </c>
      <c r="N90" s="94" cm="1">
        <f t="array" ref="N90">SUM(SUMIFS('caseload data'!P:P,'caseload data'!$D:$D,"SPO",'caseload data'!$C:$C,'community caseload'!$B$85,'caseload data'!$B:$B,{"licence","community"}))</f>
        <v>0</v>
      </c>
      <c r="O90" s="94" cm="1">
        <f t="array" ref="O90">SUM(SUMIFS('caseload data'!Q:Q,'caseload data'!$D:$D,"SPO",'caseload data'!$C:$C,'community caseload'!$B$85,'caseload data'!$B:$B,{"licence","community"}))</f>
        <v>0</v>
      </c>
      <c r="P90" s="94" cm="1">
        <f t="array" ref="P90">SUM(SUMIFS('caseload data'!R:R,'caseload data'!$D:$D,"SPO",'caseload data'!$C:$C,'community caseload'!$B$85,'caseload data'!$B:$B,{"licence","community"}))</f>
        <v>0</v>
      </c>
      <c r="Q90" s="94" cm="1">
        <f t="array" ref="Q90">SUM(SUMIFS('caseload data'!S:S,'caseload data'!$D:$D,"SPO",'caseload data'!$C:$C,'community caseload'!$B$85,'caseload data'!$B:$B,{"licence","community"}))</f>
        <v>0</v>
      </c>
      <c r="R90" s="94" cm="1">
        <f t="array" ref="R90">SUM(SUMIFS('caseload data'!T:T,'caseload data'!$D:$D,"SPO",'caseload data'!$C:$C,'community caseload'!$B$85,'caseload data'!$B:$B,{"licence","community"}))</f>
        <v>0</v>
      </c>
      <c r="T90" s="98" t="s">
        <v>1009</v>
      </c>
      <c r="U90" s="94" cm="1">
        <f t="array" ref="U90">SUM(SUMIFS('caseload data'!E:E,'caseload data'!$D:$D,"SPO",'caseload data'!$C:$C,'community caseload'!$T$85,'caseload data'!$B:$B,{"licence","community"}))</f>
        <v>0</v>
      </c>
      <c r="V90" s="94" cm="1">
        <f t="array" ref="V90">SUM(SUMIFS('caseload data'!F:F,'caseload data'!$D:$D,"SPO",'caseload data'!$C:$C,'community caseload'!$T$85,'caseload data'!$B:$B,{"licence","community"}))</f>
        <v>0</v>
      </c>
      <c r="W90" s="94" cm="1">
        <f t="array" ref="W90">SUM(SUMIFS('caseload data'!G:G,'caseload data'!$D:$D,"SPO",'caseload data'!$C:$C,'community caseload'!$T$85,'caseload data'!$B:$B,{"licence","community"}))</f>
        <v>0</v>
      </c>
      <c r="X90" s="94" cm="1">
        <f t="array" ref="X90">SUM(SUMIFS('caseload data'!H:H,'caseload data'!$D:$D,"SPO",'caseload data'!$C:$C,'community caseload'!$T$85,'caseload data'!$B:$B,{"licence","community"}))</f>
        <v>0</v>
      </c>
      <c r="Y90" s="94" cm="1">
        <f t="array" ref="Y90">SUM(SUMIFS('caseload data'!I:I,'caseload data'!$D:$D,"SPO",'caseload data'!$C:$C,'community caseload'!$T$85,'caseload data'!$B:$B,{"licence","community"}))</f>
        <v>0</v>
      </c>
      <c r="Z90" s="94" cm="1">
        <f t="array" ref="Z90">SUM(SUMIFS('caseload data'!J:J,'caseload data'!$D:$D,"SPO",'caseload data'!$C:$C,'community caseload'!$T$85,'caseload data'!$B:$B,{"licence","community"}))</f>
        <v>0</v>
      </c>
      <c r="AA90" s="94" cm="1">
        <f t="array" ref="AA90">SUM(SUMIFS('caseload data'!K:K,'caseload data'!$D:$D,"SPO",'caseload data'!$C:$C,'community caseload'!$T$85,'caseload data'!$B:$B,{"licence","community"}))</f>
        <v>0</v>
      </c>
      <c r="AB90" s="94" cm="1">
        <f t="array" ref="AB90">SUM(SUMIFS('caseload data'!L:L,'caseload data'!$D:$D,"SPO",'caseload data'!$C:$C,'community caseload'!$T$85,'caseload data'!$B:$B,{"licence","community"}))</f>
        <v>0</v>
      </c>
      <c r="AC90" s="94" cm="1">
        <f t="array" ref="AC90">SUM(SUMIFS('caseload data'!M:M,'caseload data'!$D:$D,"SPO",'caseload data'!$C:$C,'community caseload'!$T$85,'caseload data'!$B:$B,{"licence","community"}))</f>
        <v>0</v>
      </c>
      <c r="AD90" s="94" cm="1">
        <f t="array" ref="AD90">SUM(SUMIFS('caseload data'!N:N,'caseload data'!$D:$D,"SPO",'caseload data'!$C:$C,'community caseload'!$T$85,'caseload data'!$B:$B,{"licence","community"}))</f>
        <v>0</v>
      </c>
      <c r="AE90" s="94" cm="1">
        <f t="array" ref="AE90">SUM(SUMIFS('caseload data'!O:O,'caseload data'!$D:$D,"SPO",'caseload data'!$C:$C,'community caseload'!$T$85,'caseload data'!$B:$B,{"licence","community"}))</f>
        <v>0</v>
      </c>
      <c r="AF90" s="94" cm="1">
        <f t="array" ref="AF90">SUM(SUMIFS('caseload data'!P:P,'caseload data'!$D:$D,"SPO",'caseload data'!$C:$C,'community caseload'!$T$85,'caseload data'!$B:$B,{"licence","community"}))</f>
        <v>0</v>
      </c>
      <c r="AG90" s="94" cm="1">
        <f t="array" ref="AG90">SUM(SUMIFS('caseload data'!Q:Q,'caseload data'!$D:$D,"SPO",'caseload data'!$C:$C,'community caseload'!$T$85,'caseload data'!$B:$B,{"licence","community"}))</f>
        <v>0</v>
      </c>
      <c r="AH90" s="94" cm="1">
        <f t="array" ref="AH90">SUM(SUMIFS('caseload data'!R:R,'caseload data'!$D:$D,"SPO",'caseload data'!$C:$C,'community caseload'!$T$85,'caseload data'!$B:$B,{"licence","community"}))</f>
        <v>0</v>
      </c>
      <c r="AI90" s="94" cm="1">
        <f t="array" ref="AI90">SUM(SUMIFS('caseload data'!S:S,'caseload data'!$D:$D,"SPO",'caseload data'!$C:$C,'community caseload'!$T$85,'caseload data'!$B:$B,{"licence","community"}))</f>
        <v>0</v>
      </c>
      <c r="AJ90" s="94" cm="1">
        <f t="array" ref="AJ90">SUM(SUMIFS('caseload data'!T:T,'caseload data'!$D:$D,"SPO",'caseload data'!$C:$C,'community caseload'!$T$85,'caseload data'!$B:$B,{"licence","community"}))</f>
        <v>0</v>
      </c>
    </row>
    <row r="92" spans="2:36" ht="27.75" customHeight="1" x14ac:dyDescent="0.15">
      <c r="B92" s="289">
        <f>HLOOKUP($B$5,Region_Table,26,0)</f>
        <v>0</v>
      </c>
      <c r="C92" s="507" t="s">
        <v>1135</v>
      </c>
      <c r="D92" s="508"/>
      <c r="E92" s="508"/>
      <c r="F92" s="508"/>
      <c r="G92" s="508"/>
      <c r="H92" s="508"/>
      <c r="I92" s="508"/>
      <c r="J92" s="508"/>
      <c r="K92" s="508"/>
      <c r="L92" s="508"/>
      <c r="M92" s="537"/>
      <c r="N92" s="537"/>
      <c r="O92" s="538"/>
      <c r="P92" s="510" cm="1">
        <f t="array" ref="P92">SUM(SUMIFS('caseload data'!V:V,'caseload data'!B:B,{"licence","community"},'caseload data'!$C:$C,'community caseload'!B92))</f>
        <v>0</v>
      </c>
      <c r="Q92" s="527"/>
      <c r="R92" s="528"/>
      <c r="T92" s="289">
        <f>HLOOKUP($B$5,Region_Table,27,0)</f>
        <v>0</v>
      </c>
      <c r="U92" s="507" t="s">
        <v>1135</v>
      </c>
      <c r="V92" s="508"/>
      <c r="W92" s="508"/>
      <c r="X92" s="508"/>
      <c r="Y92" s="508"/>
      <c r="Z92" s="508"/>
      <c r="AA92" s="508"/>
      <c r="AB92" s="508"/>
      <c r="AC92" s="508"/>
      <c r="AD92" s="508"/>
      <c r="AE92" s="537"/>
      <c r="AF92" s="537"/>
      <c r="AG92" s="538"/>
      <c r="AH92" s="510" cm="1">
        <f t="array" ref="AH92">SUM(SUMIFS('caseload data'!V:V,'caseload data'!B:B,{"licence","community"},'caseload data'!$C:$C,'community caseload'!T92))</f>
        <v>0</v>
      </c>
      <c r="AI92" s="527"/>
      <c r="AJ92" s="528"/>
    </row>
    <row r="93" spans="2:36" x14ac:dyDescent="0.15">
      <c r="B93" s="95" t="s">
        <v>1005</v>
      </c>
      <c r="C93" s="38" t="s">
        <v>869</v>
      </c>
      <c r="D93" s="38" t="s">
        <v>870</v>
      </c>
      <c r="E93" s="38" t="s">
        <v>871</v>
      </c>
      <c r="F93" s="38" t="s">
        <v>872</v>
      </c>
      <c r="G93" s="38" t="s">
        <v>873</v>
      </c>
      <c r="H93" s="38" t="s">
        <v>874</v>
      </c>
      <c r="I93" s="38" t="s">
        <v>875</v>
      </c>
      <c r="J93" s="38" t="s">
        <v>876</v>
      </c>
      <c r="K93" s="38" t="s">
        <v>877</v>
      </c>
      <c r="L93" s="38" t="s">
        <v>878</v>
      </c>
      <c r="M93" s="38" t="s">
        <v>879</v>
      </c>
      <c r="N93" s="38" t="s">
        <v>880</v>
      </c>
      <c r="O93" s="38" t="s">
        <v>881</v>
      </c>
      <c r="P93" s="38" t="s">
        <v>882</v>
      </c>
      <c r="Q93" s="38" t="s">
        <v>883</v>
      </c>
      <c r="R93" s="38" t="s">
        <v>884</v>
      </c>
      <c r="T93" s="95" t="s">
        <v>1005</v>
      </c>
      <c r="U93" s="38" t="s">
        <v>869</v>
      </c>
      <c r="V93" s="38" t="s">
        <v>870</v>
      </c>
      <c r="W93" s="38" t="s">
        <v>871</v>
      </c>
      <c r="X93" s="38" t="s">
        <v>872</v>
      </c>
      <c r="Y93" s="38" t="s">
        <v>873</v>
      </c>
      <c r="Z93" s="38" t="s">
        <v>874</v>
      </c>
      <c r="AA93" s="38" t="s">
        <v>875</v>
      </c>
      <c r="AB93" s="38" t="s">
        <v>876</v>
      </c>
      <c r="AC93" s="38" t="s">
        <v>877</v>
      </c>
      <c r="AD93" s="38" t="s">
        <v>878</v>
      </c>
      <c r="AE93" s="38" t="s">
        <v>879</v>
      </c>
      <c r="AF93" s="38" t="s">
        <v>880</v>
      </c>
      <c r="AG93" s="38" t="s">
        <v>881</v>
      </c>
      <c r="AH93" s="38" t="s">
        <v>882</v>
      </c>
      <c r="AI93" s="38" t="s">
        <v>883</v>
      </c>
      <c r="AJ93" s="38" t="s">
        <v>884</v>
      </c>
    </row>
    <row r="94" spans="2:36" x14ac:dyDescent="0.15">
      <c r="B94" s="96" t="s">
        <v>1002</v>
      </c>
      <c r="C94" s="94" cm="1">
        <f t="array" ref="C94">SUM(SUMIFS('caseload data'!E:E,'caseload data'!$D:$D,"PO",'caseload data'!$C:$C,'community caseload'!$B$92,'caseload data'!$B:$B,{"licence","community"}))</f>
        <v>0</v>
      </c>
      <c r="D94" s="94" cm="1">
        <f t="array" ref="D94">SUM(SUMIFS('caseload data'!F:F,'caseload data'!$D:$D,"PO",'caseload data'!$C:$C,'community caseload'!$B$92,'caseload data'!$B:$B,{"licence","community"}))</f>
        <v>0</v>
      </c>
      <c r="E94" s="94" cm="1">
        <f t="array" ref="E94">SUM(SUMIFS('caseload data'!G:G,'caseload data'!$D:$D,"PO",'caseload data'!$C:$C,'community caseload'!$B$92,'caseload data'!$B:$B,{"licence","community"}))</f>
        <v>0</v>
      </c>
      <c r="F94" s="94" cm="1">
        <f t="array" ref="F94">SUM(SUMIFS('caseload data'!H:H,'caseload data'!$D:$D,"PO",'caseload data'!$C:$C,'community caseload'!$B$92,'caseload data'!$B:$B,{"licence","community"}))</f>
        <v>0</v>
      </c>
      <c r="G94" s="94" cm="1">
        <f t="array" ref="G94">SUM(SUMIFS('caseload data'!I:I,'caseload data'!$D:$D,"PO",'caseload data'!$C:$C,'community caseload'!$B$92,'caseload data'!$B:$B,{"licence","community"}))</f>
        <v>0</v>
      </c>
      <c r="H94" s="94" cm="1">
        <f t="array" ref="H94">SUM(SUMIFS('caseload data'!J:J,'caseload data'!$D:$D,"PO",'caseload data'!$C:$C,'community caseload'!$B$92,'caseload data'!$B:$B,{"licence","community"}))</f>
        <v>0</v>
      </c>
      <c r="I94" s="94" cm="1">
        <f t="array" ref="I94">SUM(SUMIFS('caseload data'!K:K,'caseload data'!$D:$D,"PO",'caseload data'!$C:$C,'community caseload'!$B$92,'caseload data'!$B:$B,{"licence","community"}))</f>
        <v>0</v>
      </c>
      <c r="J94" s="94" cm="1">
        <f t="array" ref="J94">SUM(SUMIFS('caseload data'!L:L,'caseload data'!$D:$D,"PO",'caseload data'!$C:$C,'community caseload'!$B$92,'caseload data'!$B:$B,{"licence","community"}))</f>
        <v>0</v>
      </c>
      <c r="K94" s="94" cm="1">
        <f t="array" ref="K94">SUM(SUMIFS('caseload data'!M:M,'caseload data'!$D:$D,"PO",'caseload data'!$C:$C,'community caseload'!$B$92,'caseload data'!$B:$B,{"licence","community"}))</f>
        <v>0</v>
      </c>
      <c r="L94" s="94" cm="1">
        <f t="array" ref="L94">SUM(SUMIFS('caseload data'!N:N,'caseload data'!$D:$D,"PO",'caseload data'!$C:$C,'community caseload'!$B$92,'caseload data'!$B:$B,{"licence","community"}))</f>
        <v>0</v>
      </c>
      <c r="M94" s="94" cm="1">
        <f t="array" ref="M94">SUM(SUMIFS('caseload data'!O:O,'caseload data'!$D:$D,"PO",'caseload data'!$C:$C,'community caseload'!$B$92,'caseload data'!$B:$B,{"licence","community"}))</f>
        <v>0</v>
      </c>
      <c r="N94" s="94" cm="1">
        <f t="array" ref="N94">SUM(SUMIFS('caseload data'!P:P,'caseload data'!$D:$D,"PO",'caseload data'!$C:$C,'community caseload'!$B$92,'caseload data'!$B:$B,{"licence","community"}))</f>
        <v>0</v>
      </c>
      <c r="O94" s="94" cm="1">
        <f t="array" ref="O94">SUM(SUMIFS('caseload data'!Q:Q,'caseload data'!$D:$D,"PO",'caseload data'!$C:$C,'community caseload'!$B$92,'caseload data'!$B:$B,{"licence","community"}))</f>
        <v>0</v>
      </c>
      <c r="P94" s="94" cm="1">
        <f t="array" ref="P94">SUM(SUMIFS('caseload data'!R:R,'caseload data'!$D:$D,"PO",'caseload data'!$C:$C,'community caseload'!$B$92,'caseload data'!$B:$B,{"licence","community"}))</f>
        <v>0</v>
      </c>
      <c r="Q94" s="94" cm="1">
        <f t="array" ref="Q94">SUM(SUMIFS('caseload data'!S:S,'caseload data'!$D:$D,"PO",'caseload data'!$C:$C,'community caseload'!$B$92,'caseload data'!$B:$B,{"licence","community"}))</f>
        <v>0</v>
      </c>
      <c r="R94" s="94" cm="1">
        <f t="array" ref="R94">SUM(SUMIFS('caseload data'!T:T,'caseload data'!$D:$D,"PO",'caseload data'!$C:$C,'community caseload'!$B$92,'caseload data'!$B:$B,{"licence","community"}))</f>
        <v>0</v>
      </c>
      <c r="T94" s="96" t="s">
        <v>1002</v>
      </c>
      <c r="U94" s="94" cm="1">
        <f t="array" ref="U94">SUM(SUMIFS('caseload data'!E:E,'caseload data'!$D:$D,"PO",'caseload data'!$C:$C,'community caseload'!$T$92,'caseload data'!$B:$B,{"licence","community"}))</f>
        <v>0</v>
      </c>
      <c r="V94" s="94" cm="1">
        <f t="array" ref="V94">SUM(SUMIFS('caseload data'!F:F,'caseload data'!$D:$D,"PO",'caseload data'!$C:$C,'community caseload'!$T$92,'caseload data'!$B:$B,{"licence","community"}))</f>
        <v>0</v>
      </c>
      <c r="W94" s="94" cm="1">
        <f t="array" ref="W94">SUM(SUMIFS('caseload data'!G:G,'caseload data'!$D:$D,"PO",'caseload data'!$C:$C,'community caseload'!$T$92,'caseload data'!$B:$B,{"licence","community"}))</f>
        <v>0</v>
      </c>
      <c r="X94" s="94" cm="1">
        <f t="array" ref="X94">SUM(SUMIFS('caseload data'!H:H,'caseload data'!$D:$D,"PO",'caseload data'!$C:$C,'community caseload'!$T$92,'caseload data'!$B:$B,{"licence","community"}))</f>
        <v>0</v>
      </c>
      <c r="Y94" s="94" cm="1">
        <f t="array" ref="Y94">SUM(SUMIFS('caseload data'!I:I,'caseload data'!$D:$D,"PO",'caseload data'!$C:$C,'community caseload'!$T$92,'caseload data'!$B:$B,{"licence","community"}))</f>
        <v>0</v>
      </c>
      <c r="Z94" s="94" cm="1">
        <f t="array" ref="Z94">SUM(SUMIFS('caseload data'!J:J,'caseload data'!$D:$D,"PO",'caseload data'!$C:$C,'community caseload'!$T$92,'caseload data'!$B:$B,{"licence","community"}))</f>
        <v>0</v>
      </c>
      <c r="AA94" s="94" cm="1">
        <f t="array" ref="AA94">SUM(SUMIFS('caseload data'!K:K,'caseload data'!$D:$D,"PO",'caseload data'!$C:$C,'community caseload'!$T$92,'caseload data'!$B:$B,{"licence","community"}))</f>
        <v>0</v>
      </c>
      <c r="AB94" s="94" cm="1">
        <f t="array" ref="AB94">SUM(SUMIFS('caseload data'!L:L,'caseload data'!$D:$D,"PO",'caseload data'!$C:$C,'community caseload'!$T$92,'caseload data'!$B:$B,{"licence","community"}))</f>
        <v>0</v>
      </c>
      <c r="AC94" s="94" cm="1">
        <f t="array" ref="AC94">SUM(SUMIFS('caseload data'!M:M,'caseload data'!$D:$D,"PO",'caseload data'!$C:$C,'community caseload'!$T$92,'caseload data'!$B:$B,{"licence","community"}))</f>
        <v>0</v>
      </c>
      <c r="AD94" s="94" cm="1">
        <f t="array" ref="AD94">SUM(SUMIFS('caseload data'!N:N,'caseload data'!$D:$D,"PO",'caseload data'!$C:$C,'community caseload'!$T$92,'caseload data'!$B:$B,{"licence","community"}))</f>
        <v>0</v>
      </c>
      <c r="AE94" s="94" cm="1">
        <f t="array" ref="AE94">SUM(SUMIFS('caseload data'!O:O,'caseload data'!$D:$D,"PO",'caseload data'!$C:$C,'community caseload'!$T$92,'caseload data'!$B:$B,{"licence","community"}))</f>
        <v>0</v>
      </c>
      <c r="AF94" s="94" cm="1">
        <f t="array" ref="AF94">SUM(SUMIFS('caseload data'!P:P,'caseload data'!$D:$D,"PO",'caseload data'!$C:$C,'community caseload'!$T$92,'caseload data'!$B:$B,{"licence","community"}))</f>
        <v>0</v>
      </c>
      <c r="AG94" s="94" cm="1">
        <f t="array" ref="AG94">SUM(SUMIFS('caseload data'!Q:Q,'caseload data'!$D:$D,"PO",'caseload data'!$C:$C,'community caseload'!$T$92,'caseload data'!$B:$B,{"licence","community"}))</f>
        <v>0</v>
      </c>
      <c r="AH94" s="94" cm="1">
        <f t="array" ref="AH94">SUM(SUMIFS('caseload data'!R:R,'caseload data'!$D:$D,"PO",'caseload data'!$C:$C,'community caseload'!$T$92,'caseload data'!$B:$B,{"licence","community"}))</f>
        <v>0</v>
      </c>
      <c r="AI94" s="94" cm="1">
        <f t="array" ref="AI94">SUM(SUMIFS('caseload data'!S:S,'caseload data'!$D:$D,"PO",'caseload data'!$C:$C,'community caseload'!$T$92,'caseload data'!$B:$B,{"licence","community"}))</f>
        <v>0</v>
      </c>
      <c r="AJ94" s="94" cm="1">
        <f t="array" ref="AJ94">SUM(SUMIFS('caseload data'!T:T,'caseload data'!$D:$D,"PO",'caseload data'!$C:$C,'community caseload'!$T$92,'caseload data'!$B:$B,{"licence","community"}))</f>
        <v>0</v>
      </c>
    </row>
    <row r="95" spans="2:36" x14ac:dyDescent="0.15">
      <c r="B95" s="97" t="s">
        <v>1007</v>
      </c>
      <c r="C95" s="94" cm="1">
        <f t="array" ref="C95">SUM(SUMIFS('caseload data'!E:E,'caseload data'!$D:$D,"PSO",'caseload data'!$C:$C,'community caseload'!$B$92,'caseload data'!$B:$B,{"licence","community"}))</f>
        <v>0</v>
      </c>
      <c r="D95" s="94" cm="1">
        <f t="array" ref="D95">SUM(SUMIFS('caseload data'!F:F,'caseload data'!$D:$D,"PSO",'caseload data'!$C:$C,'community caseload'!$B$92,'caseload data'!$B:$B,{"licence","community"}))</f>
        <v>0</v>
      </c>
      <c r="E95" s="94" cm="1">
        <f t="array" ref="E95">SUM(SUMIFS('caseload data'!G:G,'caseload data'!$D:$D,"PSO",'caseload data'!$C:$C,'community caseload'!$B$92,'caseload data'!$B:$B,{"licence","community"}))</f>
        <v>0</v>
      </c>
      <c r="F95" s="94" cm="1">
        <f t="array" ref="F95">SUM(SUMIFS('caseload data'!H:H,'caseload data'!$D:$D,"PSO",'caseload data'!$C:$C,'community caseload'!$B$92,'caseload data'!$B:$B,{"licence","community"}))</f>
        <v>0</v>
      </c>
      <c r="G95" s="94" cm="1">
        <f t="array" ref="G95">SUM(SUMIFS('caseload data'!I:I,'caseload data'!$D:$D,"PSO",'caseload data'!$C:$C,'community caseload'!$B$92,'caseload data'!$B:$B,{"licence","community"}))</f>
        <v>0</v>
      </c>
      <c r="H95" s="94" cm="1">
        <f t="array" ref="H95">SUM(SUMIFS('caseload data'!J:J,'caseload data'!$D:$D,"PSO",'caseload data'!$C:$C,'community caseload'!$B$92,'caseload data'!$B:$B,{"licence","community"}))</f>
        <v>0</v>
      </c>
      <c r="I95" s="94" cm="1">
        <f t="array" ref="I95">SUM(SUMIFS('caseload data'!K:K,'caseload data'!$D:$D,"PSO",'caseload data'!$C:$C,'community caseload'!$B$92,'caseload data'!$B:$B,{"licence","community"}))</f>
        <v>0</v>
      </c>
      <c r="J95" s="94" cm="1">
        <f t="array" ref="J95">SUM(SUMIFS('caseload data'!L:L,'caseload data'!$D:$D,"PSO",'caseload data'!$C:$C,'community caseload'!$B$92,'caseload data'!$B:$B,{"licence","community"}))</f>
        <v>0</v>
      </c>
      <c r="K95" s="94" cm="1">
        <f t="array" ref="K95">SUM(SUMIFS('caseload data'!M:M,'caseload data'!$D:$D,"PSO",'caseload data'!$C:$C,'community caseload'!$B$92,'caseload data'!$B:$B,{"licence","community"}))</f>
        <v>0</v>
      </c>
      <c r="L95" s="94" cm="1">
        <f t="array" ref="L95">SUM(SUMIFS('caseload data'!N:N,'caseload data'!$D:$D,"PSO",'caseload data'!$C:$C,'community caseload'!$B$92,'caseload data'!$B:$B,{"licence","community"}))</f>
        <v>0</v>
      </c>
      <c r="M95" s="94" cm="1">
        <f t="array" ref="M95">SUM(SUMIFS('caseload data'!O:O,'caseload data'!$D:$D,"PSO",'caseload data'!$C:$C,'community caseload'!$B$92,'caseload data'!$B:$B,{"licence","community"}))</f>
        <v>0</v>
      </c>
      <c r="N95" s="94" cm="1">
        <f t="array" ref="N95">SUM(SUMIFS('caseload data'!P:P,'caseload data'!$D:$D,"PSO",'caseload data'!$C:$C,'community caseload'!$B$92,'caseload data'!$B:$B,{"licence","community"}))</f>
        <v>0</v>
      </c>
      <c r="O95" s="94" cm="1">
        <f t="array" ref="O95">SUM(SUMIFS('caseload data'!Q:Q,'caseload data'!$D:$D,"PSO",'caseload data'!$C:$C,'community caseload'!$B$92,'caseload data'!$B:$B,{"licence","community"}))</f>
        <v>0</v>
      </c>
      <c r="P95" s="94" cm="1">
        <f t="array" ref="P95">SUM(SUMIFS('caseload data'!R:R,'caseload data'!$D:$D,"PSO",'caseload data'!$C:$C,'community caseload'!$B$92,'caseload data'!$B:$B,{"licence","community"}))</f>
        <v>0</v>
      </c>
      <c r="Q95" s="94" cm="1">
        <f t="array" ref="Q95">SUM(SUMIFS('caseload data'!S:S,'caseload data'!$D:$D,"PSO",'caseload data'!$C:$C,'community caseload'!$B$92,'caseload data'!$B:$B,{"licence","community"}))</f>
        <v>0</v>
      </c>
      <c r="R95" s="94" cm="1">
        <f t="array" ref="R95">SUM(SUMIFS('caseload data'!T:T,'caseload data'!$D:$D,"PSO",'caseload data'!$C:$C,'community caseload'!$B$92,'caseload data'!$B:$B,{"licence","community"}))</f>
        <v>0</v>
      </c>
      <c r="T95" s="97" t="s">
        <v>1007</v>
      </c>
      <c r="U95" s="94" cm="1">
        <f t="array" ref="U95">SUM(SUMIFS('caseload data'!E:E,'caseload data'!$D:$D,"PSO",'caseload data'!$C:$C,'community caseload'!$T$92,'caseload data'!$B:$B,{"licence","community"}))</f>
        <v>0</v>
      </c>
      <c r="V95" s="94" cm="1">
        <f t="array" ref="V95">SUM(SUMIFS('caseload data'!F:F,'caseload data'!$D:$D,"PSO",'caseload data'!$C:$C,'community caseload'!$T$92,'caseload data'!$B:$B,{"licence","community"}))</f>
        <v>0</v>
      </c>
      <c r="W95" s="94" cm="1">
        <f t="array" ref="W95">SUM(SUMIFS('caseload data'!G:G,'caseload data'!$D:$D,"PSO",'caseload data'!$C:$C,'community caseload'!$T$92,'caseload data'!$B:$B,{"licence","community"}))</f>
        <v>0</v>
      </c>
      <c r="X95" s="94" cm="1">
        <f t="array" ref="X95">SUM(SUMIFS('caseload data'!H:H,'caseload data'!$D:$D,"PSO",'caseload data'!$C:$C,'community caseload'!$T$92,'caseload data'!$B:$B,{"licence","community"}))</f>
        <v>0</v>
      </c>
      <c r="Y95" s="94" cm="1">
        <f t="array" ref="Y95">SUM(SUMIFS('caseload data'!I:I,'caseload data'!$D:$D,"PSO",'caseload data'!$C:$C,'community caseload'!$T$92,'caseload data'!$B:$B,{"licence","community"}))</f>
        <v>0</v>
      </c>
      <c r="Z95" s="94" cm="1">
        <f t="array" ref="Z95">SUM(SUMIFS('caseload data'!J:J,'caseload data'!$D:$D,"PSO",'caseload data'!$C:$C,'community caseload'!$T$92,'caseload data'!$B:$B,{"licence","community"}))</f>
        <v>0</v>
      </c>
      <c r="AA95" s="94" cm="1">
        <f t="array" ref="AA95">SUM(SUMIFS('caseload data'!K:K,'caseload data'!$D:$D,"PSO",'caseload data'!$C:$C,'community caseload'!$T$92,'caseload data'!$B:$B,{"licence","community"}))</f>
        <v>0</v>
      </c>
      <c r="AB95" s="94" cm="1">
        <f t="array" ref="AB95">SUM(SUMIFS('caseload data'!L:L,'caseload data'!$D:$D,"PSO",'caseload data'!$C:$C,'community caseload'!$T$92,'caseload data'!$B:$B,{"licence","community"}))</f>
        <v>0</v>
      </c>
      <c r="AC95" s="94" cm="1">
        <f t="array" ref="AC95">SUM(SUMIFS('caseload data'!M:M,'caseload data'!$D:$D,"PSO",'caseload data'!$C:$C,'community caseload'!$T$92,'caseload data'!$B:$B,{"licence","community"}))</f>
        <v>0</v>
      </c>
      <c r="AD95" s="94" cm="1">
        <f t="array" ref="AD95">SUM(SUMIFS('caseload data'!N:N,'caseload data'!$D:$D,"PSO",'caseload data'!$C:$C,'community caseload'!$T$92,'caseload data'!$B:$B,{"licence","community"}))</f>
        <v>0</v>
      </c>
      <c r="AE95" s="94" cm="1">
        <f t="array" ref="AE95">SUM(SUMIFS('caseload data'!O:O,'caseload data'!$D:$D,"PSO",'caseload data'!$C:$C,'community caseload'!$T$92,'caseload data'!$B:$B,{"licence","community"}))</f>
        <v>0</v>
      </c>
      <c r="AF95" s="94" cm="1">
        <f t="array" ref="AF95">SUM(SUMIFS('caseload data'!P:P,'caseload data'!$D:$D,"PSO",'caseload data'!$C:$C,'community caseload'!$T$92,'caseload data'!$B:$B,{"licence","community"}))</f>
        <v>0</v>
      </c>
      <c r="AG95" s="94" cm="1">
        <f t="array" ref="AG95">SUM(SUMIFS('caseload data'!Q:Q,'caseload data'!$D:$D,"PSO",'caseload data'!$C:$C,'community caseload'!$T$92,'caseload data'!$B:$B,{"licence","community"}))</f>
        <v>0</v>
      </c>
      <c r="AH95" s="94" cm="1">
        <f t="array" ref="AH95">SUM(SUMIFS('caseload data'!R:R,'caseload data'!$D:$D,"PSO",'caseload data'!$C:$C,'community caseload'!$T$92,'caseload data'!$B:$B,{"licence","community"}))</f>
        <v>0</v>
      </c>
      <c r="AI95" s="94" cm="1">
        <f t="array" ref="AI95">SUM(SUMIFS('caseload data'!S:S,'caseload data'!$D:$D,"PSO",'caseload data'!$C:$C,'community caseload'!$T$92,'caseload data'!$B:$B,{"licence","community"}))</f>
        <v>0</v>
      </c>
      <c r="AJ95" s="94" cm="1">
        <f t="array" ref="AJ95">SUM(SUMIFS('caseload data'!T:T,'caseload data'!$D:$D,"PSO",'caseload data'!$C:$C,'community caseload'!$T$92,'caseload data'!$B:$B,{"licence","community"}))</f>
        <v>0</v>
      </c>
    </row>
    <row r="96" spans="2:36" x14ac:dyDescent="0.15">
      <c r="B96" s="97" t="s">
        <v>1008</v>
      </c>
      <c r="C96" s="94" cm="1">
        <f t="array" ref="C96">SUM(SUMIFS('caseload data'!E:E,'caseload data'!$D:$D,"TPO",'caseload data'!$C:$C,'community caseload'!$B$92,'caseload data'!$B:$B,{"licence","community"}))</f>
        <v>0</v>
      </c>
      <c r="D96" s="94" cm="1">
        <f t="array" ref="D96">SUM(SUMIFS('caseload data'!F:F,'caseload data'!$D:$D,"TPO",'caseload data'!$C:$C,'community caseload'!$B$92,'caseload data'!$B:$B,{"licence","community"}))</f>
        <v>0</v>
      </c>
      <c r="E96" s="94" cm="1">
        <f t="array" ref="E96">SUM(SUMIFS('caseload data'!G:G,'caseload data'!$D:$D,"TPO",'caseload data'!$C:$C,'community caseload'!$B$92,'caseload data'!$B:$B,{"licence","community"}))</f>
        <v>0</v>
      </c>
      <c r="F96" s="94" cm="1">
        <f t="array" ref="F96">SUM(SUMIFS('caseload data'!H:H,'caseload data'!$D:$D,"TPO",'caseload data'!$C:$C,'community caseload'!$B$92,'caseload data'!$B:$B,{"licence","community"}))</f>
        <v>0</v>
      </c>
      <c r="G96" s="94" cm="1">
        <f t="array" ref="G96">SUM(SUMIFS('caseload data'!I:I,'caseload data'!$D:$D,"TPO",'caseload data'!$C:$C,'community caseload'!$B$92,'caseload data'!$B:$B,{"licence","community"}))</f>
        <v>0</v>
      </c>
      <c r="H96" s="94" cm="1">
        <f t="array" ref="H96">SUM(SUMIFS('caseload data'!J:J,'caseload data'!$D:$D,"TPO",'caseload data'!$C:$C,'community caseload'!$B$92,'caseload data'!$B:$B,{"licence","community"}))</f>
        <v>0</v>
      </c>
      <c r="I96" s="94" cm="1">
        <f t="array" ref="I96">SUM(SUMIFS('caseload data'!K:K,'caseload data'!$D:$D,"TPO",'caseload data'!$C:$C,'community caseload'!$B$92,'caseload data'!$B:$B,{"licence","community"}))</f>
        <v>0</v>
      </c>
      <c r="J96" s="94" cm="1">
        <f t="array" ref="J96">SUM(SUMIFS('caseload data'!L:L,'caseload data'!$D:$D,"TPO",'caseload data'!$C:$C,'community caseload'!$B$92,'caseload data'!$B:$B,{"licence","community"}))</f>
        <v>0</v>
      </c>
      <c r="K96" s="94" cm="1">
        <f t="array" ref="K96">SUM(SUMIFS('caseload data'!M:M,'caseload data'!$D:$D,"TPO",'caseload data'!$C:$C,'community caseload'!$B$92,'caseload data'!$B:$B,{"licence","community"}))</f>
        <v>0</v>
      </c>
      <c r="L96" s="94" cm="1">
        <f t="array" ref="L96">SUM(SUMIFS('caseload data'!N:N,'caseload data'!$D:$D,"TPO",'caseload data'!$C:$C,'community caseload'!$B$92,'caseload data'!$B:$B,{"licence","community"}))</f>
        <v>0</v>
      </c>
      <c r="M96" s="94" cm="1">
        <f t="array" ref="M96">SUM(SUMIFS('caseload data'!O:O,'caseload data'!$D:$D,"TPO",'caseload data'!$C:$C,'community caseload'!$B$92,'caseload data'!$B:$B,{"licence","community"}))</f>
        <v>0</v>
      </c>
      <c r="N96" s="94" cm="1">
        <f t="array" ref="N96">SUM(SUMIFS('caseload data'!P:P,'caseload data'!$D:$D,"TPO",'caseload data'!$C:$C,'community caseload'!$B$92,'caseload data'!$B:$B,{"licence","community"}))</f>
        <v>0</v>
      </c>
      <c r="O96" s="94" cm="1">
        <f t="array" ref="O96">SUM(SUMIFS('caseload data'!Q:Q,'caseload data'!$D:$D,"TPO",'caseload data'!$C:$C,'community caseload'!$B$92,'caseload data'!$B:$B,{"licence","community"}))</f>
        <v>0</v>
      </c>
      <c r="P96" s="94" cm="1">
        <f t="array" ref="P96">SUM(SUMIFS('caseload data'!R:R,'caseload data'!$D:$D,"TPO",'caseload data'!$C:$C,'community caseload'!$B$92,'caseload data'!$B:$B,{"licence","community"}))</f>
        <v>0</v>
      </c>
      <c r="Q96" s="94" cm="1">
        <f t="array" ref="Q96">SUM(SUMIFS('caseload data'!S:S,'caseload data'!$D:$D,"TPO",'caseload data'!$C:$C,'community caseload'!$B$92,'caseload data'!$B:$B,{"licence","community"}))</f>
        <v>0</v>
      </c>
      <c r="R96" s="94" cm="1">
        <f t="array" ref="R96">SUM(SUMIFS('caseload data'!T:T,'caseload data'!$D:$D,"TPO",'caseload data'!$C:$C,'community caseload'!$B$92,'caseload data'!$B:$B,{"licence","community"}))</f>
        <v>0</v>
      </c>
      <c r="T96" s="97" t="s">
        <v>1008</v>
      </c>
      <c r="U96" s="94" cm="1">
        <f t="array" ref="U96">SUM(SUMIFS('caseload data'!E:E,'caseload data'!$D:$D,"TPO",'caseload data'!$C:$C,'community caseload'!$T$92,'caseload data'!$B:$B,{"licence","community"}))</f>
        <v>0</v>
      </c>
      <c r="V96" s="94" cm="1">
        <f t="array" ref="V96">SUM(SUMIFS('caseload data'!F:F,'caseload data'!$D:$D,"TPO",'caseload data'!$C:$C,'community caseload'!$T$92,'caseload data'!$B:$B,{"licence","community"}))</f>
        <v>0</v>
      </c>
      <c r="W96" s="94" cm="1">
        <f t="array" ref="W96">SUM(SUMIFS('caseload data'!G:G,'caseload data'!$D:$D,"TPO",'caseload data'!$C:$C,'community caseload'!$T$92,'caseload data'!$B:$B,{"licence","community"}))</f>
        <v>0</v>
      </c>
      <c r="X96" s="94" cm="1">
        <f t="array" ref="X96">SUM(SUMIFS('caseload data'!H:H,'caseload data'!$D:$D,"TPO",'caseload data'!$C:$C,'community caseload'!$T$92,'caseload data'!$B:$B,{"licence","community"}))</f>
        <v>0</v>
      </c>
      <c r="Y96" s="94" cm="1">
        <f t="array" ref="Y96">SUM(SUMIFS('caseload data'!I:I,'caseload data'!$D:$D,"TPO",'caseload data'!$C:$C,'community caseload'!$T$92,'caseload data'!$B:$B,{"licence","community"}))</f>
        <v>0</v>
      </c>
      <c r="Z96" s="94" cm="1">
        <f t="array" ref="Z96">SUM(SUMIFS('caseload data'!J:J,'caseload data'!$D:$D,"TPO",'caseload data'!$C:$C,'community caseload'!$T$92,'caseload data'!$B:$B,{"licence","community"}))</f>
        <v>0</v>
      </c>
      <c r="AA96" s="94" cm="1">
        <f t="array" ref="AA96">SUM(SUMIFS('caseload data'!K:K,'caseload data'!$D:$D,"TPO",'caseload data'!$C:$C,'community caseload'!$T$92,'caseload data'!$B:$B,{"licence","community"}))</f>
        <v>0</v>
      </c>
      <c r="AB96" s="94" cm="1">
        <f t="array" ref="AB96">SUM(SUMIFS('caseload data'!L:L,'caseload data'!$D:$D,"TPO",'caseload data'!$C:$C,'community caseload'!$T$92,'caseload data'!$B:$B,{"licence","community"}))</f>
        <v>0</v>
      </c>
      <c r="AC96" s="94" cm="1">
        <f t="array" ref="AC96">SUM(SUMIFS('caseload data'!M:M,'caseload data'!$D:$D,"TPO",'caseload data'!$C:$C,'community caseload'!$T$92,'caseload data'!$B:$B,{"licence","community"}))</f>
        <v>0</v>
      </c>
      <c r="AD96" s="94" cm="1">
        <f t="array" ref="AD96">SUM(SUMIFS('caseload data'!N:N,'caseload data'!$D:$D,"TPO",'caseload data'!$C:$C,'community caseload'!$T$92,'caseload data'!$B:$B,{"licence","community"}))</f>
        <v>0</v>
      </c>
      <c r="AE96" s="94" cm="1">
        <f t="array" ref="AE96">SUM(SUMIFS('caseload data'!O:O,'caseload data'!$D:$D,"TPO",'caseload data'!$C:$C,'community caseload'!$T$92,'caseload data'!$B:$B,{"licence","community"}))</f>
        <v>0</v>
      </c>
      <c r="AF96" s="94" cm="1">
        <f t="array" ref="AF96">SUM(SUMIFS('caseload data'!P:P,'caseload data'!$D:$D,"TPO",'caseload data'!$C:$C,'community caseload'!$T$92,'caseload data'!$B:$B,{"licence","community"}))</f>
        <v>0</v>
      </c>
      <c r="AG96" s="94" cm="1">
        <f t="array" ref="AG96">SUM(SUMIFS('caseload data'!Q:Q,'caseload data'!$D:$D,"TPO",'caseload data'!$C:$C,'community caseload'!$T$92,'caseload data'!$B:$B,{"licence","community"}))</f>
        <v>0</v>
      </c>
      <c r="AH96" s="94" cm="1">
        <f t="array" ref="AH96">SUM(SUMIFS('caseload data'!R:R,'caseload data'!$D:$D,"TPO",'caseload data'!$C:$C,'community caseload'!$T$92,'caseload data'!$B:$B,{"licence","community"}))</f>
        <v>0</v>
      </c>
      <c r="AI96" s="94" cm="1">
        <f t="array" ref="AI96">SUM(SUMIFS('caseload data'!S:S,'caseload data'!$D:$D,"TPO",'caseload data'!$C:$C,'community caseload'!$T$92,'caseload data'!$B:$B,{"licence","community"}))</f>
        <v>0</v>
      </c>
      <c r="AJ96" s="94" cm="1">
        <f t="array" ref="AJ96">SUM(SUMIFS('caseload data'!T:T,'caseload data'!$D:$D,"TPO",'caseload data'!$C:$C,'community caseload'!$T$92,'caseload data'!$B:$B,{"licence","community"}))</f>
        <v>0</v>
      </c>
    </row>
    <row r="97" spans="2:36" x14ac:dyDescent="0.15">
      <c r="B97" s="98" t="s">
        <v>1009</v>
      </c>
      <c r="C97" s="94" cm="1">
        <f t="array" ref="C97">SUM(SUMIFS('caseload data'!E:E,'caseload data'!$D:$D,"SPO",'caseload data'!$C:$C,'community caseload'!$B$92,'caseload data'!$B:$B,{"licence","community"}))</f>
        <v>0</v>
      </c>
      <c r="D97" s="94" cm="1">
        <f t="array" ref="D97">SUM(SUMIFS('caseload data'!F:F,'caseload data'!$D:$D,"SPO",'caseload data'!$C:$C,'community caseload'!$B$92,'caseload data'!$B:$B,{"licence","community"}))</f>
        <v>0</v>
      </c>
      <c r="E97" s="94" cm="1">
        <f t="array" ref="E97">SUM(SUMIFS('caseload data'!G:G,'caseload data'!$D:$D,"SPO",'caseload data'!$C:$C,'community caseload'!$B$92,'caseload data'!$B:$B,{"licence","community"}))</f>
        <v>0</v>
      </c>
      <c r="F97" s="94" cm="1">
        <f t="array" ref="F97">SUM(SUMIFS('caseload data'!H:H,'caseload data'!$D:$D,"SPO",'caseload data'!$C:$C,'community caseload'!$B$92,'caseload data'!$B:$B,{"licence","community"}))</f>
        <v>0</v>
      </c>
      <c r="G97" s="94" cm="1">
        <f t="array" ref="G97">SUM(SUMIFS('caseload data'!I:I,'caseload data'!$D:$D,"SPO",'caseload data'!$C:$C,'community caseload'!$B$92,'caseload data'!$B:$B,{"licence","community"}))</f>
        <v>0</v>
      </c>
      <c r="H97" s="94" cm="1">
        <f t="array" ref="H97">SUM(SUMIFS('caseload data'!J:J,'caseload data'!$D:$D,"SPO",'caseload data'!$C:$C,'community caseload'!$B$92,'caseload data'!$B:$B,{"licence","community"}))</f>
        <v>0</v>
      </c>
      <c r="I97" s="94" cm="1">
        <f t="array" ref="I97">SUM(SUMIFS('caseload data'!K:K,'caseload data'!$D:$D,"SPO",'caseload data'!$C:$C,'community caseload'!$B$92,'caseload data'!$B:$B,{"licence","community"}))</f>
        <v>0</v>
      </c>
      <c r="J97" s="94" cm="1">
        <f t="array" ref="J97">SUM(SUMIFS('caseload data'!L:L,'caseload data'!$D:$D,"SPO",'caseload data'!$C:$C,'community caseload'!$B$92,'caseload data'!$B:$B,{"licence","community"}))</f>
        <v>0</v>
      </c>
      <c r="K97" s="94" cm="1">
        <f t="array" ref="K97">SUM(SUMIFS('caseload data'!M:M,'caseload data'!$D:$D,"SPO",'caseload data'!$C:$C,'community caseload'!$B$92,'caseload data'!$B:$B,{"licence","community"}))</f>
        <v>0</v>
      </c>
      <c r="L97" s="94" cm="1">
        <f t="array" ref="L97">SUM(SUMIFS('caseload data'!N:N,'caseload data'!$D:$D,"SPO",'caseload data'!$C:$C,'community caseload'!$B$92,'caseload data'!$B:$B,{"licence","community"}))</f>
        <v>0</v>
      </c>
      <c r="M97" s="94" cm="1">
        <f t="array" ref="M97">SUM(SUMIFS('caseload data'!O:O,'caseload data'!$D:$D,"SPO",'caseload data'!$C:$C,'community caseload'!$B$92,'caseload data'!$B:$B,{"licence","community"}))</f>
        <v>0</v>
      </c>
      <c r="N97" s="94" cm="1">
        <f t="array" ref="N97">SUM(SUMIFS('caseload data'!P:P,'caseload data'!$D:$D,"SPO",'caseload data'!$C:$C,'community caseload'!$B$92,'caseload data'!$B:$B,{"licence","community"}))</f>
        <v>0</v>
      </c>
      <c r="O97" s="94" cm="1">
        <f t="array" ref="O97">SUM(SUMIFS('caseload data'!Q:Q,'caseload data'!$D:$D,"SPO",'caseload data'!$C:$C,'community caseload'!$B$92,'caseload data'!$B:$B,{"licence","community"}))</f>
        <v>0</v>
      </c>
      <c r="P97" s="94" cm="1">
        <f t="array" ref="P97">SUM(SUMIFS('caseload data'!R:R,'caseload data'!$D:$D,"SPO",'caseload data'!$C:$C,'community caseload'!$B$92,'caseload data'!$B:$B,{"licence","community"}))</f>
        <v>0</v>
      </c>
      <c r="Q97" s="94" cm="1">
        <f t="array" ref="Q97">SUM(SUMIFS('caseload data'!S:S,'caseload data'!$D:$D,"SPO",'caseload data'!$C:$C,'community caseload'!$B$92,'caseload data'!$B:$B,{"licence","community"}))</f>
        <v>0</v>
      </c>
      <c r="R97" s="94" cm="1">
        <f t="array" ref="R97">SUM(SUMIFS('caseload data'!T:T,'caseload data'!$D:$D,"SPO",'caseload data'!$C:$C,'community caseload'!$B$92,'caseload data'!$B:$B,{"licence","community"}))</f>
        <v>0</v>
      </c>
      <c r="T97" s="98" t="s">
        <v>1009</v>
      </c>
      <c r="U97" s="94" cm="1">
        <f t="array" ref="U97">SUM(SUMIFS('caseload data'!E:E,'caseload data'!$D:$D,"SPO",'caseload data'!$C:$C,'community caseload'!$T$92,'caseload data'!$B:$B,{"licence","community"}))</f>
        <v>0</v>
      </c>
      <c r="V97" s="94" cm="1">
        <f t="array" ref="V97">SUM(SUMIFS('caseload data'!F:F,'caseload data'!$D:$D,"SPO",'caseload data'!$C:$C,'community caseload'!$T$92,'caseload data'!$B:$B,{"licence","community"}))</f>
        <v>0</v>
      </c>
      <c r="W97" s="94" cm="1">
        <f t="array" ref="W97">SUM(SUMIFS('caseload data'!G:G,'caseload data'!$D:$D,"SPO",'caseload data'!$C:$C,'community caseload'!$T$92,'caseload data'!$B:$B,{"licence","community"}))</f>
        <v>0</v>
      </c>
      <c r="X97" s="94" cm="1">
        <f t="array" ref="X97">SUM(SUMIFS('caseload data'!H:H,'caseload data'!$D:$D,"SPO",'caseload data'!$C:$C,'community caseload'!$T$92,'caseload data'!$B:$B,{"licence","community"}))</f>
        <v>0</v>
      </c>
      <c r="Y97" s="94" cm="1">
        <f t="array" ref="Y97">SUM(SUMIFS('caseload data'!I:I,'caseload data'!$D:$D,"SPO",'caseload data'!$C:$C,'community caseload'!$T$92,'caseload data'!$B:$B,{"licence","community"}))</f>
        <v>0</v>
      </c>
      <c r="Z97" s="94" cm="1">
        <f t="array" ref="Z97">SUM(SUMIFS('caseload data'!J:J,'caseload data'!$D:$D,"SPO",'caseload data'!$C:$C,'community caseload'!$T$92,'caseload data'!$B:$B,{"licence","community"}))</f>
        <v>0</v>
      </c>
      <c r="AA97" s="94" cm="1">
        <f t="array" ref="AA97">SUM(SUMIFS('caseload data'!K:K,'caseload data'!$D:$D,"SPO",'caseload data'!$C:$C,'community caseload'!$T$92,'caseload data'!$B:$B,{"licence","community"}))</f>
        <v>0</v>
      </c>
      <c r="AB97" s="94" cm="1">
        <f t="array" ref="AB97">SUM(SUMIFS('caseload data'!L:L,'caseload data'!$D:$D,"SPO",'caseload data'!$C:$C,'community caseload'!$T$92,'caseload data'!$B:$B,{"licence","community"}))</f>
        <v>0</v>
      </c>
      <c r="AC97" s="94" cm="1">
        <f t="array" ref="AC97">SUM(SUMIFS('caseload data'!M:M,'caseload data'!$D:$D,"SPO",'caseload data'!$C:$C,'community caseload'!$T$92,'caseload data'!$B:$B,{"licence","community"}))</f>
        <v>0</v>
      </c>
      <c r="AD97" s="94" cm="1">
        <f t="array" ref="AD97">SUM(SUMIFS('caseload data'!N:N,'caseload data'!$D:$D,"SPO",'caseload data'!$C:$C,'community caseload'!$T$92,'caseload data'!$B:$B,{"licence","community"}))</f>
        <v>0</v>
      </c>
      <c r="AE97" s="94" cm="1">
        <f t="array" ref="AE97">SUM(SUMIFS('caseload data'!O:O,'caseload data'!$D:$D,"SPO",'caseload data'!$C:$C,'community caseload'!$T$92,'caseload data'!$B:$B,{"licence","community"}))</f>
        <v>0</v>
      </c>
      <c r="AF97" s="94" cm="1">
        <f t="array" ref="AF97">SUM(SUMIFS('caseload data'!P:P,'caseload data'!$D:$D,"SPO",'caseload data'!$C:$C,'community caseload'!$T$92,'caseload data'!$B:$B,{"licence","community"}))</f>
        <v>0</v>
      </c>
      <c r="AG97" s="94" cm="1">
        <f t="array" ref="AG97">SUM(SUMIFS('caseload data'!Q:Q,'caseload data'!$D:$D,"SPO",'caseload data'!$C:$C,'community caseload'!$T$92,'caseload data'!$B:$B,{"licence","community"}))</f>
        <v>0</v>
      </c>
      <c r="AH97" s="94" cm="1">
        <f t="array" ref="AH97">SUM(SUMIFS('caseload data'!R:R,'caseload data'!$D:$D,"SPO",'caseload data'!$C:$C,'community caseload'!$T$92,'caseload data'!$B:$B,{"licence","community"}))</f>
        <v>0</v>
      </c>
      <c r="AI97" s="94" cm="1">
        <f t="array" ref="AI97">SUM(SUMIFS('caseload data'!S:S,'caseload data'!$D:$D,"SPO",'caseload data'!$C:$C,'community caseload'!$T$92,'caseload data'!$B:$B,{"licence","community"}))</f>
        <v>0</v>
      </c>
      <c r="AJ97" s="94" cm="1">
        <f t="array" ref="AJ97">SUM(SUMIFS('caseload data'!T:T,'caseload data'!$D:$D,"SPO",'caseload data'!$C:$C,'community caseload'!$T$92,'caseload data'!$B:$B,{"licence","community"}))</f>
        <v>0</v>
      </c>
    </row>
    <row r="99" spans="2:36" ht="24.75" customHeight="1" x14ac:dyDescent="0.15">
      <c r="B99" s="289">
        <f>HLOOKUP($B$5,Region_Table,28,0)</f>
        <v>0</v>
      </c>
      <c r="C99" s="507" t="s">
        <v>1135</v>
      </c>
      <c r="D99" s="508"/>
      <c r="E99" s="508"/>
      <c r="F99" s="508"/>
      <c r="G99" s="508"/>
      <c r="H99" s="508"/>
      <c r="I99" s="508"/>
      <c r="J99" s="508"/>
      <c r="K99" s="508"/>
      <c r="L99" s="508"/>
      <c r="M99" s="537"/>
      <c r="N99" s="537"/>
      <c r="O99" s="538"/>
      <c r="P99" s="510" cm="1">
        <f t="array" ref="P99">SUM(SUMIFS('caseload data'!V:V,'caseload data'!B:B,{"licence","community"},'caseload data'!$C:$C,'community caseload'!B99))</f>
        <v>0</v>
      </c>
      <c r="Q99" s="527"/>
      <c r="R99" s="528"/>
    </row>
    <row r="100" spans="2:36" x14ac:dyDescent="0.15">
      <c r="B100" s="290" t="s">
        <v>1005</v>
      </c>
      <c r="C100" s="38" t="s">
        <v>869</v>
      </c>
      <c r="D100" s="38" t="s">
        <v>870</v>
      </c>
      <c r="E100" s="38" t="s">
        <v>871</v>
      </c>
      <c r="F100" s="38" t="s">
        <v>872</v>
      </c>
      <c r="G100" s="38" t="s">
        <v>873</v>
      </c>
      <c r="H100" s="38" t="s">
        <v>874</v>
      </c>
      <c r="I100" s="38" t="s">
        <v>875</v>
      </c>
      <c r="J100" s="38" t="s">
        <v>876</v>
      </c>
      <c r="K100" s="38" t="s">
        <v>877</v>
      </c>
      <c r="L100" s="38" t="s">
        <v>878</v>
      </c>
      <c r="M100" s="38" t="s">
        <v>879</v>
      </c>
      <c r="N100" s="38" t="s">
        <v>880</v>
      </c>
      <c r="O100" s="38" t="s">
        <v>881</v>
      </c>
      <c r="P100" s="38" t="s">
        <v>882</v>
      </c>
      <c r="Q100" s="38" t="s">
        <v>883</v>
      </c>
      <c r="R100" s="38" t="s">
        <v>884</v>
      </c>
    </row>
    <row r="101" spans="2:36" x14ac:dyDescent="0.15">
      <c r="B101" s="96" t="s">
        <v>1002</v>
      </c>
      <c r="C101" s="94" cm="1">
        <f t="array" ref="C101">SUM(SUMIFS('caseload data'!E:E,'caseload data'!$D:$D,"PO",'caseload data'!$C:$C,'community caseload'!$B$99,'caseload data'!$B:$B,{"licence","community"}))</f>
        <v>0</v>
      </c>
      <c r="D101" s="94" cm="1">
        <f t="array" ref="D101">SUM(SUMIFS('caseload data'!F:F,'caseload data'!$D:$D,"PO",'caseload data'!$C:$C,'community caseload'!$B$99,'caseload data'!$B:$B,{"licence","community"}))</f>
        <v>0</v>
      </c>
      <c r="E101" s="94" cm="1">
        <f t="array" ref="E101">SUM(SUMIFS('caseload data'!G:G,'caseload data'!$D:$D,"PO",'caseload data'!$C:$C,'community caseload'!$B$99,'caseload data'!$B:$B,{"licence","community"}))</f>
        <v>0</v>
      </c>
      <c r="F101" s="94" cm="1">
        <f t="array" ref="F101">SUM(SUMIFS('caseload data'!H:H,'caseload data'!$D:$D,"PO",'caseload data'!$C:$C,'community caseload'!$B$99,'caseload data'!$B:$B,{"licence","community"}))</f>
        <v>0</v>
      </c>
      <c r="G101" s="94" cm="1">
        <f t="array" ref="G101">SUM(SUMIFS('caseload data'!I:I,'caseload data'!$D:$D,"PO",'caseload data'!$C:$C,'community caseload'!$B$99,'caseload data'!$B:$B,{"licence","community"}))</f>
        <v>0</v>
      </c>
      <c r="H101" s="94" cm="1">
        <f t="array" ref="H101">SUM(SUMIFS('caseload data'!J:J,'caseload data'!$D:$D,"PO",'caseload data'!$C:$C,'community caseload'!$B$99,'caseload data'!$B:$B,{"licence","community"}))</f>
        <v>0</v>
      </c>
      <c r="I101" s="94" cm="1">
        <f t="array" ref="I101">SUM(SUMIFS('caseload data'!K:K,'caseload data'!$D:$D,"PO",'caseload data'!$C:$C,'community caseload'!$B$99,'caseload data'!$B:$B,{"licence","community"}))</f>
        <v>0</v>
      </c>
      <c r="J101" s="94" cm="1">
        <f t="array" ref="J101">SUM(SUMIFS('caseload data'!L:L,'caseload data'!$D:$D,"PO",'caseload data'!$C:$C,'community caseload'!$B$99,'caseload data'!$B:$B,{"licence","community"}))</f>
        <v>0</v>
      </c>
      <c r="K101" s="94" cm="1">
        <f t="array" ref="K101">SUM(SUMIFS('caseload data'!M:M,'caseload data'!$D:$D,"PO",'caseload data'!$C:$C,'community caseload'!$B$99,'caseload data'!$B:$B,{"licence","community"}))</f>
        <v>0</v>
      </c>
      <c r="L101" s="94" cm="1">
        <f t="array" ref="L101">SUM(SUMIFS('caseload data'!N:N,'caseload data'!$D:$D,"PO",'caseload data'!$C:$C,'community caseload'!$B$99,'caseload data'!$B:$B,{"licence","community"}))</f>
        <v>0</v>
      </c>
      <c r="M101" s="94" cm="1">
        <f t="array" ref="M101">SUM(SUMIFS('caseload data'!O:O,'caseload data'!$D:$D,"PO",'caseload data'!$C:$C,'community caseload'!$B$99,'caseload data'!$B:$B,{"licence","community"}))</f>
        <v>0</v>
      </c>
      <c r="N101" s="94" cm="1">
        <f t="array" ref="N101">SUM(SUMIFS('caseload data'!P:P,'caseload data'!$D:$D,"PO",'caseload data'!$C:$C,'community caseload'!$B$99,'caseload data'!$B:$B,{"licence","community"}))</f>
        <v>0</v>
      </c>
      <c r="O101" s="94" cm="1">
        <f t="array" ref="O101">SUM(SUMIFS('caseload data'!Q:Q,'caseload data'!$D:$D,"PO",'caseload data'!$C:$C,'community caseload'!$B$99,'caseload data'!$B:$B,{"licence","community"}))</f>
        <v>0</v>
      </c>
      <c r="P101" s="94" cm="1">
        <f t="array" ref="P101">SUM(SUMIFS('caseload data'!R:R,'caseload data'!$D:$D,"PO",'caseload data'!$C:$C,'community caseload'!$B$99,'caseload data'!$B:$B,{"licence","community"}))</f>
        <v>0</v>
      </c>
      <c r="Q101" s="94" cm="1">
        <f t="array" ref="Q101">SUM(SUMIFS('caseload data'!S:S,'caseload data'!$D:$D,"PO",'caseload data'!$C:$C,'community caseload'!$B$99,'caseload data'!$B:$B,{"licence","community"}))</f>
        <v>0</v>
      </c>
      <c r="R101" s="94" cm="1">
        <f t="array" ref="R101">SUM(SUMIFS('caseload data'!T:T,'caseload data'!$D:$D,"PO",'caseload data'!$C:$C,'community caseload'!$B$99,'caseload data'!$B:$B,{"licence","community"}))</f>
        <v>0</v>
      </c>
    </row>
    <row r="102" spans="2:36" x14ac:dyDescent="0.15">
      <c r="B102" s="97" t="s">
        <v>1007</v>
      </c>
      <c r="C102" s="94" cm="1">
        <f t="array" ref="C102">SUM(SUMIFS('caseload data'!E:E,'caseload data'!$D:$D,"PSO",'caseload data'!$C:$C,'community caseload'!$B$99,'caseload data'!$B:$B,{"licence","community"}))</f>
        <v>0</v>
      </c>
      <c r="D102" s="94" cm="1">
        <f t="array" ref="D102">SUM(SUMIFS('caseload data'!F:F,'caseload data'!$D:$D,"PSO",'caseload data'!$C:$C,'community caseload'!$B$99,'caseload data'!$B:$B,{"licence","community"}))</f>
        <v>0</v>
      </c>
      <c r="E102" s="94" cm="1">
        <f t="array" ref="E102">SUM(SUMIFS('caseload data'!G:G,'caseload data'!$D:$D,"PSO",'caseload data'!$C:$C,'community caseload'!$B$99,'caseload data'!$B:$B,{"licence","community"}))</f>
        <v>0</v>
      </c>
      <c r="F102" s="94" cm="1">
        <f t="array" ref="F102">SUM(SUMIFS('caseload data'!H:H,'caseload data'!$D:$D,"PSO",'caseload data'!$C:$C,'community caseload'!$B$99,'caseload data'!$B:$B,{"licence","community"}))</f>
        <v>0</v>
      </c>
      <c r="G102" s="94" cm="1">
        <f t="array" ref="G102">SUM(SUMIFS('caseload data'!I:I,'caseload data'!$D:$D,"PSO",'caseload data'!$C:$C,'community caseload'!$B$99,'caseload data'!$B:$B,{"licence","community"}))</f>
        <v>0</v>
      </c>
      <c r="H102" s="94" cm="1">
        <f t="array" ref="H102">SUM(SUMIFS('caseload data'!J:J,'caseload data'!$D:$D,"PSO",'caseload data'!$C:$C,'community caseload'!$B$99,'caseload data'!$B:$B,{"licence","community"}))</f>
        <v>0</v>
      </c>
      <c r="I102" s="94" cm="1">
        <f t="array" ref="I102">SUM(SUMIFS('caseload data'!K:K,'caseload data'!$D:$D,"PSO",'caseload data'!$C:$C,'community caseload'!$B$99,'caseload data'!$B:$B,{"licence","community"}))</f>
        <v>0</v>
      </c>
      <c r="J102" s="94" cm="1">
        <f t="array" ref="J102">SUM(SUMIFS('caseload data'!L:L,'caseload data'!$D:$D,"PSO",'caseload data'!$C:$C,'community caseload'!$B$99,'caseload data'!$B:$B,{"licence","community"}))</f>
        <v>0</v>
      </c>
      <c r="K102" s="94" cm="1">
        <f t="array" ref="K102">SUM(SUMIFS('caseload data'!M:M,'caseload data'!$D:$D,"PSO",'caseload data'!$C:$C,'community caseload'!$B$99,'caseload data'!$B:$B,{"licence","community"}))</f>
        <v>0</v>
      </c>
      <c r="L102" s="94" cm="1">
        <f t="array" ref="L102">SUM(SUMIFS('caseload data'!N:N,'caseload data'!$D:$D,"PSO",'caseload data'!$C:$C,'community caseload'!$B$99,'caseload data'!$B:$B,{"licence","community"}))</f>
        <v>0</v>
      </c>
      <c r="M102" s="94" cm="1">
        <f t="array" ref="M102">SUM(SUMIFS('caseload data'!O:O,'caseload data'!$D:$D,"PSO",'caseload data'!$C:$C,'community caseload'!$B$99,'caseload data'!$B:$B,{"licence","community"}))</f>
        <v>0</v>
      </c>
      <c r="N102" s="94" cm="1">
        <f t="array" ref="N102">SUM(SUMIFS('caseload data'!P:P,'caseload data'!$D:$D,"PSO",'caseload data'!$C:$C,'community caseload'!$B$99,'caseload data'!$B:$B,{"licence","community"}))</f>
        <v>0</v>
      </c>
      <c r="O102" s="94" cm="1">
        <f t="array" ref="O102">SUM(SUMIFS('caseload data'!Q:Q,'caseload data'!$D:$D,"PSO",'caseload data'!$C:$C,'community caseload'!$B$99,'caseload data'!$B:$B,{"licence","community"}))</f>
        <v>0</v>
      </c>
      <c r="P102" s="94" cm="1">
        <f t="array" ref="P102">SUM(SUMIFS('caseload data'!R:R,'caseload data'!$D:$D,"PSO",'caseload data'!$C:$C,'community caseload'!$B$99,'caseload data'!$B:$B,{"licence","community"}))</f>
        <v>0</v>
      </c>
      <c r="Q102" s="94" cm="1">
        <f t="array" ref="Q102">SUM(SUMIFS('caseload data'!S:S,'caseload data'!$D:$D,"PSO",'caseload data'!$C:$C,'community caseload'!$B$99,'caseload data'!$B:$B,{"licence","community"}))</f>
        <v>0</v>
      </c>
      <c r="R102" s="94" cm="1">
        <f t="array" ref="R102">SUM(SUMIFS('caseload data'!T:T,'caseload data'!$D:$D,"PSO",'caseload data'!$C:$C,'community caseload'!$B$99,'caseload data'!$B:$B,{"licence","community"}))</f>
        <v>0</v>
      </c>
    </row>
    <row r="103" spans="2:36" x14ac:dyDescent="0.15">
      <c r="B103" s="97" t="s">
        <v>1008</v>
      </c>
      <c r="C103" s="94" cm="1">
        <f t="array" ref="C103">SUM(SUMIFS('caseload data'!E:E,'caseload data'!$D:$D,"TPO",'caseload data'!$C:$C,'community caseload'!$B$99,'caseload data'!$B:$B,{"licence","community"}))</f>
        <v>0</v>
      </c>
      <c r="D103" s="94" cm="1">
        <f t="array" ref="D103">SUM(SUMIFS('caseload data'!F:F,'caseload data'!$D:$D,"TPO",'caseload data'!$C:$C,'community caseload'!$B$99,'caseload data'!$B:$B,{"licence","community"}))</f>
        <v>0</v>
      </c>
      <c r="E103" s="94" cm="1">
        <f t="array" ref="E103">SUM(SUMIFS('caseload data'!G:G,'caseload data'!$D:$D,"TPO",'caseload data'!$C:$C,'community caseload'!$B$99,'caseload data'!$B:$B,{"licence","community"}))</f>
        <v>0</v>
      </c>
      <c r="F103" s="94" cm="1">
        <f t="array" ref="F103">SUM(SUMIFS('caseload data'!H:H,'caseload data'!$D:$D,"TPO",'caseload data'!$C:$C,'community caseload'!$B$99,'caseload data'!$B:$B,{"licence","community"}))</f>
        <v>0</v>
      </c>
      <c r="G103" s="94" cm="1">
        <f t="array" ref="G103">SUM(SUMIFS('caseload data'!I:I,'caseload data'!$D:$D,"TPO",'caseload data'!$C:$C,'community caseload'!$B$99,'caseload data'!$B:$B,{"licence","community"}))</f>
        <v>0</v>
      </c>
      <c r="H103" s="94" cm="1">
        <f t="array" ref="H103">SUM(SUMIFS('caseload data'!J:J,'caseload data'!$D:$D,"TPO",'caseload data'!$C:$C,'community caseload'!$B$99,'caseload data'!$B:$B,{"licence","community"}))</f>
        <v>0</v>
      </c>
      <c r="I103" s="94" cm="1">
        <f t="array" ref="I103">SUM(SUMIFS('caseload data'!K:K,'caseload data'!$D:$D,"TPO",'caseload data'!$C:$C,'community caseload'!$B$99,'caseload data'!$B:$B,{"licence","community"}))</f>
        <v>0</v>
      </c>
      <c r="J103" s="94" cm="1">
        <f t="array" ref="J103">SUM(SUMIFS('caseload data'!L:L,'caseload data'!$D:$D,"TPO",'caseload data'!$C:$C,'community caseload'!$B$99,'caseload data'!$B:$B,{"licence","community"}))</f>
        <v>0</v>
      </c>
      <c r="K103" s="94" cm="1">
        <f t="array" ref="K103">SUM(SUMIFS('caseload data'!M:M,'caseload data'!$D:$D,"TPO",'caseload data'!$C:$C,'community caseload'!$B$99,'caseload data'!$B:$B,{"licence","community"}))</f>
        <v>0</v>
      </c>
      <c r="L103" s="94" cm="1">
        <f t="array" ref="L103">SUM(SUMIFS('caseload data'!N:N,'caseload data'!$D:$D,"TPO",'caseload data'!$C:$C,'community caseload'!$B$99,'caseload data'!$B:$B,{"licence","community"}))</f>
        <v>0</v>
      </c>
      <c r="M103" s="94" cm="1">
        <f t="array" ref="M103">SUM(SUMIFS('caseload data'!O:O,'caseload data'!$D:$D,"TPO",'caseload data'!$C:$C,'community caseload'!$B$99,'caseload data'!$B:$B,{"licence","community"}))</f>
        <v>0</v>
      </c>
      <c r="N103" s="94" cm="1">
        <f t="array" ref="N103">SUM(SUMIFS('caseload data'!P:P,'caseload data'!$D:$D,"TPO",'caseload data'!$C:$C,'community caseload'!$B$99,'caseload data'!$B:$B,{"licence","community"}))</f>
        <v>0</v>
      </c>
      <c r="O103" s="94" cm="1">
        <f t="array" ref="O103">SUM(SUMIFS('caseload data'!Q:Q,'caseload data'!$D:$D,"TPO",'caseload data'!$C:$C,'community caseload'!$B$99,'caseload data'!$B:$B,{"licence","community"}))</f>
        <v>0</v>
      </c>
      <c r="P103" s="94" cm="1">
        <f t="array" ref="P103">SUM(SUMIFS('caseload data'!R:R,'caseload data'!$D:$D,"TPO",'caseload data'!$C:$C,'community caseload'!$B$99,'caseload data'!$B:$B,{"licence","community"}))</f>
        <v>0</v>
      </c>
      <c r="Q103" s="94" cm="1">
        <f t="array" ref="Q103">SUM(SUMIFS('caseload data'!S:S,'caseload data'!$D:$D,"TPO",'caseload data'!$C:$C,'community caseload'!$B$99,'caseload data'!$B:$B,{"licence","community"}))</f>
        <v>0</v>
      </c>
      <c r="R103" s="94" cm="1">
        <f t="array" ref="R103">SUM(SUMIFS('caseload data'!T:T,'caseload data'!$D:$D,"TPO",'caseload data'!$C:$C,'community caseload'!$B$99,'caseload data'!$B:$B,{"licence","community"}))</f>
        <v>0</v>
      </c>
    </row>
    <row r="104" spans="2:36" x14ac:dyDescent="0.15">
      <c r="B104" s="98" t="s">
        <v>1009</v>
      </c>
      <c r="C104" s="94" cm="1">
        <f t="array" ref="C104">SUM(SUMIFS('caseload data'!E:E,'caseload data'!$D:$D,"SPO",'caseload data'!$C:$C,'community caseload'!$B$99,'caseload data'!$B:$B,{"licence","community"}))</f>
        <v>0</v>
      </c>
      <c r="D104" s="94" cm="1">
        <f t="array" ref="D104">SUM(SUMIFS('caseload data'!F:F,'caseload data'!$D:$D,"SPO",'caseload data'!$C:$C,'community caseload'!$B$99,'caseload data'!$B:$B,{"licence","community"}))</f>
        <v>0</v>
      </c>
      <c r="E104" s="94" cm="1">
        <f t="array" ref="E104">SUM(SUMIFS('caseload data'!G:G,'caseload data'!$D:$D,"SPO",'caseload data'!$C:$C,'community caseload'!$B$99,'caseload data'!$B:$B,{"licence","community"}))</f>
        <v>0</v>
      </c>
      <c r="F104" s="94" cm="1">
        <f t="array" ref="F104">SUM(SUMIFS('caseload data'!H:H,'caseload data'!$D:$D,"SPO",'caseload data'!$C:$C,'community caseload'!$B$99,'caseload data'!$B:$B,{"licence","community"}))</f>
        <v>0</v>
      </c>
      <c r="G104" s="94" cm="1">
        <f t="array" ref="G104">SUM(SUMIFS('caseload data'!I:I,'caseload data'!$D:$D,"SPO",'caseload data'!$C:$C,'community caseload'!$B$99,'caseload data'!$B:$B,{"licence","community"}))</f>
        <v>0</v>
      </c>
      <c r="H104" s="94" cm="1">
        <f t="array" ref="H104">SUM(SUMIFS('caseload data'!J:J,'caseload data'!$D:$D,"SPO",'caseload data'!$C:$C,'community caseload'!$B$99,'caseload data'!$B:$B,{"licence","community"}))</f>
        <v>0</v>
      </c>
      <c r="I104" s="94" cm="1">
        <f t="array" ref="I104">SUM(SUMIFS('caseload data'!K:K,'caseload data'!$D:$D,"SPO",'caseload data'!$C:$C,'community caseload'!$B$99,'caseload data'!$B:$B,{"licence","community"}))</f>
        <v>0</v>
      </c>
      <c r="J104" s="94" cm="1">
        <f t="array" ref="J104">SUM(SUMIFS('caseload data'!L:L,'caseload data'!$D:$D,"SPO",'caseload data'!$C:$C,'community caseload'!$B$99,'caseload data'!$B:$B,{"licence","community"}))</f>
        <v>0</v>
      </c>
      <c r="K104" s="94" cm="1">
        <f t="array" ref="K104">SUM(SUMIFS('caseload data'!M:M,'caseload data'!$D:$D,"SPO",'caseload data'!$C:$C,'community caseload'!$B$99,'caseload data'!$B:$B,{"licence","community"}))</f>
        <v>0</v>
      </c>
      <c r="L104" s="94" cm="1">
        <f t="array" ref="L104">SUM(SUMIFS('caseload data'!N:N,'caseload data'!$D:$D,"SPO",'caseload data'!$C:$C,'community caseload'!$B$99,'caseload data'!$B:$B,{"licence","community"}))</f>
        <v>0</v>
      </c>
      <c r="M104" s="94" cm="1">
        <f t="array" ref="M104">SUM(SUMIFS('caseload data'!O:O,'caseload data'!$D:$D,"SPO",'caseload data'!$C:$C,'community caseload'!$B$99,'caseload data'!$B:$B,{"licence","community"}))</f>
        <v>0</v>
      </c>
      <c r="N104" s="94" cm="1">
        <f t="array" ref="N104">SUM(SUMIFS('caseload data'!P:P,'caseload data'!$D:$D,"SPO",'caseload data'!$C:$C,'community caseload'!$B$99,'caseload data'!$B:$B,{"licence","community"}))</f>
        <v>0</v>
      </c>
      <c r="O104" s="94" cm="1">
        <f t="array" ref="O104">SUM(SUMIFS('caseload data'!Q:Q,'caseload data'!$D:$D,"SPO",'caseload data'!$C:$C,'community caseload'!$B$99,'caseload data'!$B:$B,{"licence","community"}))</f>
        <v>0</v>
      </c>
      <c r="P104" s="94" cm="1">
        <f t="array" ref="P104">SUM(SUMIFS('caseload data'!R:R,'caseload data'!$D:$D,"SPO",'caseload data'!$C:$C,'community caseload'!$B$99,'caseload data'!$B:$B,{"licence","community"}))</f>
        <v>0</v>
      </c>
      <c r="Q104" s="94" cm="1">
        <f t="array" ref="Q104">SUM(SUMIFS('caseload data'!S:S,'caseload data'!$D:$D,"SPO",'caseload data'!$C:$C,'community caseload'!$B$99,'caseload data'!$B:$B,{"licence","community"}))</f>
        <v>0</v>
      </c>
      <c r="R104" s="94" cm="1">
        <f t="array" ref="R104">SUM(SUMIFS('caseload data'!T:T,'caseload data'!$D:$D,"SPO",'caseload data'!$C:$C,'community caseload'!$B$99,'caseload data'!$B:$B,{"licence","community"}))</f>
        <v>0</v>
      </c>
    </row>
  </sheetData>
  <mergeCells count="56">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 ref="C71:O71"/>
    <mergeCell ref="P71:R71"/>
    <mergeCell ref="C64:O64"/>
    <mergeCell ref="P64:R64"/>
    <mergeCell ref="U64:AG64"/>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P36:R36"/>
    <mergeCell ref="U36:AG36"/>
    <mergeCell ref="AH36:AJ36"/>
    <mergeCell ref="A1:AJ1"/>
    <mergeCell ref="A2:AJ2"/>
    <mergeCell ref="P29:R29"/>
    <mergeCell ref="U29:AG29"/>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topLeftCell="A58" zoomScale="70" zoomScaleNormal="70" workbookViewId="0">
      <selection sqref="A1:AJ1"/>
    </sheetView>
  </sheetViews>
  <sheetFormatPr baseColWidth="10" defaultColWidth="9.1640625" defaultRowHeight="14" x14ac:dyDescent="0.15"/>
  <cols>
    <col min="1" max="1" width="2.5" customWidth="1"/>
    <col min="2" max="2" width="36.1640625" customWidth="1"/>
    <col min="20" max="20" width="33" customWidth="1"/>
  </cols>
  <sheetData>
    <row r="1" spans="1:50" ht="72" customHeight="1" x14ac:dyDescent="0.15">
      <c r="A1" s="531" t="s">
        <v>1137</v>
      </c>
      <c r="B1" s="531"/>
      <c r="C1" s="531"/>
      <c r="D1" s="531"/>
      <c r="E1" s="531"/>
      <c r="F1" s="531"/>
      <c r="G1" s="531"/>
      <c r="H1" s="531"/>
      <c r="I1" s="531"/>
      <c r="J1" s="531"/>
      <c r="K1" s="531"/>
      <c r="L1" s="531"/>
      <c r="M1" s="531"/>
      <c r="N1" s="531"/>
      <c r="O1" s="531"/>
      <c r="P1" s="531"/>
      <c r="Q1" s="531"/>
      <c r="R1" s="531"/>
      <c r="S1" s="531"/>
      <c r="T1" s="531"/>
      <c r="U1" s="531"/>
      <c r="V1" s="531"/>
      <c r="W1" s="531"/>
      <c r="X1" s="531"/>
      <c r="Y1" s="531"/>
      <c r="Z1" s="531"/>
      <c r="AA1" s="531"/>
      <c r="AB1" s="531"/>
      <c r="AC1" s="531"/>
      <c r="AD1" s="531"/>
      <c r="AE1" s="531"/>
      <c r="AF1" s="531"/>
      <c r="AG1" s="531"/>
      <c r="AH1" s="531"/>
      <c r="AI1" s="531"/>
      <c r="AJ1" s="531"/>
      <c r="AK1" s="261"/>
      <c r="AL1" s="261"/>
      <c r="AM1" s="261"/>
      <c r="AN1" s="261"/>
      <c r="AO1" s="261"/>
      <c r="AP1" s="261"/>
      <c r="AQ1" s="261"/>
      <c r="AR1" s="261"/>
      <c r="AS1" s="261"/>
      <c r="AT1" s="261"/>
      <c r="AU1" s="261"/>
      <c r="AV1" s="261"/>
      <c r="AW1" s="261"/>
      <c r="AX1" s="261"/>
    </row>
    <row r="2" spans="1:50" ht="66" customHeight="1" x14ac:dyDescent="0.15">
      <c r="A2" s="540"/>
      <c r="B2" s="540"/>
      <c r="C2" s="540"/>
      <c r="D2" s="540"/>
      <c r="E2" s="540"/>
      <c r="F2" s="540"/>
      <c r="G2" s="540"/>
      <c r="H2" s="540"/>
      <c r="I2" s="540"/>
      <c r="J2" s="540"/>
      <c r="K2" s="540"/>
      <c r="L2" s="540"/>
      <c r="M2" s="540"/>
      <c r="N2" s="540"/>
      <c r="O2" s="540"/>
      <c r="P2" s="540"/>
      <c r="Q2" s="540"/>
      <c r="R2" s="540"/>
      <c r="S2" s="540"/>
      <c r="T2" s="540"/>
      <c r="U2" s="540"/>
      <c r="V2" s="540"/>
      <c r="W2" s="540"/>
      <c r="X2" s="540"/>
      <c r="Y2" s="540"/>
      <c r="Z2" s="540"/>
      <c r="AA2" s="540"/>
      <c r="AB2" s="540"/>
      <c r="AC2" s="540"/>
      <c r="AD2" s="540"/>
      <c r="AE2" s="540"/>
      <c r="AF2" s="540"/>
      <c r="AG2" s="540"/>
      <c r="AH2" s="540"/>
      <c r="AI2" s="540"/>
      <c r="AJ2" s="540"/>
      <c r="AK2" s="540"/>
      <c r="AL2" s="540"/>
      <c r="AM2" s="540"/>
      <c r="AN2" s="540"/>
      <c r="AO2" s="540"/>
      <c r="AP2" s="540"/>
      <c r="AQ2" s="540"/>
      <c r="AR2" s="540"/>
      <c r="AS2" s="540"/>
      <c r="AT2" s="540"/>
      <c r="AU2" s="540"/>
      <c r="AV2" s="540"/>
      <c r="AW2" s="540"/>
      <c r="AX2" s="540"/>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x14ac:dyDescent="0.15">
      <c r="B4" s="143" t="s">
        <v>1138</v>
      </c>
    </row>
    <row r="5" spans="1:50" ht="27.75" customHeight="1" x14ac:dyDescent="0.15">
      <c r="B5" s="242" t="s">
        <v>17</v>
      </c>
      <c r="P5" s="40"/>
    </row>
    <row r="6" spans="1:50" x14ac:dyDescent="0.15">
      <c r="B6" s="46"/>
    </row>
    <row r="8" spans="1:50" ht="25.5" customHeight="1" x14ac:dyDescent="0.15">
      <c r="B8" s="289" t="str">
        <f>HLOOKUP($B$5,Region_Table,2,0)</f>
        <v>All East Midlands Region</v>
      </c>
      <c r="C8" s="507" t="s">
        <v>1139</v>
      </c>
      <c r="D8" s="508"/>
      <c r="E8" s="508"/>
      <c r="F8" s="508"/>
      <c r="G8" s="508"/>
      <c r="H8" s="508"/>
      <c r="I8" s="508"/>
      <c r="J8" s="508"/>
      <c r="K8" s="508"/>
      <c r="L8" s="508"/>
      <c r="M8" s="537"/>
      <c r="N8" s="537"/>
      <c r="O8" s="538"/>
      <c r="P8" s="510">
        <f>SUM(SUMIFS('caseload data'!V:V,'caseload data'!B:B,{"licence","community"},'caseload data'!C:C,B8))</f>
        <v>0</v>
      </c>
      <c r="Q8" s="527"/>
      <c r="R8" s="528"/>
      <c r="S8" s="64"/>
      <c r="T8" s="289" t="str">
        <f>HLOOKUP($B$5,Region_Table,3,0)</f>
        <v>Derby City - N53</v>
      </c>
      <c r="U8" s="507" t="s">
        <v>1139</v>
      </c>
      <c r="V8" s="508"/>
      <c r="W8" s="508"/>
      <c r="X8" s="508"/>
      <c r="Y8" s="508"/>
      <c r="Z8" s="508"/>
      <c r="AA8" s="508"/>
      <c r="AB8" s="508"/>
      <c r="AC8" s="508"/>
      <c r="AD8" s="508"/>
      <c r="AE8" s="537"/>
      <c r="AF8" s="537"/>
      <c r="AG8" s="538"/>
      <c r="AH8" s="510">
        <f>SUM(SUMIFS('caseload data'!V:V,'caseload data'!B:B,{"licence","community"},'caseload data'!C:C,T8))</f>
        <v>0</v>
      </c>
      <c r="AI8" s="527"/>
      <c r="AJ8" s="528"/>
    </row>
    <row r="9" spans="1:50" x14ac:dyDescent="0.15">
      <c r="B9" s="95" t="s">
        <v>1005</v>
      </c>
      <c r="C9" s="38" t="s">
        <v>869</v>
      </c>
      <c r="D9" s="38" t="s">
        <v>870</v>
      </c>
      <c r="E9" s="38" t="s">
        <v>871</v>
      </c>
      <c r="F9" s="38" t="s">
        <v>872</v>
      </c>
      <c r="G9" s="38" t="s">
        <v>873</v>
      </c>
      <c r="H9" s="38" t="s">
        <v>874</v>
      </c>
      <c r="I9" s="38" t="s">
        <v>875</v>
      </c>
      <c r="J9" s="38" t="s">
        <v>876</v>
      </c>
      <c r="K9" s="38" t="s">
        <v>877</v>
      </c>
      <c r="L9" s="38" t="s">
        <v>878</v>
      </c>
      <c r="M9" s="38" t="s">
        <v>879</v>
      </c>
      <c r="N9" s="38" t="s">
        <v>880</v>
      </c>
      <c r="O9" s="38" t="s">
        <v>881</v>
      </c>
      <c r="P9" s="38" t="s">
        <v>882</v>
      </c>
      <c r="Q9" s="38" t="s">
        <v>883</v>
      </c>
      <c r="R9" s="38" t="s">
        <v>884</v>
      </c>
      <c r="S9" s="64"/>
      <c r="T9" s="95" t="s">
        <v>1005</v>
      </c>
      <c r="U9" s="38" t="s">
        <v>869</v>
      </c>
      <c r="V9" s="38" t="s">
        <v>870</v>
      </c>
      <c r="W9" s="38" t="s">
        <v>871</v>
      </c>
      <c r="X9" s="38" t="s">
        <v>872</v>
      </c>
      <c r="Y9" s="38" t="s">
        <v>873</v>
      </c>
      <c r="Z9" s="38" t="s">
        <v>874</v>
      </c>
      <c r="AA9" s="38" t="s">
        <v>875</v>
      </c>
      <c r="AB9" s="38" t="s">
        <v>876</v>
      </c>
      <c r="AC9" s="38" t="s">
        <v>877</v>
      </c>
      <c r="AD9" s="38" t="s">
        <v>878</v>
      </c>
      <c r="AE9" s="38" t="s">
        <v>879</v>
      </c>
      <c r="AF9" s="38" t="s">
        <v>880</v>
      </c>
      <c r="AG9" s="38" t="s">
        <v>881</v>
      </c>
      <c r="AH9" s="38" t="s">
        <v>882</v>
      </c>
      <c r="AI9" s="38" t="s">
        <v>883</v>
      </c>
      <c r="AJ9" s="38" t="s">
        <v>884</v>
      </c>
    </row>
    <row r="10" spans="1:50" x14ac:dyDescent="0.15">
      <c r="B10" s="96" t="s">
        <v>1002</v>
      </c>
      <c r="C10" s="167" t="str">
        <f>IFERROR(SUM(SUMIFS('caseload data'!E:E,'caseload data'!$C:$C,'community %'!$B$8,'caseload data'!$D:$D,"PO",'caseload data'!$B:$B,{"licence","community"}))/SUM(SUMIFS('caseload data'!E:E,'caseload data'!$B:$B,{"licence","community"},'caseload data'!$C:$C,'community %'!$B$8)),"")</f>
        <v/>
      </c>
      <c r="D10" s="167" t="str">
        <f>IFERROR(SUM(SUMIFS('caseload data'!F:F,'caseload data'!$C:$C,'community %'!$B$8,'caseload data'!$D:$D,"PO",'caseload data'!$B:$B,{"licence","community"}))/SUM(SUMIFS('caseload data'!F:F,'caseload data'!$B:$B,{"licence","community"},'caseload data'!$C:$C,'community %'!$B$8)),"")</f>
        <v/>
      </c>
      <c r="E10" s="167" t="str">
        <f>IFERROR(SUM(SUMIFS('caseload data'!G:G,'caseload data'!$C:$C,'community %'!$B$8,'caseload data'!$D:$D,"PO",'caseload data'!$B:$B,{"licence","community"}))/SUM(SUMIFS('caseload data'!G:G,'caseload data'!$B:$B,{"licence","community"},'caseload data'!$C:$C,'community %'!$B$8)),"")</f>
        <v/>
      </c>
      <c r="F10" s="167" t="str">
        <f>IFERROR(SUM(SUMIFS('caseload data'!H:H,'caseload data'!$C:$C,'community %'!$B$8,'caseload data'!$D:$D,"PO",'caseload data'!$B:$B,{"licence","community"}))/SUM(SUMIFS('caseload data'!H:H,'caseload data'!$B:$B,{"licence","community"},'caseload data'!$C:$C,'community %'!$B$8)),"")</f>
        <v/>
      </c>
      <c r="G10" s="167" t="str">
        <f>IFERROR(SUM(SUMIFS('caseload data'!I:I,'caseload data'!$C:$C,'community %'!$B$8,'caseload data'!$D:$D,"PO",'caseload data'!$B:$B,{"licence","community"}))/SUM(SUMIFS('caseload data'!I:I,'caseload data'!$B:$B,{"licence","community"},'caseload data'!$C:$C,'community %'!$B$8)),"")</f>
        <v/>
      </c>
      <c r="H10" s="167" t="str">
        <f>IFERROR(SUM(SUMIFS('caseload data'!J:J,'caseload data'!$C:$C,'community %'!$B$8,'caseload data'!$D:$D,"PO",'caseload data'!$B:$B,{"licence","community"}))/SUM(SUMIFS('caseload data'!J:J,'caseload data'!$B:$B,{"licence","community"},'caseload data'!$C:$C,'community %'!$B$8)),"")</f>
        <v/>
      </c>
      <c r="I10" s="167" t="str">
        <f>IFERROR(SUM(SUMIFS('caseload data'!K:K,'caseload data'!$C:$C,'community %'!$B$8,'caseload data'!$D:$D,"PO",'caseload data'!$B:$B,{"licence","community"}))/SUM(SUMIFS('caseload data'!K:K,'caseload data'!$B:$B,{"licence","community"},'caseload data'!$C:$C,'community %'!$B$8)),"")</f>
        <v/>
      </c>
      <c r="J10" s="167" t="str">
        <f>IFERROR(SUM(SUMIFS('caseload data'!L:L,'caseload data'!$C:$C,'community %'!$B$8,'caseload data'!$D:$D,"PO",'caseload data'!$B:$B,{"licence","community"}))/SUM(SUMIFS('caseload data'!L:L,'caseload data'!$B:$B,{"licence","community"},'caseload data'!$C:$C,'community %'!$B$8)),"")</f>
        <v/>
      </c>
      <c r="K10" s="167" t="str">
        <f>IFERROR(SUM(SUMIFS('caseload data'!M:M,'caseload data'!$C:$C,'community %'!$B$8,'caseload data'!$D:$D,"PO",'caseload data'!$B:$B,{"licence","community"}))/SUM(SUMIFS('caseload data'!M:M,'caseload data'!$B:$B,{"licence","community"},'caseload data'!$C:$C,'community %'!$B$8)),"")</f>
        <v/>
      </c>
      <c r="L10" s="167" t="str">
        <f>IFERROR(SUM(SUMIFS('caseload data'!N:N,'caseload data'!$C:$C,'community %'!$B$8,'caseload data'!$D:$D,"PO",'caseload data'!$B:$B,{"licence","community"}))/SUM(SUMIFS('caseload data'!N:N,'caseload data'!$B:$B,{"licence","community"},'caseload data'!$C:$C,'community %'!$B$8)),"")</f>
        <v/>
      </c>
      <c r="M10" s="167" t="str">
        <f>IFERROR(SUM(SUMIFS('caseload data'!O:O,'caseload data'!$C:$C,'community %'!$B$8,'caseload data'!$D:$D,"PO",'caseload data'!$B:$B,{"licence","community"}))/SUM(SUMIFS('caseload data'!O:O,'caseload data'!$B:$B,{"licence","community"},'caseload data'!$C:$C,'community %'!$B$8)),"")</f>
        <v/>
      </c>
      <c r="N10" s="167" t="str">
        <f>IFERROR(SUM(SUMIFS('caseload data'!P:P,'caseload data'!$C:$C,'community %'!$B$8,'caseload data'!$D:$D,"PO",'caseload data'!$B:$B,{"licence","community"}))/SUM(SUMIFS('caseload data'!P:P,'caseload data'!$B:$B,{"licence","community"},'caseload data'!$C:$C,'community %'!$B$8)),"")</f>
        <v/>
      </c>
      <c r="O10" s="167" t="str">
        <f>IFERROR(SUM(SUMIFS('caseload data'!Q:Q,'caseload data'!$C:$C,'community %'!$B$8,'caseload data'!$D:$D,"PO",'caseload data'!$B:$B,{"licence","community"}))/SUM(SUMIFS('caseload data'!Q:Q,'caseload data'!$B:$B,{"licence","community"},'caseload data'!$C:$C,'community %'!$B$8)),"")</f>
        <v/>
      </c>
      <c r="P10" s="167" t="str">
        <f>IFERROR(SUM(SUMIFS('caseload data'!R:R,'caseload data'!$C:$C,'community %'!$B$8,'caseload data'!$D:$D,"PO",'caseload data'!$B:$B,{"licence","community"}))/SUM(SUMIFS('caseload data'!R:R,'caseload data'!$B:$B,{"licence","community"},'caseload data'!$C:$C,'community %'!$B$8)),"")</f>
        <v/>
      </c>
      <c r="Q10" s="167" t="str">
        <f>IFERROR(SUM(SUMIFS('caseload data'!S:S,'caseload data'!$C:$C,'community %'!$B$8,'caseload data'!$D:$D,"PO",'caseload data'!$B:$B,{"licence","community"}))/SUM(SUMIFS('caseload data'!S:S,'caseload data'!$B:$B,{"licence","community"},'caseload data'!$C:$C,'community %'!$B$8)),"")</f>
        <v/>
      </c>
      <c r="R10" s="167" t="str">
        <f>IFERROR(SUM(SUMIFS('caseload data'!T:T,'caseload data'!$C:$C,'community %'!$B$8,'caseload data'!$D:$D,"PO",'caseload data'!$B:$B,{"licence","community"}))/SUM(SUMIFS('caseload data'!T:T,'caseload data'!$B:$B,{"licence","community"},'caseload data'!$C:$C,'community %'!$B$8)),"")</f>
        <v/>
      </c>
      <c r="S10" s="64"/>
      <c r="T10" s="96" t="s">
        <v>1002</v>
      </c>
      <c r="U10" s="167" t="str">
        <f>IFERROR(SUM(SUMIFS('caseload data'!E:E,'caseload data'!$C:$C,'community %'!$T$8,'caseload data'!$D:$D,"PO",'caseload data'!$B:$B,{"licence","community"}))/SUM(SUMIFS('caseload data'!E:E,'caseload data'!$B:$B,{"licence","community"},'caseload data'!$C:$C,'community %'!$T$8)),"")</f>
        <v/>
      </c>
      <c r="V10" s="167" t="str">
        <f>IFERROR(SUM(SUMIFS('caseload data'!F:F,'caseload data'!$C:$C,'community %'!$T$8,'caseload data'!$D:$D,"PO",'caseload data'!$B:$B,{"licence","community"}))/SUM(SUMIFS('caseload data'!F:F,'caseload data'!$B:$B,{"licence","community"},'caseload data'!$C:$C,'community %'!$T$8)),"")</f>
        <v/>
      </c>
      <c r="W10" s="167" t="str">
        <f>IFERROR(SUM(SUMIFS('caseload data'!G:G,'caseload data'!$C:$C,'community %'!$T$8,'caseload data'!$D:$D,"PO",'caseload data'!$B:$B,{"licence","community"}))/SUM(SUMIFS('caseload data'!G:G,'caseload data'!$B:$B,{"licence","community"},'caseload data'!$C:$C,'community %'!$T$8)),"")</f>
        <v/>
      </c>
      <c r="X10" s="167" t="str">
        <f>IFERROR(SUM(SUMIFS('caseload data'!H:H,'caseload data'!$C:$C,'community %'!$T$8,'caseload data'!$D:$D,"PO",'caseload data'!$B:$B,{"licence","community"}))/SUM(SUMIFS('caseload data'!H:H,'caseload data'!$B:$B,{"licence","community"},'caseload data'!$C:$C,'community %'!$T$8)),"")</f>
        <v/>
      </c>
      <c r="Y10" s="167" t="str">
        <f>IFERROR(SUM(SUMIFS('caseload data'!I:I,'caseload data'!$C:$C,'community %'!$T$8,'caseload data'!$D:$D,"PO",'caseload data'!$B:$B,{"licence","community"}))/SUM(SUMIFS('caseload data'!I:I,'caseload data'!$B:$B,{"licence","community"},'caseload data'!$C:$C,'community %'!$T$8)),"")</f>
        <v/>
      </c>
      <c r="Z10" s="167" t="str">
        <f>IFERROR(SUM(SUMIFS('caseload data'!J:J,'caseload data'!$C:$C,'community %'!$T$8,'caseload data'!$D:$D,"PO",'caseload data'!$B:$B,{"licence","community"}))/SUM(SUMIFS('caseload data'!J:J,'caseload data'!$B:$B,{"licence","community"},'caseload data'!$C:$C,'community %'!$T$8)),"")</f>
        <v/>
      </c>
      <c r="AA10" s="167" t="str">
        <f>IFERROR(SUM(SUMIFS('caseload data'!K:K,'caseload data'!$C:$C,'community %'!$T$8,'caseload data'!$D:$D,"PO",'caseload data'!$B:$B,{"licence","community"}))/SUM(SUMIFS('caseload data'!K:K,'caseload data'!$B:$B,{"licence","community"},'caseload data'!$C:$C,'community %'!$T$8)),"")</f>
        <v/>
      </c>
      <c r="AB10" s="167" t="str">
        <f>IFERROR(SUM(SUMIFS('caseload data'!L:L,'caseload data'!$C:$C,'community %'!$T$8,'caseload data'!$D:$D,"PO",'caseload data'!$B:$B,{"licence","community"}))/SUM(SUMIFS('caseload data'!L:L,'caseload data'!$B:$B,{"licence","community"},'caseload data'!$C:$C,'community %'!$T$8)),"")</f>
        <v/>
      </c>
      <c r="AC10" s="167" t="str">
        <f>IFERROR(SUM(SUMIFS('caseload data'!M:M,'caseload data'!$C:$C,'community %'!$T$8,'caseload data'!$D:$D,"PO",'caseload data'!$B:$B,{"licence","community"}))/SUM(SUMIFS('caseload data'!M:M,'caseload data'!$B:$B,{"licence","community"},'caseload data'!$C:$C,'community %'!$T$8)),"")</f>
        <v/>
      </c>
      <c r="AD10" s="167" t="str">
        <f>IFERROR(SUM(SUMIFS('caseload data'!N:N,'caseload data'!$C:$C,'community %'!$T$8,'caseload data'!$D:$D,"PO",'caseload data'!$B:$B,{"licence","community"}))/SUM(SUMIFS('caseload data'!N:N,'caseload data'!$B:$B,{"licence","community"},'caseload data'!$C:$C,'community %'!$T$8)),"")</f>
        <v/>
      </c>
      <c r="AE10" s="167" t="str">
        <f>IFERROR(SUM(SUMIFS('caseload data'!O:O,'caseload data'!$C:$C,'community %'!$T$8,'caseload data'!$D:$D,"PO",'caseload data'!$B:$B,{"licence","community"}))/SUM(SUMIFS('caseload data'!O:O,'caseload data'!$B:$B,{"licence","community"},'caseload data'!$C:$C,'community %'!$T$8)),"")</f>
        <v/>
      </c>
      <c r="AF10" s="167" t="str">
        <f>IFERROR(SUM(SUMIFS('caseload data'!P:P,'caseload data'!$C:$C,'community %'!$T$8,'caseload data'!$D:$D,"PO",'caseload data'!$B:$B,{"licence","community"}))/SUM(SUMIFS('caseload data'!P:P,'caseload data'!$B:$B,{"licence","community"},'caseload data'!$C:$C,'community %'!$T$8)),"")</f>
        <v/>
      </c>
      <c r="AG10" s="167" t="str">
        <f>IFERROR(SUM(SUMIFS('caseload data'!Q:Q,'caseload data'!$C:$C,'community %'!$T$8,'caseload data'!$D:$D,"PO",'caseload data'!$B:$B,{"licence","community"}))/SUM(SUMIFS('caseload data'!Q:Q,'caseload data'!$B:$B,{"licence","community"},'caseload data'!$C:$C,'community %'!$T$8)),"")</f>
        <v/>
      </c>
      <c r="AH10" s="167" t="str">
        <f>IFERROR(SUM(SUMIFS('caseload data'!R:R,'caseload data'!$C:$C,'community %'!$T$8,'caseload data'!$D:$D,"PO",'caseload data'!$B:$B,{"licence","community"}))/SUM(SUMIFS('caseload data'!R:R,'caseload data'!$B:$B,{"licence","community"},'caseload data'!$C:$C,'community %'!$T$8)),"")</f>
        <v/>
      </c>
      <c r="AI10" s="167" t="str">
        <f>IFERROR(SUM(SUMIFS('caseload data'!S:S,'caseload data'!$C:$C,'community %'!$T$8,'caseload data'!$D:$D,"PO",'caseload data'!$B:$B,{"licence","community"}))/SUM(SUMIFS('caseload data'!S:S,'caseload data'!$B:$B,{"licence","community"},'caseload data'!$C:$C,'community %'!$T$8)),"")</f>
        <v/>
      </c>
      <c r="AJ10" s="167" t="str">
        <f>IFERROR(SUM(SUMIFS('caseload data'!T:T,'caseload data'!$C:$C,'community %'!$T$8,'caseload data'!$D:$D,"PO",'caseload data'!$B:$B,{"licence","community"}))/SUM(SUMIFS('caseload data'!T:T,'caseload data'!$B:$B,{"licence","community"},'caseload data'!$C:$C,'community %'!$T$8)),"")</f>
        <v/>
      </c>
    </row>
    <row r="11" spans="1:50" x14ac:dyDescent="0.15">
      <c r="B11" s="97" t="s">
        <v>1007</v>
      </c>
      <c r="C11" s="167" t="str">
        <f>IFERROR(SUM(SUMIFS('caseload data'!E:E,'caseload data'!$C:$C,'community %'!$B$8,'caseload data'!$D:$D,"PSO",'caseload data'!$B:$B,{"licence","community"}))/SUM(SUMIFS('caseload data'!E:E,'caseload data'!$B:$B,{"licence","community"},'caseload data'!$C:$C,'community %'!$B$8)),"")</f>
        <v/>
      </c>
      <c r="D11" s="167" t="str">
        <f>IFERROR(SUM(SUMIFS('caseload data'!F:F,'caseload data'!$C:$C,'community %'!$B$8,'caseload data'!$D:$D,"PSO",'caseload data'!$B:$B,{"licence","community"}))/SUM(SUMIFS('caseload data'!F:F,'caseload data'!$B:$B,{"licence","community"},'caseload data'!$C:$C,'community %'!$B$8)),"")</f>
        <v/>
      </c>
      <c r="E11" s="167" t="str">
        <f>IFERROR(SUM(SUMIFS('caseload data'!G:G,'caseload data'!$C:$C,'community %'!$B$8,'caseload data'!$D:$D,"PSO",'caseload data'!$B:$B,{"licence","community"}))/SUM(SUMIFS('caseload data'!G:G,'caseload data'!$B:$B,{"licence","community"},'caseload data'!$C:$C,'community %'!$B$8)),"")</f>
        <v/>
      </c>
      <c r="F11" s="167" t="str">
        <f>IFERROR(SUM(SUMIFS('caseload data'!H:H,'caseload data'!$C:$C,'community %'!$B$8,'caseload data'!$D:$D,"PSO",'caseload data'!$B:$B,{"licence","community"}))/SUM(SUMIFS('caseload data'!H:H,'caseload data'!$B:$B,{"licence","community"},'caseload data'!$C:$C,'community %'!$B$8)),"")</f>
        <v/>
      </c>
      <c r="G11" s="167" t="str">
        <f>IFERROR(SUM(SUMIFS('caseload data'!I:I,'caseload data'!$C:$C,'community %'!$B$8,'caseload data'!$D:$D,"PSO",'caseload data'!$B:$B,{"licence","community"}))/SUM(SUMIFS('caseload data'!I:I,'caseload data'!$B:$B,{"licence","community"},'caseload data'!$C:$C,'community %'!$B$8)),"")</f>
        <v/>
      </c>
      <c r="H11" s="167" t="str">
        <f>IFERROR(SUM(SUMIFS('caseload data'!J:J,'caseload data'!$C:$C,'community %'!$B$8,'caseload data'!$D:$D,"PSO",'caseload data'!$B:$B,{"licence","community"}))/SUM(SUMIFS('caseload data'!J:J,'caseload data'!$B:$B,{"licence","community"},'caseload data'!$C:$C,'community %'!$B$8)),"")</f>
        <v/>
      </c>
      <c r="I11" s="167" t="str">
        <f>IFERROR(SUM(SUMIFS('caseload data'!K:K,'caseload data'!$C:$C,'community %'!$B$8,'caseload data'!$D:$D,"PSO",'caseload data'!$B:$B,{"licence","community"}))/SUM(SUMIFS('caseload data'!K:K,'caseload data'!$B:$B,{"licence","community"},'caseload data'!$C:$C,'community %'!$B$8)),"")</f>
        <v/>
      </c>
      <c r="J11" s="167" t="str">
        <f>IFERROR(SUM(SUMIFS('caseload data'!L:L,'caseload data'!$C:$C,'community %'!$B$8,'caseload data'!$D:$D,"PSO",'caseload data'!$B:$B,{"licence","community"}))/SUM(SUMIFS('caseload data'!L:L,'caseload data'!$B:$B,{"licence","community"},'caseload data'!$C:$C,'community %'!$B$8)),"")</f>
        <v/>
      </c>
      <c r="K11" s="167" t="str">
        <f>IFERROR(SUM(SUMIFS('caseload data'!M:M,'caseload data'!$C:$C,'community %'!$B$8,'caseload data'!$D:$D,"PSO",'caseload data'!$B:$B,{"licence","community"}))/SUM(SUMIFS('caseload data'!M:M,'caseload data'!$B:$B,{"licence","community"},'caseload data'!$C:$C,'community %'!$B$8)),"")</f>
        <v/>
      </c>
      <c r="L11" s="167" t="str">
        <f>IFERROR(SUM(SUMIFS('caseload data'!N:N,'caseload data'!$C:$C,'community %'!$B$8,'caseload data'!$D:$D,"PSO",'caseload data'!$B:$B,{"licence","community"}))/SUM(SUMIFS('caseload data'!N:N,'caseload data'!$B:$B,{"licence","community"},'caseload data'!$C:$C,'community %'!$B$8)),"")</f>
        <v/>
      </c>
      <c r="M11" s="167" t="str">
        <f>IFERROR(SUM(SUMIFS('caseload data'!O:O,'caseload data'!$C:$C,'community %'!$B$8,'caseload data'!$D:$D,"PSO",'caseload data'!$B:$B,{"licence","community"}))/SUM(SUMIFS('caseload data'!O:O,'caseload data'!$B:$B,{"licence","community"},'caseload data'!$C:$C,'community %'!$B$8)),"")</f>
        <v/>
      </c>
      <c r="N11" s="167" t="str">
        <f>IFERROR(SUM(SUMIFS('caseload data'!P:P,'caseload data'!$C:$C,'community %'!$B$8,'caseload data'!$D:$D,"PSO",'caseload data'!$B:$B,{"licence","community"}))/SUM(SUMIFS('caseload data'!P:P,'caseload data'!$B:$B,{"licence","community"},'caseload data'!$C:$C,'community %'!$B$8)),"")</f>
        <v/>
      </c>
      <c r="O11" s="167" t="str">
        <f>IFERROR(SUM(SUMIFS('caseload data'!Q:Q,'caseload data'!$C:$C,'community %'!$B$8,'caseload data'!$D:$D,"PSO",'caseload data'!$B:$B,{"licence","community"}))/SUM(SUMIFS('caseload data'!Q:Q,'caseload data'!$B:$B,{"licence","community"},'caseload data'!$C:$C,'community %'!$B$8)),"")</f>
        <v/>
      </c>
      <c r="P11" s="167" t="str">
        <f>IFERROR(SUM(SUMIFS('caseload data'!R:R,'caseload data'!$C:$C,'community %'!$B$8,'caseload data'!$D:$D,"PSO",'caseload data'!$B:$B,{"licence","community"}))/SUM(SUMIFS('caseload data'!R:R,'caseload data'!$B:$B,{"licence","community"},'caseload data'!$C:$C,'community %'!$B$8)),"")</f>
        <v/>
      </c>
      <c r="Q11" s="167" t="str">
        <f>IFERROR(SUM(SUMIFS('caseload data'!S:S,'caseload data'!$C:$C,'community %'!$B$8,'caseload data'!$D:$D,"PSO",'caseload data'!$B:$B,{"licence","community"}))/SUM(SUMIFS('caseload data'!S:S,'caseload data'!$B:$B,{"licence","community"},'caseload data'!$C:$C,'community %'!$B$8)),"")</f>
        <v/>
      </c>
      <c r="R11" s="167" t="str">
        <f>IFERROR(SUM(SUMIFS('caseload data'!T:T,'caseload data'!$C:$C,'community %'!$B$8,'caseload data'!$D:$D,"PSO",'caseload data'!$B:$B,{"licence","community"}))/SUM(SUMIFS('caseload data'!T:T,'caseload data'!$B:$B,{"licence","community"},'caseload data'!$C:$C,'community %'!$B$8)),"")</f>
        <v/>
      </c>
      <c r="S11" s="64"/>
      <c r="T11" s="97" t="s">
        <v>1007</v>
      </c>
      <c r="U11" s="167" t="str">
        <f>IFERROR(SUM(SUMIFS('caseload data'!E:E,'caseload data'!$C:$C,'community %'!$T$8,'caseload data'!$D:$D,"PSO",'caseload data'!$B:$B,{"licence","community"}))/SUM(SUMIFS('caseload data'!E:E,'caseload data'!$B:$B,{"licence","community"},'caseload data'!$C:$C,'community %'!$T$8)),"")</f>
        <v/>
      </c>
      <c r="V11" s="167" t="str">
        <f>IFERROR(SUM(SUMIFS('caseload data'!F:F,'caseload data'!$C:$C,'community %'!$T$8,'caseload data'!$D:$D,"PSO",'caseload data'!$B:$B,{"licence","community"}))/SUM(SUMIFS('caseload data'!F:F,'caseload data'!$B:$B,{"licence","community"},'caseload data'!$C:$C,'community %'!$T$8)),"")</f>
        <v/>
      </c>
      <c r="W11" s="167" t="str">
        <f>IFERROR(SUM(SUMIFS('caseload data'!G:G,'caseload data'!$C:$C,'community %'!$T$8,'caseload data'!$D:$D,"PSO",'caseload data'!$B:$B,{"licence","community"}))/SUM(SUMIFS('caseload data'!G:G,'caseload data'!$B:$B,{"licence","community"},'caseload data'!$C:$C,'community %'!$T$8)),"")</f>
        <v/>
      </c>
      <c r="X11" s="167" t="str">
        <f>IFERROR(SUM(SUMIFS('caseload data'!H:H,'caseload data'!$C:$C,'community %'!$T$8,'caseload data'!$D:$D,"PSO",'caseload data'!$B:$B,{"licence","community"}))/SUM(SUMIFS('caseload data'!H:H,'caseload data'!$B:$B,{"licence","community"},'caseload data'!$C:$C,'community %'!$T$8)),"")</f>
        <v/>
      </c>
      <c r="Y11" s="167" t="str">
        <f>IFERROR(SUM(SUMIFS('caseload data'!I:I,'caseload data'!$C:$C,'community %'!$T$8,'caseload data'!$D:$D,"PSO",'caseload data'!$B:$B,{"licence","community"}))/SUM(SUMIFS('caseload data'!I:I,'caseload data'!$B:$B,{"licence","community"},'caseload data'!$C:$C,'community %'!$T$8)),"")</f>
        <v/>
      </c>
      <c r="Z11" s="167" t="str">
        <f>IFERROR(SUM(SUMIFS('caseload data'!J:J,'caseload data'!$C:$C,'community %'!$T$8,'caseload data'!$D:$D,"PSO",'caseload data'!$B:$B,{"licence","community"}))/SUM(SUMIFS('caseload data'!J:J,'caseload data'!$B:$B,{"licence","community"},'caseload data'!$C:$C,'community %'!$T$8)),"")</f>
        <v/>
      </c>
      <c r="AA11" s="167" t="str">
        <f>IFERROR(SUM(SUMIFS('caseload data'!K:K,'caseload data'!$C:$C,'community %'!$T$8,'caseload data'!$D:$D,"PSO",'caseload data'!$B:$B,{"licence","community"}))/SUM(SUMIFS('caseload data'!K:K,'caseload data'!$B:$B,{"licence","community"},'caseload data'!$C:$C,'community %'!$T$8)),"")</f>
        <v/>
      </c>
      <c r="AB11" s="167" t="str">
        <f>IFERROR(SUM(SUMIFS('caseload data'!L:L,'caseload data'!$C:$C,'community %'!$T$8,'caseload data'!$D:$D,"PSO",'caseload data'!$B:$B,{"licence","community"}))/SUM(SUMIFS('caseload data'!L:L,'caseload data'!$B:$B,{"licence","community"},'caseload data'!$C:$C,'community %'!$T$8)),"")</f>
        <v/>
      </c>
      <c r="AC11" s="167" t="str">
        <f>IFERROR(SUM(SUMIFS('caseload data'!M:M,'caseload data'!$C:$C,'community %'!$T$8,'caseload data'!$D:$D,"PSO",'caseload data'!$B:$B,{"licence","community"}))/SUM(SUMIFS('caseload data'!M:M,'caseload data'!$B:$B,{"licence","community"},'caseload data'!$C:$C,'community %'!$T$8)),"")</f>
        <v/>
      </c>
      <c r="AD11" s="167" t="str">
        <f>IFERROR(SUM(SUMIFS('caseload data'!N:N,'caseload data'!$C:$C,'community %'!$T$8,'caseload data'!$D:$D,"PSO",'caseload data'!$B:$B,{"licence","community"}))/SUM(SUMIFS('caseload data'!N:N,'caseload data'!$B:$B,{"licence","community"},'caseload data'!$C:$C,'community %'!$T$8)),"")</f>
        <v/>
      </c>
      <c r="AE11" s="167" t="str">
        <f>IFERROR(SUM(SUMIFS('caseload data'!O:O,'caseload data'!$C:$C,'community %'!$T$8,'caseload data'!$D:$D,"PSO",'caseload data'!$B:$B,{"licence","community"}))/SUM(SUMIFS('caseload data'!O:O,'caseload data'!$B:$B,{"licence","community"},'caseload data'!$C:$C,'community %'!$T$8)),"")</f>
        <v/>
      </c>
      <c r="AF11" s="167" t="str">
        <f>IFERROR(SUM(SUMIFS('caseload data'!P:P,'caseload data'!$C:$C,'community %'!$T$8,'caseload data'!$D:$D,"PSO",'caseload data'!$B:$B,{"licence","community"}))/SUM(SUMIFS('caseload data'!P:P,'caseload data'!$B:$B,{"licence","community"},'caseload data'!$C:$C,'community %'!$T$8)),"")</f>
        <v/>
      </c>
      <c r="AG11" s="167" t="str">
        <f>IFERROR(SUM(SUMIFS('caseload data'!Q:Q,'caseload data'!$C:$C,'community %'!$T$8,'caseload data'!$D:$D,"PSO",'caseload data'!$B:$B,{"licence","community"}))/SUM(SUMIFS('caseload data'!Q:Q,'caseload data'!$B:$B,{"licence","community"},'caseload data'!$C:$C,'community %'!$T$8)),"")</f>
        <v/>
      </c>
      <c r="AH11" s="167" t="str">
        <f>IFERROR(SUM(SUMIFS('caseload data'!R:R,'caseload data'!$C:$C,'community %'!$T$8,'caseload data'!$D:$D,"PSO",'caseload data'!$B:$B,{"licence","community"}))/SUM(SUMIFS('caseload data'!R:R,'caseload data'!$B:$B,{"licence","community"},'caseload data'!$C:$C,'community %'!$T$8)),"")</f>
        <v/>
      </c>
      <c r="AI11" s="167" t="str">
        <f>IFERROR(SUM(SUMIFS('caseload data'!S:S,'caseload data'!$C:$C,'community %'!$T$8,'caseload data'!$D:$D,"PSO",'caseload data'!$B:$B,{"licence","community"}))/SUM(SUMIFS('caseload data'!S:S,'caseload data'!$B:$B,{"licence","community"},'caseload data'!$C:$C,'community %'!$T$8)),"")</f>
        <v/>
      </c>
      <c r="AJ11" s="167" t="str">
        <f>IFERROR(SUM(SUMIFS('caseload data'!T:T,'caseload data'!$C:$C,'community %'!$T$8,'caseload data'!$D:$D,"PSO",'caseload data'!$B:$B,{"licence","community"}))/SUM(SUMIFS('caseload data'!T:T,'caseload data'!$B:$B,{"licence","community"},'caseload data'!$C:$C,'community %'!$T$8)),"")</f>
        <v/>
      </c>
    </row>
    <row r="12" spans="1:50" x14ac:dyDescent="0.15">
      <c r="B12" s="97" t="s">
        <v>1008</v>
      </c>
      <c r="C12" s="167" t="str">
        <f>IFERROR(SUM(SUMIFS('caseload data'!E:E,'caseload data'!$C:$C,'community %'!$B$8,'caseload data'!$D:$D,"TPO",'caseload data'!$B:$B,{"licence","community"}))/SUM(SUMIFS('caseload data'!E:E,'caseload data'!$B:$B,{"licence","community"},'caseload data'!$C:$C,'community %'!$B$8)),"")</f>
        <v/>
      </c>
      <c r="D12" s="167" t="str">
        <f>IFERROR(SUM(SUMIFS('caseload data'!F:F,'caseload data'!$C:$C,'community %'!$B$8,'caseload data'!$D:$D,"TPO",'caseload data'!$B:$B,{"licence","community"}))/SUM(SUMIFS('caseload data'!F:F,'caseload data'!$B:$B,{"licence","community"},'caseload data'!$C:$C,'community %'!$B$8)),"")</f>
        <v/>
      </c>
      <c r="E12" s="167" t="str">
        <f>IFERROR(SUM(SUMIFS('caseload data'!G:G,'caseload data'!$C:$C,'community %'!$B$8,'caseload data'!$D:$D,"TPO",'caseload data'!$B:$B,{"licence","community"}))/SUM(SUMIFS('caseload data'!G:G,'caseload data'!$B:$B,{"licence","community"},'caseload data'!$C:$C,'community %'!$B$8)),"")</f>
        <v/>
      </c>
      <c r="F12" s="167" t="str">
        <f>IFERROR(SUM(SUMIFS('caseload data'!H:H,'caseload data'!$C:$C,'community %'!$B$8,'caseload data'!$D:$D,"TPO",'caseload data'!$B:$B,{"licence","community"}))/SUM(SUMIFS('caseload data'!H:H,'caseload data'!$B:$B,{"licence","community"},'caseload data'!$C:$C,'community %'!$B$8)),"")</f>
        <v/>
      </c>
      <c r="G12" s="167" t="str">
        <f>IFERROR(SUM(SUMIFS('caseload data'!I:I,'caseload data'!$C:$C,'community %'!$B$8,'caseload data'!$D:$D,"TPO",'caseload data'!$B:$B,{"licence","community"}))/SUM(SUMIFS('caseload data'!I:I,'caseload data'!$B:$B,{"licence","community"},'caseload data'!$C:$C,'community %'!$B$8)),"")</f>
        <v/>
      </c>
      <c r="H12" s="167" t="str">
        <f>IFERROR(SUM(SUMIFS('caseload data'!J:J,'caseload data'!$C:$C,'community %'!$B$8,'caseload data'!$D:$D,"TPO",'caseload data'!$B:$B,{"licence","community"}))/SUM(SUMIFS('caseload data'!J:J,'caseload data'!$B:$B,{"licence","community"},'caseload data'!$C:$C,'community %'!$B$8)),"")</f>
        <v/>
      </c>
      <c r="I12" s="167" t="str">
        <f>IFERROR(SUM(SUMIFS('caseload data'!K:K,'caseload data'!$C:$C,'community %'!$B$8,'caseload data'!$D:$D,"TPO",'caseload data'!$B:$B,{"licence","community"}))/SUM(SUMIFS('caseload data'!K:K,'caseload data'!$B:$B,{"licence","community"},'caseload data'!$C:$C,'community %'!$B$8)),"")</f>
        <v/>
      </c>
      <c r="J12" s="167" t="str">
        <f>IFERROR(SUM(SUMIFS('caseload data'!L:L,'caseload data'!$C:$C,'community %'!$B$8,'caseload data'!$D:$D,"TPO",'caseload data'!$B:$B,{"licence","community"}))/SUM(SUMIFS('caseload data'!L:L,'caseload data'!$B:$B,{"licence","community"},'caseload data'!$C:$C,'community %'!$B$8)),"")</f>
        <v/>
      </c>
      <c r="K12" s="167" t="str">
        <f>IFERROR(SUM(SUMIFS('caseload data'!M:M,'caseload data'!$C:$C,'community %'!$B$8,'caseload data'!$D:$D,"TPO",'caseload data'!$B:$B,{"licence","community"}))/SUM(SUMIFS('caseload data'!M:M,'caseload data'!$B:$B,{"licence","community"},'caseload data'!$C:$C,'community %'!$B$8)),"")</f>
        <v/>
      </c>
      <c r="L12" s="167" t="str">
        <f>IFERROR(SUM(SUMIFS('caseload data'!N:N,'caseload data'!$C:$C,'community %'!$B$8,'caseload data'!$D:$D,"TPO",'caseload data'!$B:$B,{"licence","community"}))/SUM(SUMIFS('caseload data'!N:N,'caseload data'!$B:$B,{"licence","community"},'caseload data'!$C:$C,'community %'!$B$8)),"")</f>
        <v/>
      </c>
      <c r="M12" s="167" t="str">
        <f>IFERROR(SUM(SUMIFS('caseload data'!O:O,'caseload data'!$C:$C,'community %'!$B$8,'caseload data'!$D:$D,"TPO",'caseload data'!$B:$B,{"licence","community"}))/SUM(SUMIFS('caseload data'!O:O,'caseload data'!$B:$B,{"licence","community"},'caseload data'!$C:$C,'community %'!$B$8)),"")</f>
        <v/>
      </c>
      <c r="N12" s="167" t="str">
        <f>IFERROR(SUM(SUMIFS('caseload data'!P:P,'caseload data'!$C:$C,'community %'!$B$8,'caseload data'!$D:$D,"TPO",'caseload data'!$B:$B,{"licence","community"}))/SUM(SUMIFS('caseload data'!P:P,'caseload data'!$B:$B,{"licence","community"},'caseload data'!$C:$C,'community %'!$B$8)),"")</f>
        <v/>
      </c>
      <c r="O12" s="167" t="str">
        <f>IFERROR(SUM(SUMIFS('caseload data'!Q:Q,'caseload data'!$C:$C,'community %'!$B$8,'caseload data'!$D:$D,"TPO",'caseload data'!$B:$B,{"licence","community"}))/SUM(SUMIFS('caseload data'!Q:Q,'caseload data'!$B:$B,{"licence","community"},'caseload data'!$C:$C,'community %'!$B$8)),"")</f>
        <v/>
      </c>
      <c r="P12" s="167" t="str">
        <f>IFERROR(SUM(SUMIFS('caseload data'!R:R,'caseload data'!$C:$C,'community %'!$B$8,'caseload data'!$D:$D,"TPO",'caseload data'!$B:$B,{"licence","community"}))/SUM(SUMIFS('caseload data'!R:R,'caseload data'!$B:$B,{"licence","community"},'caseload data'!$C:$C,'community %'!$B$8)),"")</f>
        <v/>
      </c>
      <c r="Q12" s="167" t="str">
        <f>IFERROR(SUM(SUMIFS('caseload data'!S:S,'caseload data'!$C:$C,'community %'!$B$8,'caseload data'!$D:$D,"TPO",'caseload data'!$B:$B,{"licence","community"}))/SUM(SUMIFS('caseload data'!S:S,'caseload data'!$B:$B,{"licence","community"},'caseload data'!$C:$C,'community %'!$B$8)),"")</f>
        <v/>
      </c>
      <c r="R12" s="167" t="str">
        <f>IFERROR(SUM(SUMIFS('caseload data'!T:T,'caseload data'!$C:$C,'community %'!$B$8,'caseload data'!$D:$D,"TPO",'caseload data'!$B:$B,{"licence","community"}))/SUM(SUMIFS('caseload data'!T:T,'caseload data'!$B:$B,{"licence","community"},'caseload data'!$C:$C,'community %'!$B$8)),"")</f>
        <v/>
      </c>
      <c r="S12" s="64"/>
      <c r="T12" s="97" t="s">
        <v>1008</v>
      </c>
      <c r="U12" s="167" t="str">
        <f>IFERROR(SUM(SUMIFS('caseload data'!E:E,'caseload data'!$C:$C,'community %'!$T$8,'caseload data'!$D:$D,"TPO",'caseload data'!$B:$B,{"licence","community"}))/SUM(SUMIFS('caseload data'!E:E,'caseload data'!$B:$B,{"licence","community"},'caseload data'!$C:$C,'community %'!$T$8)),"")</f>
        <v/>
      </c>
      <c r="V12" s="167" t="str">
        <f>IFERROR(SUM(SUMIFS('caseload data'!F:F,'caseload data'!$C:$C,'community %'!$T$8,'caseload data'!$D:$D,"TPO",'caseload data'!$B:$B,{"licence","community"}))/SUM(SUMIFS('caseload data'!F:F,'caseload data'!$B:$B,{"licence","community"},'caseload data'!$C:$C,'community %'!$T$8)),"")</f>
        <v/>
      </c>
      <c r="W12" s="167" t="str">
        <f>IFERROR(SUM(SUMIFS('caseload data'!G:G,'caseload data'!$C:$C,'community %'!$T$8,'caseload data'!$D:$D,"TPO",'caseload data'!$B:$B,{"licence","community"}))/SUM(SUMIFS('caseload data'!G:G,'caseload data'!$B:$B,{"licence","community"},'caseload data'!$C:$C,'community %'!$T$8)),"")</f>
        <v/>
      </c>
      <c r="X12" s="167" t="str">
        <f>IFERROR(SUM(SUMIFS('caseload data'!H:H,'caseload data'!$C:$C,'community %'!$T$8,'caseload data'!$D:$D,"TPO",'caseload data'!$B:$B,{"licence","community"}))/SUM(SUMIFS('caseload data'!H:H,'caseload data'!$B:$B,{"licence","community"},'caseload data'!$C:$C,'community %'!$T$8)),"")</f>
        <v/>
      </c>
      <c r="Y12" s="167" t="str">
        <f>IFERROR(SUM(SUMIFS('caseload data'!I:I,'caseload data'!$C:$C,'community %'!$T$8,'caseload data'!$D:$D,"TPO",'caseload data'!$B:$B,{"licence","community"}))/SUM(SUMIFS('caseload data'!I:I,'caseload data'!$B:$B,{"licence","community"},'caseload data'!$C:$C,'community %'!$T$8)),"")</f>
        <v/>
      </c>
      <c r="Z12" s="167" t="str">
        <f>IFERROR(SUM(SUMIFS('caseload data'!J:J,'caseload data'!$C:$C,'community %'!$T$8,'caseload data'!$D:$D,"TPO",'caseload data'!$B:$B,{"licence","community"}))/SUM(SUMIFS('caseload data'!J:J,'caseload data'!$B:$B,{"licence","community"},'caseload data'!$C:$C,'community %'!$T$8)),"")</f>
        <v/>
      </c>
      <c r="AA12" s="167" t="str">
        <f>IFERROR(SUM(SUMIFS('caseload data'!K:K,'caseload data'!$C:$C,'community %'!$T$8,'caseload data'!$D:$D,"TPO",'caseload data'!$B:$B,{"licence","community"}))/SUM(SUMIFS('caseload data'!K:K,'caseload data'!$B:$B,{"licence","community"},'caseload data'!$C:$C,'community %'!$T$8)),"")</f>
        <v/>
      </c>
      <c r="AB12" s="167" t="str">
        <f>IFERROR(SUM(SUMIFS('caseload data'!L:L,'caseload data'!$C:$C,'community %'!$T$8,'caseload data'!$D:$D,"TPO",'caseload data'!$B:$B,{"licence","community"}))/SUM(SUMIFS('caseload data'!L:L,'caseload data'!$B:$B,{"licence","community"},'caseload data'!$C:$C,'community %'!$T$8)),"")</f>
        <v/>
      </c>
      <c r="AC12" s="167" t="str">
        <f>IFERROR(SUM(SUMIFS('caseload data'!M:M,'caseload data'!$C:$C,'community %'!$T$8,'caseload data'!$D:$D,"TPO",'caseload data'!$B:$B,{"licence","community"}))/SUM(SUMIFS('caseload data'!M:M,'caseload data'!$B:$B,{"licence","community"},'caseload data'!$C:$C,'community %'!$T$8)),"")</f>
        <v/>
      </c>
      <c r="AD12" s="167" t="str">
        <f>IFERROR(SUM(SUMIFS('caseload data'!N:N,'caseload data'!$C:$C,'community %'!$T$8,'caseload data'!$D:$D,"TPO",'caseload data'!$B:$B,{"licence","community"}))/SUM(SUMIFS('caseload data'!N:N,'caseload data'!$B:$B,{"licence","community"},'caseload data'!$C:$C,'community %'!$T$8)),"")</f>
        <v/>
      </c>
      <c r="AE12" s="167" t="str">
        <f>IFERROR(SUM(SUMIFS('caseload data'!O:O,'caseload data'!$C:$C,'community %'!$T$8,'caseload data'!$D:$D,"TPO",'caseload data'!$B:$B,{"licence","community"}))/SUM(SUMIFS('caseload data'!O:O,'caseload data'!$B:$B,{"licence","community"},'caseload data'!$C:$C,'community %'!$T$8)),"")</f>
        <v/>
      </c>
      <c r="AF12" s="167" t="str">
        <f>IFERROR(SUM(SUMIFS('caseload data'!P:P,'caseload data'!$C:$C,'community %'!$T$8,'caseload data'!$D:$D,"TPO",'caseload data'!$B:$B,{"licence","community"}))/SUM(SUMIFS('caseload data'!P:P,'caseload data'!$B:$B,{"licence","community"},'caseload data'!$C:$C,'community %'!$T$8)),"")</f>
        <v/>
      </c>
      <c r="AG12" s="167" t="str">
        <f>IFERROR(SUM(SUMIFS('caseload data'!Q:Q,'caseload data'!$C:$C,'community %'!$T$8,'caseload data'!$D:$D,"TPO",'caseload data'!$B:$B,{"licence","community"}))/SUM(SUMIFS('caseload data'!Q:Q,'caseload data'!$B:$B,{"licence","community"},'caseload data'!$C:$C,'community %'!$T$8)),"")</f>
        <v/>
      </c>
      <c r="AH12" s="167" t="str">
        <f>IFERROR(SUM(SUMIFS('caseload data'!R:R,'caseload data'!$C:$C,'community %'!$T$8,'caseload data'!$D:$D,"TPO",'caseload data'!$B:$B,{"licence","community"}))/SUM(SUMIFS('caseload data'!R:R,'caseload data'!$B:$B,{"licence","community"},'caseload data'!$C:$C,'community %'!$T$8)),"")</f>
        <v/>
      </c>
      <c r="AI12" s="167" t="str">
        <f>IFERROR(SUM(SUMIFS('caseload data'!S:S,'caseload data'!$C:$C,'community %'!$T$8,'caseload data'!$D:$D,"TPO",'caseload data'!$B:$B,{"licence","community"}))/SUM(SUMIFS('caseload data'!S:S,'caseload data'!$B:$B,{"licence","community"},'caseload data'!$C:$C,'community %'!$T$8)),"")</f>
        <v/>
      </c>
      <c r="AJ12" s="167" t="str">
        <f>IFERROR(SUM(SUMIFS('caseload data'!T:T,'caseload data'!$C:$C,'community %'!$T$8,'caseload data'!$D:$D,"TPO",'caseload data'!$B:$B,{"licence","community"}))/SUM(SUMIFS('caseload data'!T:T,'caseload data'!$B:$B,{"licence","community"},'caseload data'!$C:$C,'community %'!$T$8)),"")</f>
        <v/>
      </c>
    </row>
    <row r="13" spans="1:50" x14ac:dyDescent="0.15">
      <c r="B13" s="98" t="s">
        <v>1009</v>
      </c>
      <c r="C13" s="167" t="str">
        <f>IFERROR(SUM(SUMIFS('caseload data'!E:E,'caseload data'!$C:$C,'community %'!$B$8,'caseload data'!$D:$D,"SPO",'caseload data'!$B:$B,{"licence","community"}))/SUM(SUMIFS('caseload data'!E:E,'caseload data'!$B:$B,{"licence","community"},'caseload data'!$C:$C,'community %'!$B$8)),"")</f>
        <v/>
      </c>
      <c r="D13" s="167" t="str">
        <f>IFERROR(SUM(SUMIFS('caseload data'!F:F,'caseload data'!$C:$C,'community %'!$B$8,'caseload data'!$D:$D,"SPO",'caseload data'!$B:$B,{"licence","community"}))/SUM(SUMIFS('caseload data'!F:F,'caseload data'!$B:$B,{"licence","community"},'caseload data'!$C:$C,'community %'!$B$8)),"")</f>
        <v/>
      </c>
      <c r="E13" s="167" t="str">
        <f>IFERROR(SUM(SUMIFS('caseload data'!G:G,'caseload data'!$C:$C,'community %'!$B$8,'caseload data'!$D:$D,"SPO",'caseload data'!$B:$B,{"licence","community"}))/SUM(SUMIFS('caseload data'!G:G,'caseload data'!$B:$B,{"licence","community"},'caseload data'!$C:$C,'community %'!$B$8)),"")</f>
        <v/>
      </c>
      <c r="F13" s="167" t="str">
        <f>IFERROR(SUM(SUMIFS('caseload data'!H:H,'caseload data'!$C:$C,'community %'!$B$8,'caseload data'!$D:$D,"SPO",'caseload data'!$B:$B,{"licence","community"}))/SUM(SUMIFS('caseload data'!H:H,'caseload data'!$B:$B,{"licence","community"},'caseload data'!$C:$C,'community %'!$B$8)),"")</f>
        <v/>
      </c>
      <c r="G13" s="167" t="str">
        <f>IFERROR(SUM(SUMIFS('caseload data'!I:I,'caseload data'!$C:$C,'community %'!$B$8,'caseload data'!$D:$D,"SPO",'caseload data'!$B:$B,{"licence","community"}))/SUM(SUMIFS('caseload data'!I:I,'caseload data'!$B:$B,{"licence","community"},'caseload data'!$C:$C,'community %'!$B$8)),"")</f>
        <v/>
      </c>
      <c r="H13" s="167" t="str">
        <f>IFERROR(SUM(SUMIFS('caseload data'!J:J,'caseload data'!$C:$C,'community %'!$B$8,'caseload data'!$D:$D,"SPO",'caseload data'!$B:$B,{"licence","community"}))/SUM(SUMIFS('caseload data'!J:J,'caseload data'!$B:$B,{"licence","community"},'caseload data'!$C:$C,'community %'!$B$8)),"")</f>
        <v/>
      </c>
      <c r="I13" s="167" t="str">
        <f>IFERROR(SUM(SUMIFS('caseload data'!K:K,'caseload data'!$C:$C,'community %'!$B$8,'caseload data'!$D:$D,"SPO",'caseload data'!$B:$B,{"licence","community"}))/SUM(SUMIFS('caseload data'!K:K,'caseload data'!$B:$B,{"licence","community"},'caseload data'!$C:$C,'community %'!$B$8)),"")</f>
        <v/>
      </c>
      <c r="J13" s="167" t="str">
        <f>IFERROR(SUM(SUMIFS('caseload data'!L:L,'caseload data'!$C:$C,'community %'!$B$8,'caseload data'!$D:$D,"SPO",'caseload data'!$B:$B,{"licence","community"}))/SUM(SUMIFS('caseload data'!L:L,'caseload data'!$B:$B,{"licence","community"},'caseload data'!$C:$C,'community %'!$B$8)),"")</f>
        <v/>
      </c>
      <c r="K13" s="167" t="str">
        <f>IFERROR(SUM(SUMIFS('caseload data'!M:M,'caseload data'!$C:$C,'community %'!$B$8,'caseload data'!$D:$D,"SPO",'caseload data'!$B:$B,{"licence","community"}))/SUM(SUMIFS('caseload data'!M:M,'caseload data'!$B:$B,{"licence","community"},'caseload data'!$C:$C,'community %'!$B$8)),"")</f>
        <v/>
      </c>
      <c r="L13" s="167" t="str">
        <f>IFERROR(SUM(SUMIFS('caseload data'!N:N,'caseload data'!$C:$C,'community %'!$B$8,'caseload data'!$D:$D,"SPO",'caseload data'!$B:$B,{"licence","community"}))/SUM(SUMIFS('caseload data'!N:N,'caseload data'!$B:$B,{"licence","community"},'caseload data'!$C:$C,'community %'!$B$8)),"")</f>
        <v/>
      </c>
      <c r="M13" s="167" t="str">
        <f>IFERROR(SUM(SUMIFS('caseload data'!O:O,'caseload data'!$C:$C,'community %'!$B$8,'caseload data'!$D:$D,"SPO",'caseload data'!$B:$B,{"licence","community"}))/SUM(SUMIFS('caseload data'!O:O,'caseload data'!$B:$B,{"licence","community"},'caseload data'!$C:$C,'community %'!$B$8)),"")</f>
        <v/>
      </c>
      <c r="N13" s="167" t="str">
        <f>IFERROR(SUM(SUMIFS('caseload data'!P:P,'caseload data'!$C:$C,'community %'!$B$8,'caseload data'!$D:$D,"SPO",'caseload data'!$B:$B,{"licence","community"}))/SUM(SUMIFS('caseload data'!P:P,'caseload data'!$B:$B,{"licence","community"},'caseload data'!$C:$C,'community %'!$B$8)),"")</f>
        <v/>
      </c>
      <c r="O13" s="167" t="str">
        <f>IFERROR(SUM(SUMIFS('caseload data'!Q:Q,'caseload data'!$C:$C,'community %'!$B$8,'caseload data'!$D:$D,"SPO",'caseload data'!$B:$B,{"licence","community"}))/SUM(SUMIFS('caseload data'!Q:Q,'caseload data'!$B:$B,{"licence","community"},'caseload data'!$C:$C,'community %'!$B$8)),"")</f>
        <v/>
      </c>
      <c r="P13" s="167" t="str">
        <f>IFERROR(SUM(SUMIFS('caseload data'!R:R,'caseload data'!$C:$C,'community %'!$B$8,'caseload data'!$D:$D,"SPO",'caseload data'!$B:$B,{"licence","community"}))/SUM(SUMIFS('caseload data'!R:R,'caseload data'!$B:$B,{"licence","community"},'caseload data'!$C:$C,'community %'!$B$8)),"")</f>
        <v/>
      </c>
      <c r="Q13" s="167" t="str">
        <f>IFERROR(SUM(SUMIFS('caseload data'!S:S,'caseload data'!$C:$C,'community %'!$B$8,'caseload data'!$D:$D,"SPO",'caseload data'!$B:$B,{"licence","community"}))/SUM(SUMIFS('caseload data'!S:S,'caseload data'!$B:$B,{"licence","community"},'caseload data'!$C:$C,'community %'!$B$8)),"")</f>
        <v/>
      </c>
      <c r="R13" s="167" t="str">
        <f>IFERROR(SUM(SUMIFS('caseload data'!T:T,'caseload data'!$C:$C,'community %'!$B$8,'caseload data'!$D:$D,"SPO",'caseload data'!$B:$B,{"licence","community"}))/SUM(SUMIFS('caseload data'!T:T,'caseload data'!$B:$B,{"licence","community"},'caseload data'!$C:$C,'community %'!$B$8)),"")</f>
        <v/>
      </c>
      <c r="S13" s="64"/>
      <c r="T13" s="98" t="s">
        <v>1009</v>
      </c>
      <c r="U13" s="167" t="str">
        <f>IFERROR(SUM(SUMIFS('caseload data'!E:E,'caseload data'!$C:$C,'community %'!$T$8,'caseload data'!$D:$D,"SPO",'caseload data'!$B:$B,{"licence","community"}))/SUM(SUMIFS('caseload data'!E:E,'caseload data'!$B:$B,{"licence","community"},'caseload data'!$C:$C,'community %'!$T$8)),"")</f>
        <v/>
      </c>
      <c r="V13" s="167" t="str">
        <f>IFERROR(SUM(SUMIFS('caseload data'!F:F,'caseload data'!$C:$C,'community %'!$T$8,'caseload data'!$D:$D,"SPO",'caseload data'!$B:$B,{"licence","community"}))/SUM(SUMIFS('caseload data'!F:F,'caseload data'!$B:$B,{"licence","community"},'caseload data'!$C:$C,'community %'!$T$8)),"")</f>
        <v/>
      </c>
      <c r="W13" s="167" t="str">
        <f>IFERROR(SUM(SUMIFS('caseload data'!G:G,'caseload data'!$C:$C,'community %'!$T$8,'caseload data'!$D:$D,"SPO",'caseload data'!$B:$B,{"licence","community"}))/SUM(SUMIFS('caseload data'!G:G,'caseload data'!$B:$B,{"licence","community"},'caseload data'!$C:$C,'community %'!$T$8)),"")</f>
        <v/>
      </c>
      <c r="X13" s="167" t="str">
        <f>IFERROR(SUM(SUMIFS('caseload data'!H:H,'caseload data'!$C:$C,'community %'!$T$8,'caseload data'!$D:$D,"SPO",'caseload data'!$B:$B,{"licence","community"}))/SUM(SUMIFS('caseload data'!H:H,'caseload data'!$B:$B,{"licence","community"},'caseload data'!$C:$C,'community %'!$T$8)),"")</f>
        <v/>
      </c>
      <c r="Y13" s="167" t="str">
        <f>IFERROR(SUM(SUMIFS('caseload data'!I:I,'caseload data'!$C:$C,'community %'!$T$8,'caseload data'!$D:$D,"SPO",'caseload data'!$B:$B,{"licence","community"}))/SUM(SUMIFS('caseload data'!I:I,'caseload data'!$B:$B,{"licence","community"},'caseload data'!$C:$C,'community %'!$T$8)),"")</f>
        <v/>
      </c>
      <c r="Z13" s="167" t="str">
        <f>IFERROR(SUM(SUMIFS('caseload data'!J:J,'caseload data'!$C:$C,'community %'!$T$8,'caseload data'!$D:$D,"SPO",'caseload data'!$B:$B,{"licence","community"}))/SUM(SUMIFS('caseload data'!J:J,'caseload data'!$B:$B,{"licence","community"},'caseload data'!$C:$C,'community %'!$T$8)),"")</f>
        <v/>
      </c>
      <c r="AA13" s="167" t="str">
        <f>IFERROR(SUM(SUMIFS('caseload data'!K:K,'caseload data'!$C:$C,'community %'!$T$8,'caseload data'!$D:$D,"SPO",'caseload data'!$B:$B,{"licence","community"}))/SUM(SUMIFS('caseload data'!K:K,'caseload data'!$B:$B,{"licence","community"},'caseload data'!$C:$C,'community %'!$T$8)),"")</f>
        <v/>
      </c>
      <c r="AB13" s="167" t="str">
        <f>IFERROR(SUM(SUMIFS('caseload data'!L:L,'caseload data'!$C:$C,'community %'!$T$8,'caseload data'!$D:$D,"SPO",'caseload data'!$B:$B,{"licence","community"}))/SUM(SUMIFS('caseload data'!L:L,'caseload data'!$B:$B,{"licence","community"},'caseload data'!$C:$C,'community %'!$T$8)),"")</f>
        <v/>
      </c>
      <c r="AC13" s="167" t="str">
        <f>IFERROR(SUM(SUMIFS('caseload data'!M:M,'caseload data'!$C:$C,'community %'!$T$8,'caseload data'!$D:$D,"SPO",'caseload data'!$B:$B,{"licence","community"}))/SUM(SUMIFS('caseload data'!M:M,'caseload data'!$B:$B,{"licence","community"},'caseload data'!$C:$C,'community %'!$T$8)),"")</f>
        <v/>
      </c>
      <c r="AD13" s="167" t="str">
        <f>IFERROR(SUM(SUMIFS('caseload data'!N:N,'caseload data'!$C:$C,'community %'!$T$8,'caseload data'!$D:$D,"SPO",'caseload data'!$B:$B,{"licence","community"}))/SUM(SUMIFS('caseload data'!N:N,'caseload data'!$B:$B,{"licence","community"},'caseload data'!$C:$C,'community %'!$T$8)),"")</f>
        <v/>
      </c>
      <c r="AE13" s="167" t="str">
        <f>IFERROR(SUM(SUMIFS('caseload data'!O:O,'caseload data'!$C:$C,'community %'!$T$8,'caseload data'!$D:$D,"SPO",'caseload data'!$B:$B,{"licence","community"}))/SUM(SUMIFS('caseload data'!O:O,'caseload data'!$B:$B,{"licence","community"},'caseload data'!$C:$C,'community %'!$T$8)),"")</f>
        <v/>
      </c>
      <c r="AF13" s="167" t="str">
        <f>IFERROR(SUM(SUMIFS('caseload data'!P:P,'caseload data'!$C:$C,'community %'!$T$8,'caseload data'!$D:$D,"SPO",'caseload data'!$B:$B,{"licence","community"}))/SUM(SUMIFS('caseload data'!P:P,'caseload data'!$B:$B,{"licence","community"},'caseload data'!$C:$C,'community %'!$T$8)),"")</f>
        <v/>
      </c>
      <c r="AG13" s="167" t="str">
        <f>IFERROR(SUM(SUMIFS('caseload data'!Q:Q,'caseload data'!$C:$C,'community %'!$T$8,'caseload data'!$D:$D,"SPO",'caseload data'!$B:$B,{"licence","community"}))/SUM(SUMIFS('caseload data'!Q:Q,'caseload data'!$B:$B,{"licence","community"},'caseload data'!$C:$C,'community %'!$T$8)),"")</f>
        <v/>
      </c>
      <c r="AH13" s="167" t="str">
        <f>IFERROR(SUM(SUMIFS('caseload data'!R:R,'caseload data'!$C:$C,'community %'!$T$8,'caseload data'!$D:$D,"SPO",'caseload data'!$B:$B,{"licence","community"}))/SUM(SUMIFS('caseload data'!R:R,'caseload data'!$B:$B,{"licence","community"},'caseload data'!$C:$C,'community %'!$T$8)),"")</f>
        <v/>
      </c>
      <c r="AI13" s="167" t="str">
        <f>IFERROR(SUM(SUMIFS('caseload data'!S:S,'caseload data'!$C:$C,'community %'!$T$8,'caseload data'!$D:$D,"SPO",'caseload data'!$B:$B,{"licence","community"}))/SUM(SUMIFS('caseload data'!S:S,'caseload data'!$B:$B,{"licence","community"},'caseload data'!$C:$C,'community %'!$T$8)),"")</f>
        <v/>
      </c>
      <c r="AJ13" s="167" t="str">
        <f>IFERROR(SUM(SUMIFS('caseload data'!T:T,'caseload data'!$C:$C,'community %'!$T$8,'caseload data'!$D:$D,"SPO",'caseload data'!$B:$B,{"licence","community"}))/SUM(SUMIFS('caseload data'!T:T,'caseload data'!$B:$B,{"licence","community"},'caseload data'!$C:$C,'community %'!$T$8)),"")</f>
        <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24" customHeight="1" x14ac:dyDescent="0.15">
      <c r="B15" s="289" t="str">
        <f>HLOOKUP($B$5,Region_Table,4,0)</f>
        <v>Derbyshire - N53</v>
      </c>
      <c r="C15" s="507" t="s">
        <v>1139</v>
      </c>
      <c r="D15" s="508"/>
      <c r="E15" s="508"/>
      <c r="F15" s="508"/>
      <c r="G15" s="508"/>
      <c r="H15" s="508"/>
      <c r="I15" s="508"/>
      <c r="J15" s="508"/>
      <c r="K15" s="508"/>
      <c r="L15" s="508"/>
      <c r="M15" s="537"/>
      <c r="N15" s="537"/>
      <c r="O15" s="538"/>
      <c r="P15" s="510" cm="1">
        <f t="array" ref="P15">SUM(SUMIFS('caseload data'!V:V,'caseload data'!B:B,{"licence","community"},'caseload data'!$C:$C,B15))</f>
        <v>0</v>
      </c>
      <c r="Q15" s="527"/>
      <c r="R15" s="528"/>
      <c r="S15" s="64"/>
      <c r="T15" s="289" t="str">
        <f>HLOOKUP($B$5,Region_Table,5,0)</f>
        <v>Leicester, Leicestershire and Rutland</v>
      </c>
      <c r="U15" s="507" t="s">
        <v>1139</v>
      </c>
      <c r="V15" s="508"/>
      <c r="W15" s="508"/>
      <c r="X15" s="508"/>
      <c r="Y15" s="508"/>
      <c r="Z15" s="508"/>
      <c r="AA15" s="508"/>
      <c r="AB15" s="508"/>
      <c r="AC15" s="508"/>
      <c r="AD15" s="508"/>
      <c r="AE15" s="537"/>
      <c r="AF15" s="537"/>
      <c r="AG15" s="538"/>
      <c r="AH15" s="510" cm="1">
        <f t="array" ref="AH15">SUM(SUMIFS('caseload data'!V:V,'caseload data'!B:B,{"licence","community"},'caseload data'!$C:$C,T15))</f>
        <v>0</v>
      </c>
      <c r="AI15" s="527"/>
      <c r="AJ15" s="528"/>
    </row>
    <row r="16" spans="1:50" x14ac:dyDescent="0.15">
      <c r="B16" s="95" t="s">
        <v>1005</v>
      </c>
      <c r="C16" s="38" t="s">
        <v>869</v>
      </c>
      <c r="D16" s="38" t="s">
        <v>870</v>
      </c>
      <c r="E16" s="38" t="s">
        <v>871</v>
      </c>
      <c r="F16" s="38" t="s">
        <v>872</v>
      </c>
      <c r="G16" s="38" t="s">
        <v>873</v>
      </c>
      <c r="H16" s="38" t="s">
        <v>874</v>
      </c>
      <c r="I16" s="38" t="s">
        <v>875</v>
      </c>
      <c r="J16" s="38" t="s">
        <v>876</v>
      </c>
      <c r="K16" s="38" t="s">
        <v>877</v>
      </c>
      <c r="L16" s="38" t="s">
        <v>878</v>
      </c>
      <c r="M16" s="38" t="s">
        <v>879</v>
      </c>
      <c r="N16" s="38" t="s">
        <v>880</v>
      </c>
      <c r="O16" s="38" t="s">
        <v>881</v>
      </c>
      <c r="P16" s="38" t="s">
        <v>882</v>
      </c>
      <c r="Q16" s="38" t="s">
        <v>883</v>
      </c>
      <c r="R16" s="38" t="s">
        <v>884</v>
      </c>
      <c r="S16" s="64"/>
      <c r="T16" s="95" t="s">
        <v>1005</v>
      </c>
      <c r="U16" s="38" t="s">
        <v>869</v>
      </c>
      <c r="V16" s="38" t="s">
        <v>870</v>
      </c>
      <c r="W16" s="38" t="s">
        <v>871</v>
      </c>
      <c r="X16" s="38" t="s">
        <v>872</v>
      </c>
      <c r="Y16" s="38" t="s">
        <v>873</v>
      </c>
      <c r="Z16" s="38" t="s">
        <v>874</v>
      </c>
      <c r="AA16" s="38" t="s">
        <v>875</v>
      </c>
      <c r="AB16" s="38" t="s">
        <v>876</v>
      </c>
      <c r="AC16" s="38" t="s">
        <v>877</v>
      </c>
      <c r="AD16" s="38" t="s">
        <v>878</v>
      </c>
      <c r="AE16" s="38" t="s">
        <v>879</v>
      </c>
      <c r="AF16" s="38" t="s">
        <v>880</v>
      </c>
      <c r="AG16" s="38" t="s">
        <v>881</v>
      </c>
      <c r="AH16" s="38" t="s">
        <v>882</v>
      </c>
      <c r="AI16" s="38" t="s">
        <v>883</v>
      </c>
      <c r="AJ16" s="38" t="s">
        <v>884</v>
      </c>
    </row>
    <row r="17" spans="2:36" x14ac:dyDescent="0.15">
      <c r="B17" s="96" t="s">
        <v>1002</v>
      </c>
      <c r="C17" s="167" t="str">
        <f>IFERROR(SUM(SUMIFS('caseload data'!E:E,'caseload data'!$C:$C,'community %'!$B$15,'caseload data'!$D:$D,"PO",'caseload data'!$B:$B,{"licence","community"}))/SUM(SUMIFS('caseload data'!E:E,'caseload data'!$B:$B,{"licence","community"},'caseload data'!$C:$C,'community %'!$B$15)),"")</f>
        <v/>
      </c>
      <c r="D17" s="167" t="str">
        <f>IFERROR(SUM(SUMIFS('caseload data'!F:F,'caseload data'!$C:$C,'community %'!$B$15,'caseload data'!$D:$D,"PO",'caseload data'!$B:$B,{"licence","community"}))/SUM(SUMIFS('caseload data'!F:F,'caseload data'!$B:$B,{"licence","community"},'caseload data'!$C:$C,'community %'!$B$15)),"")</f>
        <v/>
      </c>
      <c r="E17" s="167" t="str">
        <f>IFERROR(SUM(SUMIFS('caseload data'!G:G,'caseload data'!$C:$C,'community %'!$B$15,'caseload data'!$D:$D,"PO",'caseload data'!$B:$B,{"licence","community"}))/SUM(SUMIFS('caseload data'!G:G,'caseload data'!$B:$B,{"licence","community"},'caseload data'!$C:$C,'community %'!$B$15)),"")</f>
        <v/>
      </c>
      <c r="F17" s="167" t="str">
        <f>IFERROR(SUM(SUMIFS('caseload data'!H:H,'caseload data'!$C:$C,'community %'!$B$15,'caseload data'!$D:$D,"PO",'caseload data'!$B:$B,{"licence","community"}))/SUM(SUMIFS('caseload data'!H:H,'caseload data'!$B:$B,{"licence","community"},'caseload data'!$C:$C,'community %'!$B$15)),"")</f>
        <v/>
      </c>
      <c r="G17" s="167" t="str">
        <f>IFERROR(SUM(SUMIFS('caseload data'!I:I,'caseload data'!$C:$C,'community %'!$B$15,'caseload data'!$D:$D,"PO",'caseload data'!$B:$B,{"licence","community"}))/SUM(SUMIFS('caseload data'!I:I,'caseload data'!$B:$B,{"licence","community"},'caseload data'!$C:$C,'community %'!$B$15)),"")</f>
        <v/>
      </c>
      <c r="H17" s="167" t="str">
        <f>IFERROR(SUM(SUMIFS('caseload data'!J:J,'caseload data'!$C:$C,'community %'!$B$15,'caseload data'!$D:$D,"PO",'caseload data'!$B:$B,{"licence","community"}))/SUM(SUMIFS('caseload data'!J:J,'caseload data'!$B:$B,{"licence","community"},'caseload data'!$C:$C,'community %'!$B$15)),"")</f>
        <v/>
      </c>
      <c r="I17" s="167" t="str">
        <f>IFERROR(SUM(SUMIFS('caseload data'!K:K,'caseload data'!$C:$C,'community %'!$B$15,'caseload data'!$D:$D,"PO",'caseload data'!$B:$B,{"licence","community"}))/SUM(SUMIFS('caseload data'!K:K,'caseload data'!$B:$B,{"licence","community"},'caseload data'!$C:$C,'community %'!$B$15)),"")</f>
        <v/>
      </c>
      <c r="J17" s="167" t="str">
        <f>IFERROR(SUM(SUMIFS('caseload data'!L:L,'caseload data'!$C:$C,'community %'!$B$15,'caseload data'!$D:$D,"PO",'caseload data'!$B:$B,{"licence","community"}))/SUM(SUMIFS('caseload data'!L:L,'caseload data'!$B:$B,{"licence","community"},'caseload data'!$C:$C,'community %'!$B$15)),"")</f>
        <v/>
      </c>
      <c r="K17" s="167" t="str">
        <f>IFERROR(SUM(SUMIFS('caseload data'!M:M,'caseload data'!$C:$C,'community %'!$B$15,'caseload data'!$D:$D,"PO",'caseload data'!$B:$B,{"licence","community"}))/SUM(SUMIFS('caseload data'!M:M,'caseload data'!$B:$B,{"licence","community"},'caseload data'!$C:$C,'community %'!$B$15)),"")</f>
        <v/>
      </c>
      <c r="L17" s="167" t="str">
        <f>IFERROR(SUM(SUMIFS('caseload data'!N:N,'caseload data'!$C:$C,'community %'!$B$15,'caseload data'!$D:$D,"PO",'caseload data'!$B:$B,{"licence","community"}))/SUM(SUMIFS('caseload data'!N:N,'caseload data'!$B:$B,{"licence","community"},'caseload data'!$C:$C,'community %'!$B$15)),"")</f>
        <v/>
      </c>
      <c r="M17" s="167" t="str">
        <f>IFERROR(SUM(SUMIFS('caseload data'!O:O,'caseload data'!$C:$C,'community %'!$B$15,'caseload data'!$D:$D,"PO",'caseload data'!$B:$B,{"licence","community"}))/SUM(SUMIFS('caseload data'!O:O,'caseload data'!$B:$B,{"licence","community"},'caseload data'!$C:$C,'community %'!$B$15)),"")</f>
        <v/>
      </c>
      <c r="N17" s="167" t="str">
        <f>IFERROR(SUM(SUMIFS('caseload data'!P:P,'caseload data'!$C:$C,'community %'!$B$15,'caseload data'!$D:$D,"PO",'caseload data'!$B:$B,{"licence","community"}))/SUM(SUMIFS('caseload data'!P:P,'caseload data'!$B:$B,{"licence","community"},'caseload data'!$C:$C,'community %'!$B$15)),"")</f>
        <v/>
      </c>
      <c r="O17" s="167" t="str">
        <f>IFERROR(SUM(SUMIFS('caseload data'!Q:Q,'caseload data'!$C:$C,'community %'!$B$15,'caseload data'!$D:$D,"PO",'caseload data'!$B:$B,{"licence","community"}))/SUM(SUMIFS('caseload data'!Q:Q,'caseload data'!$B:$B,{"licence","community"},'caseload data'!$C:$C,'community %'!$B$15)),"")</f>
        <v/>
      </c>
      <c r="P17" s="167" t="str">
        <f>IFERROR(SUM(SUMIFS('caseload data'!R:R,'caseload data'!$C:$C,'community %'!$B$15,'caseload data'!$D:$D,"PO",'caseload data'!$B:$B,{"licence","community"}))/SUM(SUMIFS('caseload data'!R:R,'caseload data'!$B:$B,{"licence","community"},'caseload data'!$C:$C,'community %'!$B$15)),"")</f>
        <v/>
      </c>
      <c r="Q17" s="167" t="str">
        <f>IFERROR(SUM(SUMIFS('caseload data'!S:S,'caseload data'!$C:$C,'community %'!$B$15,'caseload data'!$D:$D,"PO",'caseload data'!$B:$B,{"licence","community"}))/SUM(SUMIFS('caseload data'!S:S,'caseload data'!$B:$B,{"licence","community"},'caseload data'!$C:$C,'community %'!$B$15)),"")</f>
        <v/>
      </c>
      <c r="R17" s="167" t="str">
        <f>IFERROR(SUM(SUMIFS('caseload data'!T:T,'caseload data'!$C:$C,'community %'!$B$15,'caseload data'!$D:$D,"PO",'caseload data'!$B:$B,{"licence","community"}))/SUM(SUMIFS('caseload data'!T:T,'caseload data'!$B:$B,{"licence","community"},'caseload data'!$C:$C,'community %'!$B$15)),"")</f>
        <v/>
      </c>
      <c r="S17" s="64"/>
      <c r="T17" s="96" t="s">
        <v>1002</v>
      </c>
      <c r="U17" s="167" t="str">
        <f>IFERROR(SUM(SUMIFS('caseload data'!E:E,'caseload data'!$C:$C,'community %'!$T$15,'caseload data'!$D:$D,"PO",'caseload data'!$B:$B,{"licence","community"}))/SUM(SUMIFS('caseload data'!E:E,'caseload data'!$B:$B,{"licence","community"},'caseload data'!$C:$C,'community %'!$T$15)),"")</f>
        <v/>
      </c>
      <c r="V17" s="167" t="str">
        <f>IFERROR(SUM(SUMIFS('caseload data'!F:F,'caseload data'!$C:$C,'community %'!$T$15,'caseload data'!$D:$D,"PO",'caseload data'!$B:$B,{"licence","community"}))/SUM(SUMIFS('caseload data'!F:F,'caseload data'!$B:$B,{"licence","community"},'caseload data'!$C:$C,'community %'!$T$15)),"")</f>
        <v/>
      </c>
      <c r="W17" s="167" t="str">
        <f>IFERROR(SUM(SUMIFS('caseload data'!G:G,'caseload data'!$C:$C,'community %'!$T$15,'caseload data'!$D:$D,"PO",'caseload data'!$B:$B,{"licence","community"}))/SUM(SUMIFS('caseload data'!G:G,'caseload data'!$B:$B,{"licence","community"},'caseload data'!$C:$C,'community %'!$T$15)),"")</f>
        <v/>
      </c>
      <c r="X17" s="167" t="str">
        <f>IFERROR(SUM(SUMIFS('caseload data'!H:H,'caseload data'!$C:$C,'community %'!$T$15,'caseload data'!$D:$D,"PO",'caseload data'!$B:$B,{"licence","community"}))/SUM(SUMIFS('caseload data'!H:H,'caseload data'!$B:$B,{"licence","community"},'caseload data'!$C:$C,'community %'!$T$15)),"")</f>
        <v/>
      </c>
      <c r="Y17" s="167" t="str">
        <f>IFERROR(SUM(SUMIFS('caseload data'!I:I,'caseload data'!$C:$C,'community %'!$T$15,'caseload data'!$D:$D,"PO",'caseload data'!$B:$B,{"licence","community"}))/SUM(SUMIFS('caseload data'!I:I,'caseload data'!$B:$B,{"licence","community"},'caseload data'!$C:$C,'community %'!$T$15)),"")</f>
        <v/>
      </c>
      <c r="Z17" s="167" t="str">
        <f>IFERROR(SUM(SUMIFS('caseload data'!J:J,'caseload data'!$C:$C,'community %'!$T$15,'caseload data'!$D:$D,"PO",'caseload data'!$B:$B,{"licence","community"}))/SUM(SUMIFS('caseload data'!J:J,'caseload data'!$B:$B,{"licence","community"},'caseload data'!$C:$C,'community %'!$T$15)),"")</f>
        <v/>
      </c>
      <c r="AA17" s="167" t="str">
        <f>IFERROR(SUM(SUMIFS('caseload data'!K:K,'caseload data'!$C:$C,'community %'!$T$15,'caseload data'!$D:$D,"PO",'caseload data'!$B:$B,{"licence","community"}))/SUM(SUMIFS('caseload data'!K:K,'caseload data'!$B:$B,{"licence","community"},'caseload data'!$C:$C,'community %'!$T$15)),"")</f>
        <v/>
      </c>
      <c r="AB17" s="167" t="str">
        <f>IFERROR(SUM(SUMIFS('caseload data'!L:L,'caseload data'!$C:$C,'community %'!$T$15,'caseload data'!$D:$D,"PO",'caseload data'!$B:$B,{"licence","community"}))/SUM(SUMIFS('caseload data'!L:L,'caseload data'!$B:$B,{"licence","community"},'caseload data'!$C:$C,'community %'!$T$15)),"")</f>
        <v/>
      </c>
      <c r="AC17" s="167" t="str">
        <f>IFERROR(SUM(SUMIFS('caseload data'!M:M,'caseload data'!$C:$C,'community %'!$T$15,'caseload data'!$D:$D,"PO",'caseload data'!$B:$B,{"licence","community"}))/SUM(SUMIFS('caseload data'!M:M,'caseload data'!$B:$B,{"licence","community"},'caseload data'!$C:$C,'community %'!$T$15)),"")</f>
        <v/>
      </c>
      <c r="AD17" s="167" t="str">
        <f>IFERROR(SUM(SUMIFS('caseload data'!N:N,'caseload data'!$C:$C,'community %'!$T$15,'caseload data'!$D:$D,"PO",'caseload data'!$B:$B,{"licence","community"}))/SUM(SUMIFS('caseload data'!N:N,'caseload data'!$B:$B,{"licence","community"},'caseload data'!$C:$C,'community %'!$T$15)),"")</f>
        <v/>
      </c>
      <c r="AE17" s="167" t="str">
        <f>IFERROR(SUM(SUMIFS('caseload data'!O:O,'caseload data'!$C:$C,'community %'!$T$15,'caseload data'!$D:$D,"PO",'caseload data'!$B:$B,{"licence","community"}))/SUM(SUMIFS('caseload data'!O:O,'caseload data'!$B:$B,{"licence","community"},'caseload data'!$C:$C,'community %'!$T$15)),"")</f>
        <v/>
      </c>
      <c r="AF17" s="167" t="str">
        <f>IFERROR(SUM(SUMIFS('caseload data'!P:P,'caseload data'!$C:$C,'community %'!$T$15,'caseload data'!$D:$D,"PO",'caseload data'!$B:$B,{"licence","community"}))/SUM(SUMIFS('caseload data'!P:P,'caseload data'!$B:$B,{"licence","community"},'caseload data'!$C:$C,'community %'!$T$15)),"")</f>
        <v/>
      </c>
      <c r="AG17" s="167" t="str">
        <f>IFERROR(SUM(SUMIFS('caseload data'!Q:Q,'caseload data'!$C:$C,'community %'!$T$15,'caseload data'!$D:$D,"PO",'caseload data'!$B:$B,{"licence","community"}))/SUM(SUMIFS('caseload data'!Q:Q,'caseload data'!$B:$B,{"licence","community"},'caseload data'!$C:$C,'community %'!$T$15)),"")</f>
        <v/>
      </c>
      <c r="AH17" s="167" t="str">
        <f>IFERROR(SUM(SUMIFS('caseload data'!R:R,'caseload data'!$C:$C,'community %'!$T$15,'caseload data'!$D:$D,"PO",'caseload data'!$B:$B,{"licence","community"}))/SUM(SUMIFS('caseload data'!R:R,'caseload data'!$B:$B,{"licence","community"},'caseload data'!$C:$C,'community %'!$T$15)),"")</f>
        <v/>
      </c>
      <c r="AI17" s="167" t="str">
        <f>IFERROR(SUM(SUMIFS('caseload data'!S:S,'caseload data'!$C:$C,'community %'!$T$15,'caseload data'!$D:$D,"PO",'caseload data'!$B:$B,{"licence","community"}))/SUM(SUMIFS('caseload data'!S:S,'caseload data'!$B:$B,{"licence","community"},'caseload data'!$C:$C,'community %'!$T$15)),"")</f>
        <v/>
      </c>
      <c r="AJ17" s="167" t="str">
        <f>IFERROR(SUM(SUMIFS('caseload data'!T:T,'caseload data'!$C:$C,'community %'!$T$15,'caseload data'!$D:$D,"PO",'caseload data'!$B:$B,{"licence","community"}))/SUM(SUMIFS('caseload data'!T:T,'caseload data'!$B:$B,{"licence","community"},'caseload data'!$C:$C,'community %'!$T$15)),"")</f>
        <v/>
      </c>
    </row>
    <row r="18" spans="2:36" x14ac:dyDescent="0.15">
      <c r="B18" s="97" t="s">
        <v>1007</v>
      </c>
      <c r="C18" s="167" t="str">
        <f>IFERROR(SUM(SUMIFS('caseload data'!E:E,'caseload data'!$C:$C,'community %'!$B$15,'caseload data'!$D:$D,"PSO",'caseload data'!$B:$B,{"licence","community"}))/SUM(SUMIFS('caseload data'!E:E,'caseload data'!$B:$B,{"licence","community"},'caseload data'!$C:$C,'community %'!$B$15)),"")</f>
        <v/>
      </c>
      <c r="D18" s="167" t="str">
        <f>IFERROR(SUM(SUMIFS('caseload data'!F:F,'caseload data'!$C:$C,'community %'!$B$15,'caseload data'!$D:$D,"PSO",'caseload data'!$B:$B,{"licence","community"}))/SUM(SUMIFS('caseload data'!F:F,'caseload data'!$B:$B,{"licence","community"},'caseload data'!$C:$C,'community %'!$B$15)),"")</f>
        <v/>
      </c>
      <c r="E18" s="167" t="str">
        <f>IFERROR(SUM(SUMIFS('caseload data'!G:G,'caseload data'!$C:$C,'community %'!$B$15,'caseload data'!$D:$D,"PSO",'caseload data'!$B:$B,{"licence","community"}))/SUM(SUMIFS('caseload data'!G:G,'caseload data'!$B:$B,{"licence","community"},'caseload data'!$C:$C,'community %'!$B$15)),"")</f>
        <v/>
      </c>
      <c r="F18" s="167" t="str">
        <f>IFERROR(SUM(SUMIFS('caseload data'!H:H,'caseload data'!$C:$C,'community %'!$B$15,'caseload data'!$D:$D,"PSO",'caseload data'!$B:$B,{"licence","community"}))/SUM(SUMIFS('caseload data'!H:H,'caseload data'!$B:$B,{"licence","community"},'caseload data'!$C:$C,'community %'!$B$15)),"")</f>
        <v/>
      </c>
      <c r="G18" s="167" t="str">
        <f>IFERROR(SUM(SUMIFS('caseload data'!I:I,'caseload data'!$C:$C,'community %'!$B$15,'caseload data'!$D:$D,"PSO",'caseload data'!$B:$B,{"licence","community"}))/SUM(SUMIFS('caseload data'!I:I,'caseload data'!$B:$B,{"licence","community"},'caseload data'!$C:$C,'community %'!$B$15)),"")</f>
        <v/>
      </c>
      <c r="H18" s="167" t="str">
        <f>IFERROR(SUM(SUMIFS('caseload data'!J:J,'caseload data'!$C:$C,'community %'!$B$15,'caseload data'!$D:$D,"PSO",'caseload data'!$B:$B,{"licence","community"}))/SUM(SUMIFS('caseload data'!J:J,'caseload data'!$B:$B,{"licence","community"},'caseload data'!$C:$C,'community %'!$B$15)),"")</f>
        <v/>
      </c>
      <c r="I18" s="167" t="str">
        <f>IFERROR(SUM(SUMIFS('caseload data'!K:K,'caseload data'!$C:$C,'community %'!$B$15,'caseload data'!$D:$D,"PSO",'caseload data'!$B:$B,{"licence","community"}))/SUM(SUMIFS('caseload data'!K:K,'caseload data'!$B:$B,{"licence","community"},'caseload data'!$C:$C,'community %'!$B$15)),"")</f>
        <v/>
      </c>
      <c r="J18" s="167" t="str">
        <f>IFERROR(SUM(SUMIFS('caseload data'!L:L,'caseload data'!$C:$C,'community %'!$B$15,'caseload data'!$D:$D,"PSO",'caseload data'!$B:$B,{"licence","community"}))/SUM(SUMIFS('caseload data'!L:L,'caseload data'!$B:$B,{"licence","community"},'caseload data'!$C:$C,'community %'!$B$15)),"")</f>
        <v/>
      </c>
      <c r="K18" s="167" t="str">
        <f>IFERROR(SUM(SUMIFS('caseload data'!M:M,'caseload data'!$C:$C,'community %'!$B$15,'caseload data'!$D:$D,"PSO",'caseload data'!$B:$B,{"licence","community"}))/SUM(SUMIFS('caseload data'!M:M,'caseload data'!$B:$B,{"licence","community"},'caseload data'!$C:$C,'community %'!$B$15)),"")</f>
        <v/>
      </c>
      <c r="L18" s="167" t="str">
        <f>IFERROR(SUM(SUMIFS('caseload data'!N:N,'caseload data'!$C:$C,'community %'!$B$15,'caseload data'!$D:$D,"PSO",'caseload data'!$B:$B,{"licence","community"}))/SUM(SUMIFS('caseload data'!N:N,'caseload data'!$B:$B,{"licence","community"},'caseload data'!$C:$C,'community %'!$B$15)),"")</f>
        <v/>
      </c>
      <c r="M18" s="167" t="str">
        <f>IFERROR(SUM(SUMIFS('caseload data'!O:O,'caseload data'!$C:$C,'community %'!$B$15,'caseload data'!$D:$D,"PSO",'caseload data'!$B:$B,{"licence","community"}))/SUM(SUMIFS('caseload data'!O:O,'caseload data'!$B:$B,{"licence","community"},'caseload data'!$C:$C,'community %'!$B$15)),"")</f>
        <v/>
      </c>
      <c r="N18" s="167" t="str">
        <f>IFERROR(SUM(SUMIFS('caseload data'!P:P,'caseload data'!$C:$C,'community %'!$B$15,'caseload data'!$D:$D,"PSO",'caseload data'!$B:$B,{"licence","community"}))/SUM(SUMIFS('caseload data'!P:P,'caseload data'!$B:$B,{"licence","community"},'caseload data'!$C:$C,'community %'!$B$15)),"")</f>
        <v/>
      </c>
      <c r="O18" s="167" t="str">
        <f>IFERROR(SUM(SUMIFS('caseload data'!Q:Q,'caseload data'!$C:$C,'community %'!$B$15,'caseload data'!$D:$D,"PSO",'caseload data'!$B:$B,{"licence","community"}))/SUM(SUMIFS('caseload data'!Q:Q,'caseload data'!$B:$B,{"licence","community"},'caseload data'!$C:$C,'community %'!$B$15)),"")</f>
        <v/>
      </c>
      <c r="P18" s="167" t="str">
        <f>IFERROR(SUM(SUMIFS('caseload data'!R:R,'caseload data'!$C:$C,'community %'!$B$15,'caseload data'!$D:$D,"PSO",'caseload data'!$B:$B,{"licence","community"}))/SUM(SUMIFS('caseload data'!R:R,'caseload data'!$B:$B,{"licence","community"},'caseload data'!$C:$C,'community %'!$B$15)),"")</f>
        <v/>
      </c>
      <c r="Q18" s="167" t="str">
        <f>IFERROR(SUM(SUMIFS('caseload data'!S:S,'caseload data'!$C:$C,'community %'!$B$15,'caseload data'!$D:$D,"PSO",'caseload data'!$B:$B,{"licence","community"}))/SUM(SUMIFS('caseload data'!S:S,'caseload data'!$B:$B,{"licence","community"},'caseload data'!$C:$C,'community %'!$B$15)),"")</f>
        <v/>
      </c>
      <c r="R18" s="167" t="str">
        <f>IFERROR(SUM(SUMIFS('caseload data'!T:T,'caseload data'!$C:$C,'community %'!$B$15,'caseload data'!$D:$D,"PSO",'caseload data'!$B:$B,{"licence","community"}))/SUM(SUMIFS('caseload data'!T:T,'caseload data'!$B:$B,{"licence","community"},'caseload data'!$C:$C,'community %'!$B$15)),"")</f>
        <v/>
      </c>
      <c r="S18" s="64"/>
      <c r="T18" s="97" t="s">
        <v>1007</v>
      </c>
      <c r="U18" s="167" t="str">
        <f>IFERROR(SUM(SUMIFS('caseload data'!E:E,'caseload data'!$C:$C,'community %'!$T$15,'caseload data'!$D:$D,"PSO",'caseload data'!$B:$B,{"licence","community"}))/SUM(SUMIFS('caseload data'!E:E,'caseload data'!$B:$B,{"licence","community"},'caseload data'!$C:$C,'community %'!$T$15)),"")</f>
        <v/>
      </c>
      <c r="V18" s="167" t="str">
        <f>IFERROR(SUM(SUMIFS('caseload data'!F:F,'caseload data'!$C:$C,'community %'!$T$15,'caseload data'!$D:$D,"PSO",'caseload data'!$B:$B,{"licence","community"}))/SUM(SUMIFS('caseload data'!F:F,'caseload data'!$B:$B,{"licence","community"},'caseload data'!$C:$C,'community %'!$T$15)),"")</f>
        <v/>
      </c>
      <c r="W18" s="167" t="str">
        <f>IFERROR(SUM(SUMIFS('caseload data'!G:G,'caseload data'!$C:$C,'community %'!$T$15,'caseload data'!$D:$D,"PSO",'caseload data'!$B:$B,{"licence","community"}))/SUM(SUMIFS('caseload data'!G:G,'caseload data'!$B:$B,{"licence","community"},'caseload data'!$C:$C,'community %'!$T$15)),"")</f>
        <v/>
      </c>
      <c r="X18" s="167" t="str">
        <f>IFERROR(SUM(SUMIFS('caseload data'!H:H,'caseload data'!$C:$C,'community %'!$T$15,'caseload data'!$D:$D,"PSO",'caseload data'!$B:$B,{"licence","community"}))/SUM(SUMIFS('caseload data'!H:H,'caseload data'!$B:$B,{"licence","community"},'caseload data'!$C:$C,'community %'!$T$15)),"")</f>
        <v/>
      </c>
      <c r="Y18" s="167" t="str">
        <f>IFERROR(SUM(SUMIFS('caseload data'!I:I,'caseload data'!$C:$C,'community %'!$T$15,'caseload data'!$D:$D,"PSO",'caseload data'!$B:$B,{"licence","community"}))/SUM(SUMIFS('caseload data'!I:I,'caseload data'!$B:$B,{"licence","community"},'caseload data'!$C:$C,'community %'!$T$15)),"")</f>
        <v/>
      </c>
      <c r="Z18" s="167" t="str">
        <f>IFERROR(SUM(SUMIFS('caseload data'!J:J,'caseload data'!$C:$C,'community %'!$T$15,'caseload data'!$D:$D,"PSO",'caseload data'!$B:$B,{"licence","community"}))/SUM(SUMIFS('caseload data'!J:J,'caseload data'!$B:$B,{"licence","community"},'caseload data'!$C:$C,'community %'!$T$15)),"")</f>
        <v/>
      </c>
      <c r="AA18" s="167" t="str">
        <f>IFERROR(SUM(SUMIFS('caseload data'!K:K,'caseload data'!$C:$C,'community %'!$T$15,'caseload data'!$D:$D,"PSO",'caseload data'!$B:$B,{"licence","community"}))/SUM(SUMIFS('caseload data'!K:K,'caseload data'!$B:$B,{"licence","community"},'caseload data'!$C:$C,'community %'!$T$15)),"")</f>
        <v/>
      </c>
      <c r="AB18" s="167" t="str">
        <f>IFERROR(SUM(SUMIFS('caseload data'!L:L,'caseload data'!$C:$C,'community %'!$T$15,'caseload data'!$D:$D,"PSO",'caseload data'!$B:$B,{"licence","community"}))/SUM(SUMIFS('caseload data'!L:L,'caseload data'!$B:$B,{"licence","community"},'caseload data'!$C:$C,'community %'!$T$15)),"")</f>
        <v/>
      </c>
      <c r="AC18" s="167" t="str">
        <f>IFERROR(SUM(SUMIFS('caseload data'!M:M,'caseload data'!$C:$C,'community %'!$T$15,'caseload data'!$D:$D,"PSO",'caseload data'!$B:$B,{"licence","community"}))/SUM(SUMIFS('caseload data'!M:M,'caseload data'!$B:$B,{"licence","community"},'caseload data'!$C:$C,'community %'!$T$15)),"")</f>
        <v/>
      </c>
      <c r="AD18" s="167" t="str">
        <f>IFERROR(SUM(SUMIFS('caseload data'!N:N,'caseload data'!$C:$C,'community %'!$T$15,'caseload data'!$D:$D,"PSO",'caseload data'!$B:$B,{"licence","community"}))/SUM(SUMIFS('caseload data'!N:N,'caseload data'!$B:$B,{"licence","community"},'caseload data'!$C:$C,'community %'!$T$15)),"")</f>
        <v/>
      </c>
      <c r="AE18" s="167" t="str">
        <f>IFERROR(SUM(SUMIFS('caseload data'!O:O,'caseload data'!$C:$C,'community %'!$T$15,'caseload data'!$D:$D,"PSO",'caseload data'!$B:$B,{"licence","community"}))/SUM(SUMIFS('caseload data'!O:O,'caseload data'!$B:$B,{"licence","community"},'caseload data'!$C:$C,'community %'!$T$15)),"")</f>
        <v/>
      </c>
      <c r="AF18" s="167" t="str">
        <f>IFERROR(SUM(SUMIFS('caseload data'!P:P,'caseload data'!$C:$C,'community %'!$T$15,'caseload data'!$D:$D,"PSO",'caseload data'!$B:$B,{"licence","community"}))/SUM(SUMIFS('caseload data'!P:P,'caseload data'!$B:$B,{"licence","community"},'caseload data'!$C:$C,'community %'!$T$15)),"")</f>
        <v/>
      </c>
      <c r="AG18" s="167" t="str">
        <f>IFERROR(SUM(SUMIFS('caseload data'!Q:Q,'caseload data'!$C:$C,'community %'!$T$15,'caseload data'!$D:$D,"PSO",'caseload data'!$B:$B,{"licence","community"}))/SUM(SUMIFS('caseload data'!Q:Q,'caseload data'!$B:$B,{"licence","community"},'caseload data'!$C:$C,'community %'!$T$15)),"")</f>
        <v/>
      </c>
      <c r="AH18" s="167" t="str">
        <f>IFERROR(SUM(SUMIFS('caseload data'!R:R,'caseload data'!$C:$C,'community %'!$T$15,'caseload data'!$D:$D,"PSO",'caseload data'!$B:$B,{"licence","community"}))/SUM(SUMIFS('caseload data'!R:R,'caseload data'!$B:$B,{"licence","community"},'caseload data'!$C:$C,'community %'!$T$15)),"")</f>
        <v/>
      </c>
      <c r="AI18" s="167" t="str">
        <f>IFERROR(SUM(SUMIFS('caseload data'!S:S,'caseload data'!$C:$C,'community %'!$T$15,'caseload data'!$D:$D,"PSO",'caseload data'!$B:$B,{"licence","community"}))/SUM(SUMIFS('caseload data'!S:S,'caseload data'!$B:$B,{"licence","community"},'caseload data'!$C:$C,'community %'!$T$15)),"")</f>
        <v/>
      </c>
      <c r="AJ18" s="167" t="str">
        <f>IFERROR(SUM(SUMIFS('caseload data'!T:T,'caseload data'!$C:$C,'community %'!$T$15,'caseload data'!$D:$D,"PSO",'caseload data'!$B:$B,{"licence","community"}))/SUM(SUMIFS('caseload data'!T:T,'caseload data'!$B:$B,{"licence","community"},'caseload data'!$C:$C,'community %'!$T$15)),"")</f>
        <v/>
      </c>
    </row>
    <row r="19" spans="2:36" x14ac:dyDescent="0.15">
      <c r="B19" s="97" t="s">
        <v>1008</v>
      </c>
      <c r="C19" s="167" t="str">
        <f>IFERROR(SUM(SUMIFS('caseload data'!E:E,'caseload data'!$C:$C,'community %'!$B$15,'caseload data'!$D:$D,"TPO",'caseload data'!$B:$B,{"licence","community"}))/SUM(SUMIFS('caseload data'!E:E,'caseload data'!$B:$B,{"licence","community"},'caseload data'!$C:$C,'community %'!$B$15)),"")</f>
        <v/>
      </c>
      <c r="D19" s="167" t="str">
        <f>IFERROR(SUM(SUMIFS('caseload data'!F:F,'caseload data'!$C:$C,'community %'!$B$15,'caseload data'!$D:$D,"TPO",'caseload data'!$B:$B,{"licence","community"}))/SUM(SUMIFS('caseload data'!F:F,'caseload data'!$B:$B,{"licence","community"},'caseload data'!$C:$C,'community %'!$B$15)),"")</f>
        <v/>
      </c>
      <c r="E19" s="167" t="str">
        <f>IFERROR(SUM(SUMIFS('caseload data'!G:G,'caseload data'!$C:$C,'community %'!$B$15,'caseload data'!$D:$D,"TPO",'caseload data'!$B:$B,{"licence","community"}))/SUM(SUMIFS('caseload data'!G:G,'caseload data'!$B:$B,{"licence","community"},'caseload data'!$C:$C,'community %'!$B$15)),"")</f>
        <v/>
      </c>
      <c r="F19" s="167" t="str">
        <f>IFERROR(SUM(SUMIFS('caseload data'!H:H,'caseload data'!$C:$C,'community %'!$B$15,'caseload data'!$D:$D,"TPO",'caseload data'!$B:$B,{"licence","community"}))/SUM(SUMIFS('caseload data'!H:H,'caseload data'!$B:$B,{"licence","community"},'caseload data'!$C:$C,'community %'!$B$15)),"")</f>
        <v/>
      </c>
      <c r="G19" s="167" t="str">
        <f>IFERROR(SUM(SUMIFS('caseload data'!I:I,'caseload data'!$C:$C,'community %'!$B$15,'caseload data'!$D:$D,"TPO",'caseload data'!$B:$B,{"licence","community"}))/SUM(SUMIFS('caseload data'!I:I,'caseload data'!$B:$B,{"licence","community"},'caseload data'!$C:$C,'community %'!$B$15)),"")</f>
        <v/>
      </c>
      <c r="H19" s="167" t="str">
        <f>IFERROR(SUM(SUMIFS('caseload data'!J:J,'caseload data'!$C:$C,'community %'!$B$15,'caseload data'!$D:$D,"TPO",'caseload data'!$B:$B,{"licence","community"}))/SUM(SUMIFS('caseload data'!J:J,'caseload data'!$B:$B,{"licence","community"},'caseload data'!$C:$C,'community %'!$B$15)),"")</f>
        <v/>
      </c>
      <c r="I19" s="167" t="str">
        <f>IFERROR(SUM(SUMIFS('caseload data'!K:K,'caseload data'!$C:$C,'community %'!$B$15,'caseload data'!$D:$D,"TPO",'caseload data'!$B:$B,{"licence","community"}))/SUM(SUMIFS('caseload data'!K:K,'caseload data'!$B:$B,{"licence","community"},'caseload data'!$C:$C,'community %'!$B$15)),"")</f>
        <v/>
      </c>
      <c r="J19" s="167" t="str">
        <f>IFERROR(SUM(SUMIFS('caseload data'!L:L,'caseload data'!$C:$C,'community %'!$B$15,'caseload data'!$D:$D,"TPO",'caseload data'!$B:$B,{"licence","community"}))/SUM(SUMIFS('caseload data'!L:L,'caseload data'!$B:$B,{"licence","community"},'caseload data'!$C:$C,'community %'!$B$15)),"")</f>
        <v/>
      </c>
      <c r="K19" s="167" t="str">
        <f>IFERROR(SUM(SUMIFS('caseload data'!M:M,'caseload data'!$C:$C,'community %'!$B$15,'caseload data'!$D:$D,"TPO",'caseload data'!$B:$B,{"licence","community"}))/SUM(SUMIFS('caseload data'!M:M,'caseload data'!$B:$B,{"licence","community"},'caseload data'!$C:$C,'community %'!$B$15)),"")</f>
        <v/>
      </c>
      <c r="L19" s="167" t="str">
        <f>IFERROR(SUM(SUMIFS('caseload data'!N:N,'caseload data'!$C:$C,'community %'!$B$15,'caseload data'!$D:$D,"TPO",'caseload data'!$B:$B,{"licence","community"}))/SUM(SUMIFS('caseload data'!N:N,'caseload data'!$B:$B,{"licence","community"},'caseload data'!$C:$C,'community %'!$B$15)),"")</f>
        <v/>
      </c>
      <c r="M19" s="167" t="str">
        <f>IFERROR(SUM(SUMIFS('caseload data'!O:O,'caseload data'!$C:$C,'community %'!$B$15,'caseload data'!$D:$D,"TPO",'caseload data'!$B:$B,{"licence","community"}))/SUM(SUMIFS('caseload data'!O:O,'caseload data'!$B:$B,{"licence","community"},'caseload data'!$C:$C,'community %'!$B$15)),"")</f>
        <v/>
      </c>
      <c r="N19" s="167" t="str">
        <f>IFERROR(SUM(SUMIFS('caseload data'!P:P,'caseload data'!$C:$C,'community %'!$B$15,'caseload data'!$D:$D,"TPO",'caseload data'!$B:$B,{"licence","community"}))/SUM(SUMIFS('caseload data'!P:P,'caseload data'!$B:$B,{"licence","community"},'caseload data'!$C:$C,'community %'!$B$15)),"")</f>
        <v/>
      </c>
      <c r="O19" s="167" t="str">
        <f>IFERROR(SUM(SUMIFS('caseload data'!Q:Q,'caseload data'!$C:$C,'community %'!$B$15,'caseload data'!$D:$D,"TPO",'caseload data'!$B:$B,{"licence","community"}))/SUM(SUMIFS('caseload data'!Q:Q,'caseload data'!$B:$B,{"licence","community"},'caseload data'!$C:$C,'community %'!$B$15)),"")</f>
        <v/>
      </c>
      <c r="P19" s="167" t="str">
        <f>IFERROR(SUM(SUMIFS('caseload data'!R:R,'caseload data'!$C:$C,'community %'!$B$15,'caseload data'!$D:$D,"TPO",'caseload data'!$B:$B,{"licence","community"}))/SUM(SUMIFS('caseload data'!R:R,'caseload data'!$B:$B,{"licence","community"},'caseload data'!$C:$C,'community %'!$B$15)),"")</f>
        <v/>
      </c>
      <c r="Q19" s="167" t="str">
        <f>IFERROR(SUM(SUMIFS('caseload data'!S:S,'caseload data'!$C:$C,'community %'!$B$15,'caseload data'!$D:$D,"TPO",'caseload data'!$B:$B,{"licence","community"}))/SUM(SUMIFS('caseload data'!S:S,'caseload data'!$B:$B,{"licence","community"},'caseload data'!$C:$C,'community %'!$B$15)),"")</f>
        <v/>
      </c>
      <c r="R19" s="167" t="str">
        <f>IFERROR(SUM(SUMIFS('caseload data'!T:T,'caseload data'!$C:$C,'community %'!$B$15,'caseload data'!$D:$D,"TPO",'caseload data'!$B:$B,{"licence","community"}))/SUM(SUMIFS('caseload data'!T:T,'caseload data'!$B:$B,{"licence","community"},'caseload data'!$C:$C,'community %'!$B$15)),"")</f>
        <v/>
      </c>
      <c r="S19" s="64"/>
      <c r="T19" s="97" t="s">
        <v>1008</v>
      </c>
      <c r="U19" s="167" t="str">
        <f>IFERROR(SUM(SUMIFS('caseload data'!E:E,'caseload data'!$C:$C,'community %'!$T$15,'caseload data'!$D:$D,"TPO",'caseload data'!$B:$B,{"licence","community"}))/SUM(SUMIFS('caseload data'!E:E,'caseload data'!$B:$B,{"licence","community"},'caseload data'!$C:$C,'community %'!$T$15)),"")</f>
        <v/>
      </c>
      <c r="V19" s="167" t="str">
        <f>IFERROR(SUM(SUMIFS('caseload data'!F:F,'caseload data'!$C:$C,'community %'!$T$15,'caseload data'!$D:$D,"TPO",'caseload data'!$B:$B,{"licence","community"}))/SUM(SUMIFS('caseload data'!F:F,'caseload data'!$B:$B,{"licence","community"},'caseload data'!$C:$C,'community %'!$T$15)),"")</f>
        <v/>
      </c>
      <c r="W19" s="167" t="str">
        <f>IFERROR(SUM(SUMIFS('caseload data'!G:G,'caseload data'!$C:$C,'community %'!$T$15,'caseload data'!$D:$D,"TPO",'caseload data'!$B:$B,{"licence","community"}))/SUM(SUMIFS('caseload data'!G:G,'caseload data'!$B:$B,{"licence","community"},'caseload data'!$C:$C,'community %'!$T$15)),"")</f>
        <v/>
      </c>
      <c r="X19" s="167" t="str">
        <f>IFERROR(SUM(SUMIFS('caseload data'!H:H,'caseload data'!$C:$C,'community %'!$T$15,'caseload data'!$D:$D,"TPO",'caseload data'!$B:$B,{"licence","community"}))/SUM(SUMIFS('caseload data'!H:H,'caseload data'!$B:$B,{"licence","community"},'caseload data'!$C:$C,'community %'!$T$15)),"")</f>
        <v/>
      </c>
      <c r="Y19" s="167" t="str">
        <f>IFERROR(SUM(SUMIFS('caseload data'!I:I,'caseload data'!$C:$C,'community %'!$T$15,'caseload data'!$D:$D,"TPO",'caseload data'!$B:$B,{"licence","community"}))/SUM(SUMIFS('caseload data'!I:I,'caseload data'!$B:$B,{"licence","community"},'caseload data'!$C:$C,'community %'!$T$15)),"")</f>
        <v/>
      </c>
      <c r="Z19" s="167" t="str">
        <f>IFERROR(SUM(SUMIFS('caseload data'!J:J,'caseload data'!$C:$C,'community %'!$T$15,'caseload data'!$D:$D,"TPO",'caseload data'!$B:$B,{"licence","community"}))/SUM(SUMIFS('caseload data'!J:J,'caseload data'!$B:$B,{"licence","community"},'caseload data'!$C:$C,'community %'!$T$15)),"")</f>
        <v/>
      </c>
      <c r="AA19" s="167" t="str">
        <f>IFERROR(SUM(SUMIFS('caseload data'!K:K,'caseload data'!$C:$C,'community %'!$T$15,'caseload data'!$D:$D,"TPO",'caseload data'!$B:$B,{"licence","community"}))/SUM(SUMIFS('caseload data'!K:K,'caseload data'!$B:$B,{"licence","community"},'caseload data'!$C:$C,'community %'!$T$15)),"")</f>
        <v/>
      </c>
      <c r="AB19" s="167" t="str">
        <f>IFERROR(SUM(SUMIFS('caseload data'!L:L,'caseload data'!$C:$C,'community %'!$T$15,'caseload data'!$D:$D,"TPO",'caseload data'!$B:$B,{"licence","community"}))/SUM(SUMIFS('caseload data'!L:L,'caseload data'!$B:$B,{"licence","community"},'caseload data'!$C:$C,'community %'!$T$15)),"")</f>
        <v/>
      </c>
      <c r="AC19" s="167" t="str">
        <f>IFERROR(SUM(SUMIFS('caseload data'!M:M,'caseload data'!$C:$C,'community %'!$T$15,'caseload data'!$D:$D,"TPO",'caseload data'!$B:$B,{"licence","community"}))/SUM(SUMIFS('caseload data'!M:M,'caseload data'!$B:$B,{"licence","community"},'caseload data'!$C:$C,'community %'!$T$15)),"")</f>
        <v/>
      </c>
      <c r="AD19" s="167" t="str">
        <f>IFERROR(SUM(SUMIFS('caseload data'!N:N,'caseload data'!$C:$C,'community %'!$T$15,'caseload data'!$D:$D,"TPO",'caseload data'!$B:$B,{"licence","community"}))/SUM(SUMIFS('caseload data'!N:N,'caseload data'!$B:$B,{"licence","community"},'caseload data'!$C:$C,'community %'!$T$15)),"")</f>
        <v/>
      </c>
      <c r="AE19" s="167" t="str">
        <f>IFERROR(SUM(SUMIFS('caseload data'!O:O,'caseload data'!$C:$C,'community %'!$T$15,'caseload data'!$D:$D,"TPO",'caseload data'!$B:$B,{"licence","community"}))/SUM(SUMIFS('caseload data'!O:O,'caseload data'!$B:$B,{"licence","community"},'caseload data'!$C:$C,'community %'!$T$15)),"")</f>
        <v/>
      </c>
      <c r="AF19" s="167" t="str">
        <f>IFERROR(SUM(SUMIFS('caseload data'!P:P,'caseload data'!$C:$C,'community %'!$T$15,'caseload data'!$D:$D,"TPO",'caseload data'!$B:$B,{"licence","community"}))/SUM(SUMIFS('caseload data'!P:P,'caseload data'!$B:$B,{"licence","community"},'caseload data'!$C:$C,'community %'!$T$15)),"")</f>
        <v/>
      </c>
      <c r="AG19" s="167" t="str">
        <f>IFERROR(SUM(SUMIFS('caseload data'!Q:Q,'caseload data'!$C:$C,'community %'!$T$15,'caseload data'!$D:$D,"TPO",'caseload data'!$B:$B,{"licence","community"}))/SUM(SUMIFS('caseload data'!Q:Q,'caseload data'!$B:$B,{"licence","community"},'caseload data'!$C:$C,'community %'!$T$15)),"")</f>
        <v/>
      </c>
      <c r="AH19" s="167" t="str">
        <f>IFERROR(SUM(SUMIFS('caseload data'!R:R,'caseload data'!$C:$C,'community %'!$T$15,'caseload data'!$D:$D,"TPO",'caseload data'!$B:$B,{"licence","community"}))/SUM(SUMIFS('caseload data'!R:R,'caseload data'!$B:$B,{"licence","community"},'caseload data'!$C:$C,'community %'!$T$15)),"")</f>
        <v/>
      </c>
      <c r="AI19" s="167" t="str">
        <f>IFERROR(SUM(SUMIFS('caseload data'!S:S,'caseload data'!$C:$C,'community %'!$T$15,'caseload data'!$D:$D,"TPO",'caseload data'!$B:$B,{"licence","community"}))/SUM(SUMIFS('caseload data'!S:S,'caseload data'!$B:$B,{"licence","community"},'caseload data'!$C:$C,'community %'!$T$15)),"")</f>
        <v/>
      </c>
      <c r="AJ19" s="167" t="str">
        <f>IFERROR(SUM(SUMIFS('caseload data'!T:T,'caseload data'!$C:$C,'community %'!$T$15,'caseload data'!$D:$D,"TPO",'caseload data'!$B:$B,{"licence","community"}))/SUM(SUMIFS('caseload data'!T:T,'caseload data'!$B:$B,{"licence","community"},'caseload data'!$C:$C,'community %'!$T$15)),"")</f>
        <v/>
      </c>
    </row>
    <row r="20" spans="2:36" x14ac:dyDescent="0.15">
      <c r="B20" s="98" t="s">
        <v>1009</v>
      </c>
      <c r="C20" s="167" t="str">
        <f>IFERROR(SUM(SUMIFS('caseload data'!E:E,'caseload data'!$C:$C,'community %'!$B$15,'caseload data'!$D:$D,"SPO",'caseload data'!$B:$B,{"licence","community"}))/SUM(SUMIFS('caseload data'!E:E,'caseload data'!$B:$B,{"licence","community"},'caseload data'!$C:$C,'community %'!$B$15)),"")</f>
        <v/>
      </c>
      <c r="D20" s="167" t="str">
        <f>IFERROR(SUM(SUMIFS('caseload data'!F:F,'caseload data'!$C:$C,'community %'!$B$15,'caseload data'!$D:$D,"SPO",'caseload data'!$B:$B,{"licence","community"}))/SUM(SUMIFS('caseload data'!F:F,'caseload data'!$B:$B,{"licence","community"},'caseload data'!$C:$C,'community %'!$B$15)),"")</f>
        <v/>
      </c>
      <c r="E20" s="167" t="str">
        <f>IFERROR(SUM(SUMIFS('caseload data'!G:G,'caseload data'!$C:$C,'community %'!$B$15,'caseload data'!$D:$D,"SPO",'caseload data'!$B:$B,{"licence","community"}))/SUM(SUMIFS('caseload data'!G:G,'caseload data'!$B:$B,{"licence","community"},'caseload data'!$C:$C,'community %'!$B$15)),"")</f>
        <v/>
      </c>
      <c r="F20" s="167" t="str">
        <f>IFERROR(SUM(SUMIFS('caseload data'!H:H,'caseload data'!$C:$C,'community %'!$B$15,'caseload data'!$D:$D,"SPO",'caseload data'!$B:$B,{"licence","community"}))/SUM(SUMIFS('caseload data'!H:H,'caseload data'!$B:$B,{"licence","community"},'caseload data'!$C:$C,'community %'!$B$15)),"")</f>
        <v/>
      </c>
      <c r="G20" s="167" t="str">
        <f>IFERROR(SUM(SUMIFS('caseload data'!I:I,'caseload data'!$C:$C,'community %'!$B$15,'caseload data'!$D:$D,"SPO",'caseload data'!$B:$B,{"licence","community"}))/SUM(SUMIFS('caseload data'!I:I,'caseload data'!$B:$B,{"licence","community"},'caseload data'!$C:$C,'community %'!$B$15)),"")</f>
        <v/>
      </c>
      <c r="H20" s="167" t="str">
        <f>IFERROR(SUM(SUMIFS('caseload data'!J:J,'caseload data'!$C:$C,'community %'!$B$15,'caseload data'!$D:$D,"SPO",'caseload data'!$B:$B,{"licence","community"}))/SUM(SUMIFS('caseload data'!J:J,'caseload data'!$B:$B,{"licence","community"},'caseload data'!$C:$C,'community %'!$B$15)),"")</f>
        <v/>
      </c>
      <c r="I20" s="167" t="str">
        <f>IFERROR(SUM(SUMIFS('caseload data'!K:K,'caseload data'!$C:$C,'community %'!$B$15,'caseload data'!$D:$D,"SPO",'caseload data'!$B:$B,{"licence","community"}))/SUM(SUMIFS('caseload data'!K:K,'caseload data'!$B:$B,{"licence","community"},'caseload data'!$C:$C,'community %'!$B$15)),"")</f>
        <v/>
      </c>
      <c r="J20" s="167" t="str">
        <f>IFERROR(SUM(SUMIFS('caseload data'!L:L,'caseload data'!$C:$C,'community %'!$B$15,'caseload data'!$D:$D,"SPO",'caseload data'!$B:$B,{"licence","community"}))/SUM(SUMIFS('caseload data'!L:L,'caseload data'!$B:$B,{"licence","community"},'caseload data'!$C:$C,'community %'!$B$15)),"")</f>
        <v/>
      </c>
      <c r="K20" s="167" t="str">
        <f>IFERROR(SUM(SUMIFS('caseload data'!M:M,'caseload data'!$C:$C,'community %'!$B$15,'caseload data'!$D:$D,"SPO",'caseload data'!$B:$B,{"licence","community"}))/SUM(SUMIFS('caseload data'!M:M,'caseload data'!$B:$B,{"licence","community"},'caseload data'!$C:$C,'community %'!$B$15)),"")</f>
        <v/>
      </c>
      <c r="L20" s="167" t="str">
        <f>IFERROR(SUM(SUMIFS('caseload data'!N:N,'caseload data'!$C:$C,'community %'!$B$15,'caseload data'!$D:$D,"SPO",'caseload data'!$B:$B,{"licence","community"}))/SUM(SUMIFS('caseload data'!N:N,'caseload data'!$B:$B,{"licence","community"},'caseload data'!$C:$C,'community %'!$B$15)),"")</f>
        <v/>
      </c>
      <c r="M20" s="167" t="str">
        <f>IFERROR(SUM(SUMIFS('caseload data'!O:O,'caseload data'!$C:$C,'community %'!$B$15,'caseload data'!$D:$D,"SPO",'caseload data'!$B:$B,{"licence","community"}))/SUM(SUMIFS('caseload data'!O:O,'caseload data'!$B:$B,{"licence","community"},'caseload data'!$C:$C,'community %'!$B$15)),"")</f>
        <v/>
      </c>
      <c r="N20" s="167" t="str">
        <f>IFERROR(SUM(SUMIFS('caseload data'!P:P,'caseload data'!$C:$C,'community %'!$B$15,'caseload data'!$D:$D,"SPO",'caseload data'!$B:$B,{"licence","community"}))/SUM(SUMIFS('caseload data'!P:P,'caseload data'!$B:$B,{"licence","community"},'caseload data'!$C:$C,'community %'!$B$15)),"")</f>
        <v/>
      </c>
      <c r="O20" s="167" t="str">
        <f>IFERROR(SUM(SUMIFS('caseload data'!Q:Q,'caseload data'!$C:$C,'community %'!$B$15,'caseload data'!$D:$D,"SPO",'caseload data'!$B:$B,{"licence","community"}))/SUM(SUMIFS('caseload data'!Q:Q,'caseload data'!$B:$B,{"licence","community"},'caseload data'!$C:$C,'community %'!$B$15)),"")</f>
        <v/>
      </c>
      <c r="P20" s="167" t="str">
        <f>IFERROR(SUM(SUMIFS('caseload data'!R:R,'caseload data'!$C:$C,'community %'!$B$15,'caseload data'!$D:$D,"SPO",'caseload data'!$B:$B,{"licence","community"}))/SUM(SUMIFS('caseload data'!R:R,'caseload data'!$B:$B,{"licence","community"},'caseload data'!$C:$C,'community %'!$B$15)),"")</f>
        <v/>
      </c>
      <c r="Q20" s="167" t="str">
        <f>IFERROR(SUM(SUMIFS('caseload data'!S:S,'caseload data'!$C:$C,'community %'!$B$15,'caseload data'!$D:$D,"SPO",'caseload data'!$B:$B,{"licence","community"}))/SUM(SUMIFS('caseload data'!S:S,'caseload data'!$B:$B,{"licence","community"},'caseload data'!$C:$C,'community %'!$B$15)),"")</f>
        <v/>
      </c>
      <c r="R20" s="167" t="str">
        <f>IFERROR(SUM(SUMIFS('caseload data'!T:T,'caseload data'!$C:$C,'community %'!$B$15,'caseload data'!$D:$D,"SPO",'caseload data'!$B:$B,{"licence","community"}))/SUM(SUMIFS('caseload data'!T:T,'caseload data'!$B:$B,{"licence","community"},'caseload data'!$C:$C,'community %'!$B$15)),"")</f>
        <v/>
      </c>
      <c r="S20" s="64"/>
      <c r="T20" s="98" t="s">
        <v>1009</v>
      </c>
      <c r="U20" s="167" t="str">
        <f>IFERROR(SUM(SUMIFS('caseload data'!E:E,'caseload data'!$C:$C,'community %'!$T$15,'caseload data'!$D:$D,"SPO",'caseload data'!$B:$B,{"licence","community"}))/SUM(SUMIFS('caseload data'!E:E,'caseload data'!$B:$B,{"licence","community"},'caseload data'!$C:$C,'community %'!$T$15)),"")</f>
        <v/>
      </c>
      <c r="V20" s="167" t="str">
        <f>IFERROR(SUM(SUMIFS('caseload data'!F:F,'caseload data'!$C:$C,'community %'!$T$15,'caseload data'!$D:$D,"SPO",'caseload data'!$B:$B,{"licence","community"}))/SUM(SUMIFS('caseload data'!F:F,'caseload data'!$B:$B,{"licence","community"},'caseload data'!$C:$C,'community %'!$T$15)),"")</f>
        <v/>
      </c>
      <c r="W20" s="167" t="str">
        <f>IFERROR(SUM(SUMIFS('caseload data'!G:G,'caseload data'!$C:$C,'community %'!$T$15,'caseload data'!$D:$D,"SPO",'caseload data'!$B:$B,{"licence","community"}))/SUM(SUMIFS('caseload data'!G:G,'caseload data'!$B:$B,{"licence","community"},'caseload data'!$C:$C,'community %'!$T$15)),"")</f>
        <v/>
      </c>
      <c r="X20" s="167" t="str">
        <f>IFERROR(SUM(SUMIFS('caseload data'!H:H,'caseload data'!$C:$C,'community %'!$T$15,'caseload data'!$D:$D,"SPO",'caseload data'!$B:$B,{"licence","community"}))/SUM(SUMIFS('caseload data'!H:H,'caseload data'!$B:$B,{"licence","community"},'caseload data'!$C:$C,'community %'!$T$15)),"")</f>
        <v/>
      </c>
      <c r="Y20" s="167" t="str">
        <f>IFERROR(SUM(SUMIFS('caseload data'!I:I,'caseload data'!$C:$C,'community %'!$T$15,'caseload data'!$D:$D,"SPO",'caseload data'!$B:$B,{"licence","community"}))/SUM(SUMIFS('caseload data'!I:I,'caseload data'!$B:$B,{"licence","community"},'caseload data'!$C:$C,'community %'!$T$15)),"")</f>
        <v/>
      </c>
      <c r="Z20" s="167" t="str">
        <f>IFERROR(SUM(SUMIFS('caseload data'!J:J,'caseload data'!$C:$C,'community %'!$T$15,'caseload data'!$D:$D,"SPO",'caseload data'!$B:$B,{"licence","community"}))/SUM(SUMIFS('caseload data'!J:J,'caseload data'!$B:$B,{"licence","community"},'caseload data'!$C:$C,'community %'!$T$15)),"")</f>
        <v/>
      </c>
      <c r="AA20" s="167" t="str">
        <f>IFERROR(SUM(SUMIFS('caseload data'!K:K,'caseload data'!$C:$C,'community %'!$T$15,'caseload data'!$D:$D,"SPO",'caseload data'!$B:$B,{"licence","community"}))/SUM(SUMIFS('caseload data'!K:K,'caseload data'!$B:$B,{"licence","community"},'caseload data'!$C:$C,'community %'!$T$15)),"")</f>
        <v/>
      </c>
      <c r="AB20" s="167" t="str">
        <f>IFERROR(SUM(SUMIFS('caseload data'!L:L,'caseload data'!$C:$C,'community %'!$T$15,'caseload data'!$D:$D,"SPO",'caseload data'!$B:$B,{"licence","community"}))/SUM(SUMIFS('caseload data'!L:L,'caseload data'!$B:$B,{"licence","community"},'caseload data'!$C:$C,'community %'!$T$15)),"")</f>
        <v/>
      </c>
      <c r="AC20" s="167" t="str">
        <f>IFERROR(SUM(SUMIFS('caseload data'!M:M,'caseload data'!$C:$C,'community %'!$T$15,'caseload data'!$D:$D,"SPO",'caseload data'!$B:$B,{"licence","community"}))/SUM(SUMIFS('caseload data'!M:M,'caseload data'!$B:$B,{"licence","community"},'caseload data'!$C:$C,'community %'!$T$15)),"")</f>
        <v/>
      </c>
      <c r="AD20" s="167" t="str">
        <f>IFERROR(SUM(SUMIFS('caseload data'!N:N,'caseload data'!$C:$C,'community %'!$T$15,'caseload data'!$D:$D,"SPO",'caseload data'!$B:$B,{"licence","community"}))/SUM(SUMIFS('caseload data'!N:N,'caseload data'!$B:$B,{"licence","community"},'caseload data'!$C:$C,'community %'!$T$15)),"")</f>
        <v/>
      </c>
      <c r="AE20" s="167" t="str">
        <f>IFERROR(SUM(SUMIFS('caseload data'!O:O,'caseload data'!$C:$C,'community %'!$T$15,'caseload data'!$D:$D,"SPO",'caseload data'!$B:$B,{"licence","community"}))/SUM(SUMIFS('caseload data'!O:O,'caseload data'!$B:$B,{"licence","community"},'caseload data'!$C:$C,'community %'!$T$15)),"")</f>
        <v/>
      </c>
      <c r="AF20" s="167" t="str">
        <f>IFERROR(SUM(SUMIFS('caseload data'!P:P,'caseload data'!$C:$C,'community %'!$T$15,'caseload data'!$D:$D,"SPO",'caseload data'!$B:$B,{"licence","community"}))/SUM(SUMIFS('caseload data'!P:P,'caseload data'!$B:$B,{"licence","community"},'caseload data'!$C:$C,'community %'!$T$15)),"")</f>
        <v/>
      </c>
      <c r="AG20" s="167" t="str">
        <f>IFERROR(SUM(SUMIFS('caseload data'!Q:Q,'caseload data'!$C:$C,'community %'!$T$15,'caseload data'!$D:$D,"SPO",'caseload data'!$B:$B,{"licence","community"}))/SUM(SUMIFS('caseload data'!Q:Q,'caseload data'!$B:$B,{"licence","community"},'caseload data'!$C:$C,'community %'!$T$15)),"")</f>
        <v/>
      </c>
      <c r="AH20" s="167" t="str">
        <f>IFERROR(SUM(SUMIFS('caseload data'!R:R,'caseload data'!$C:$C,'community %'!$T$15,'caseload data'!$D:$D,"SPO",'caseload data'!$B:$B,{"licence","community"}))/SUM(SUMIFS('caseload data'!R:R,'caseload data'!$B:$B,{"licence","community"},'caseload data'!$C:$C,'community %'!$T$15)),"")</f>
        <v/>
      </c>
      <c r="AI20" s="167" t="str">
        <f>IFERROR(SUM(SUMIFS('caseload data'!S:S,'caseload data'!$C:$C,'community %'!$T$15,'caseload data'!$D:$D,"SPO",'caseload data'!$B:$B,{"licence","community"}))/SUM(SUMIFS('caseload data'!S:S,'caseload data'!$B:$B,{"licence","community"},'caseload data'!$C:$C,'community %'!$T$15)),"")</f>
        <v/>
      </c>
      <c r="AJ20" s="167" t="str">
        <f>IFERROR(SUM(SUMIFS('caseload data'!T:T,'caseload data'!$C:$C,'community %'!$T$15,'caseload data'!$D:$D,"SPO",'caseload data'!$B:$B,{"licence","community"}))/SUM(SUMIFS('caseload data'!T:T,'caseload data'!$B:$B,{"licence","community"},'caseload data'!$C:$C,'community %'!$T$15)),"")</f>
        <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26.25" customHeight="1" x14ac:dyDescent="0.15">
      <c r="B22" s="289" t="str">
        <f>HLOOKUP($B$5,Region_Table,6,0)</f>
        <v>Lincolnshire East and West - N53</v>
      </c>
      <c r="C22" s="507" t="s">
        <v>1139</v>
      </c>
      <c r="D22" s="508"/>
      <c r="E22" s="508"/>
      <c r="F22" s="508"/>
      <c r="G22" s="508"/>
      <c r="H22" s="508"/>
      <c r="I22" s="508"/>
      <c r="J22" s="508"/>
      <c r="K22" s="508"/>
      <c r="L22" s="508"/>
      <c r="M22" s="537"/>
      <c r="N22" s="537"/>
      <c r="O22" s="538"/>
      <c r="P22" s="510" cm="1">
        <f t="array" ref="P22">SUM(SUMIFS('caseload data'!V:V,'caseload data'!B:B,{"licence","community"},'caseload data'!$C:$C,B22))</f>
        <v>0</v>
      </c>
      <c r="Q22" s="527"/>
      <c r="R22" s="528"/>
      <c r="S22" s="64"/>
      <c r="T22" s="289" t="str">
        <f>HLOOKUP($B$5,Region_Table,7,0)</f>
        <v>Nottingham City</v>
      </c>
      <c r="U22" s="507" t="s">
        <v>1139</v>
      </c>
      <c r="V22" s="508"/>
      <c r="W22" s="508"/>
      <c r="X22" s="508"/>
      <c r="Y22" s="508"/>
      <c r="Z22" s="508"/>
      <c r="AA22" s="508"/>
      <c r="AB22" s="508"/>
      <c r="AC22" s="508"/>
      <c r="AD22" s="508"/>
      <c r="AE22" s="537"/>
      <c r="AF22" s="537"/>
      <c r="AG22" s="538"/>
      <c r="AH22" s="510" cm="1">
        <f t="array" ref="AH22">SUM(SUMIFS('caseload data'!V:V,'caseload data'!B:B,{"licence","community"},'caseload data'!$C:$C,T22))</f>
        <v>0</v>
      </c>
      <c r="AI22" s="527"/>
      <c r="AJ22" s="528"/>
    </row>
    <row r="23" spans="2:36" x14ac:dyDescent="0.15">
      <c r="B23" s="95" t="s">
        <v>1005</v>
      </c>
      <c r="C23" s="38" t="s">
        <v>869</v>
      </c>
      <c r="D23" s="38" t="s">
        <v>870</v>
      </c>
      <c r="E23" s="38" t="s">
        <v>871</v>
      </c>
      <c r="F23" s="38" t="s">
        <v>872</v>
      </c>
      <c r="G23" s="38" t="s">
        <v>873</v>
      </c>
      <c r="H23" s="38" t="s">
        <v>874</v>
      </c>
      <c r="I23" s="38" t="s">
        <v>875</v>
      </c>
      <c r="J23" s="38" t="s">
        <v>876</v>
      </c>
      <c r="K23" s="38" t="s">
        <v>877</v>
      </c>
      <c r="L23" s="38" t="s">
        <v>878</v>
      </c>
      <c r="M23" s="38" t="s">
        <v>879</v>
      </c>
      <c r="N23" s="38" t="s">
        <v>880</v>
      </c>
      <c r="O23" s="38" t="s">
        <v>881</v>
      </c>
      <c r="P23" s="38" t="s">
        <v>882</v>
      </c>
      <c r="Q23" s="38" t="s">
        <v>883</v>
      </c>
      <c r="R23" s="38" t="s">
        <v>884</v>
      </c>
      <c r="S23" s="64"/>
      <c r="T23" s="95" t="s">
        <v>1005</v>
      </c>
      <c r="U23" s="38" t="s">
        <v>869</v>
      </c>
      <c r="V23" s="38" t="s">
        <v>870</v>
      </c>
      <c r="W23" s="38" t="s">
        <v>871</v>
      </c>
      <c r="X23" s="38" t="s">
        <v>872</v>
      </c>
      <c r="Y23" s="38" t="s">
        <v>873</v>
      </c>
      <c r="Z23" s="38" t="s">
        <v>874</v>
      </c>
      <c r="AA23" s="38" t="s">
        <v>875</v>
      </c>
      <c r="AB23" s="38" t="s">
        <v>876</v>
      </c>
      <c r="AC23" s="38" t="s">
        <v>877</v>
      </c>
      <c r="AD23" s="38" t="s">
        <v>878</v>
      </c>
      <c r="AE23" s="38" t="s">
        <v>879</v>
      </c>
      <c r="AF23" s="38" t="s">
        <v>880</v>
      </c>
      <c r="AG23" s="38" t="s">
        <v>881</v>
      </c>
      <c r="AH23" s="38" t="s">
        <v>882</v>
      </c>
      <c r="AI23" s="38" t="s">
        <v>883</v>
      </c>
      <c r="AJ23" s="38" t="s">
        <v>884</v>
      </c>
    </row>
    <row r="24" spans="2:36" x14ac:dyDescent="0.15">
      <c r="B24" s="96" t="s">
        <v>1002</v>
      </c>
      <c r="C24" s="167" t="str">
        <f>IFERROR(SUM(SUMIFS('caseload data'!E:E,'caseload data'!$C:$C,'community %'!$B$22,'caseload data'!$D:$D,"PO",'caseload data'!$B:$B,{"licence","community"}))/SUM(SUMIFS('caseload data'!E:E,'caseload data'!$B:$B,{"licence","community"},'caseload data'!$C:$C,'community %'!$B$22)),"")</f>
        <v/>
      </c>
      <c r="D24" s="167" t="str">
        <f>IFERROR(SUM(SUMIFS('caseload data'!F:F,'caseload data'!$C:$C,'community %'!$B$22,'caseload data'!$D:$D,"PO",'caseload data'!$B:$B,{"licence","community"}))/SUM(SUMIFS('caseload data'!F:F,'caseload data'!$B:$B,{"licence","community"},'caseload data'!$C:$C,'community %'!$B$22)),"")</f>
        <v/>
      </c>
      <c r="E24" s="167" t="str">
        <f>IFERROR(SUM(SUMIFS('caseload data'!G:G,'caseload data'!$C:$C,'community %'!$B$22,'caseload data'!$D:$D,"PO",'caseload data'!$B:$B,{"licence","community"}))/SUM(SUMIFS('caseload data'!G:G,'caseload data'!$B:$B,{"licence","community"},'caseload data'!$C:$C,'community %'!$B$22)),"")</f>
        <v/>
      </c>
      <c r="F24" s="167" t="str">
        <f>IFERROR(SUM(SUMIFS('caseload data'!H:H,'caseload data'!$C:$C,'community %'!$B$22,'caseload data'!$D:$D,"PO",'caseload data'!$B:$B,{"licence","community"}))/SUM(SUMIFS('caseload data'!H:H,'caseload data'!$B:$B,{"licence","community"},'caseload data'!$C:$C,'community %'!$B$22)),"")</f>
        <v/>
      </c>
      <c r="G24" s="167" t="str">
        <f>IFERROR(SUM(SUMIFS('caseload data'!I:I,'caseload data'!$C:$C,'community %'!$B$22,'caseload data'!$D:$D,"PO",'caseload data'!$B:$B,{"licence","community"}))/SUM(SUMIFS('caseload data'!I:I,'caseload data'!$B:$B,{"licence","community"},'caseload data'!$C:$C,'community %'!$B$22)),"")</f>
        <v/>
      </c>
      <c r="H24" s="167" t="str">
        <f>IFERROR(SUM(SUMIFS('caseload data'!J:J,'caseload data'!$C:$C,'community %'!$B$22,'caseload data'!$D:$D,"PO",'caseload data'!$B:$B,{"licence","community"}))/SUM(SUMIFS('caseload data'!J:J,'caseload data'!$B:$B,{"licence","community"},'caseload data'!$C:$C,'community %'!$B$22)),"")</f>
        <v/>
      </c>
      <c r="I24" s="167" t="str">
        <f>IFERROR(SUM(SUMIFS('caseload data'!K:K,'caseload data'!$C:$C,'community %'!$B$22,'caseload data'!$D:$D,"PO",'caseload data'!$B:$B,{"licence","community"}))/SUM(SUMIFS('caseload data'!K:K,'caseload data'!$B:$B,{"licence","community"},'caseload data'!$C:$C,'community %'!$B$22)),"")</f>
        <v/>
      </c>
      <c r="J24" s="167" t="str">
        <f>IFERROR(SUM(SUMIFS('caseload data'!L:L,'caseload data'!$C:$C,'community %'!$B$22,'caseload data'!$D:$D,"PO",'caseload data'!$B:$B,{"licence","community"}))/SUM(SUMIFS('caseload data'!L:L,'caseload data'!$B:$B,{"licence","community"},'caseload data'!$C:$C,'community %'!$B$22)),"")</f>
        <v/>
      </c>
      <c r="K24" s="167" t="str">
        <f>IFERROR(SUM(SUMIFS('caseload data'!M:M,'caseload data'!$C:$C,'community %'!$B$22,'caseload data'!$D:$D,"PO",'caseload data'!$B:$B,{"licence","community"}))/SUM(SUMIFS('caseload data'!M:M,'caseload data'!$B:$B,{"licence","community"},'caseload data'!$C:$C,'community %'!$B$22)),"")</f>
        <v/>
      </c>
      <c r="L24" s="167" t="str">
        <f>IFERROR(SUM(SUMIFS('caseload data'!N:N,'caseload data'!$C:$C,'community %'!$B$22,'caseload data'!$D:$D,"PO",'caseload data'!$B:$B,{"licence","community"}))/SUM(SUMIFS('caseload data'!N:N,'caseload data'!$B:$B,{"licence","community"},'caseload data'!$C:$C,'community %'!$B$22)),"")</f>
        <v/>
      </c>
      <c r="M24" s="167" t="str">
        <f>IFERROR(SUM(SUMIFS('caseload data'!O:O,'caseload data'!$C:$C,'community %'!$B$22,'caseload data'!$D:$D,"PO",'caseload data'!$B:$B,{"licence","community"}))/SUM(SUMIFS('caseload data'!O:O,'caseload data'!$B:$B,{"licence","community"},'caseload data'!$C:$C,'community %'!$B$22)),"")</f>
        <v/>
      </c>
      <c r="N24" s="167" t="str">
        <f>IFERROR(SUM(SUMIFS('caseload data'!P:P,'caseload data'!$C:$C,'community %'!$B$22,'caseload data'!$D:$D,"PO",'caseload data'!$B:$B,{"licence","community"}))/SUM(SUMIFS('caseload data'!P:P,'caseload data'!$B:$B,{"licence","community"},'caseload data'!$C:$C,'community %'!$B$22)),"")</f>
        <v/>
      </c>
      <c r="O24" s="167" t="str">
        <f>IFERROR(SUM(SUMIFS('caseload data'!Q:Q,'caseload data'!$C:$C,'community %'!$B$22,'caseload data'!$D:$D,"PO",'caseload data'!$B:$B,{"licence","community"}))/SUM(SUMIFS('caseload data'!Q:Q,'caseload data'!$B:$B,{"licence","community"},'caseload data'!$C:$C,'community %'!$B$22)),"")</f>
        <v/>
      </c>
      <c r="P24" s="167" t="str">
        <f>IFERROR(SUM(SUMIFS('caseload data'!R:R,'caseload data'!$C:$C,'community %'!$B$22,'caseload data'!$D:$D,"PO",'caseload data'!$B:$B,{"licence","community"}))/SUM(SUMIFS('caseload data'!R:R,'caseload data'!$B:$B,{"licence","community"},'caseload data'!$C:$C,'community %'!$B$22)),"")</f>
        <v/>
      </c>
      <c r="Q24" s="167" t="str">
        <f>IFERROR(SUM(SUMIFS('caseload data'!S:S,'caseload data'!$C:$C,'community %'!$B$22,'caseload data'!$D:$D,"PO",'caseload data'!$B:$B,{"licence","community"}))/SUM(SUMIFS('caseload data'!S:S,'caseload data'!$B:$B,{"licence","community"},'caseload data'!$C:$C,'community %'!$B$22)),"")</f>
        <v/>
      </c>
      <c r="R24" s="167" t="str">
        <f>IFERROR(SUM(SUMIFS('caseload data'!T:T,'caseload data'!$C:$C,'community %'!$B$22,'caseload data'!$D:$D,"PO",'caseload data'!$B:$B,{"licence","community"}))/SUM(SUMIFS('caseload data'!T:T,'caseload data'!$B:$B,{"licence","community"},'caseload data'!$C:$C,'community %'!$B$22)),"")</f>
        <v/>
      </c>
      <c r="S24" s="64"/>
      <c r="T24" s="96" t="s">
        <v>1002</v>
      </c>
      <c r="U24" s="167" t="str">
        <f>IFERROR(SUM(SUMIFS('caseload data'!E:E,'caseload data'!$C:$C,'community %'!$T$22,'caseload data'!$D:$D,"PO",'caseload data'!$B:$B,{"licence","community"}))/SUM(SUMIFS('caseload data'!E:E,'caseload data'!$B:$B,{"licence","community"},'caseload data'!$C:$C,'community %'!$T$22)),"")</f>
        <v/>
      </c>
      <c r="V24" s="167" t="str">
        <f>IFERROR(SUM(SUMIFS('caseload data'!F:F,'caseload data'!$C:$C,'community %'!$T$22,'caseload data'!$D:$D,"PO",'caseload data'!$B:$B,{"licence","community"}))/SUM(SUMIFS('caseload data'!F:F,'caseload data'!$B:$B,{"licence","community"},'caseload data'!$C:$C,'community %'!$T$22)),"")</f>
        <v/>
      </c>
      <c r="W24" s="167" t="str">
        <f>IFERROR(SUM(SUMIFS('caseload data'!G:G,'caseload data'!$C:$C,'community %'!$T$22,'caseload data'!$D:$D,"PO",'caseload data'!$B:$B,{"licence","community"}))/SUM(SUMIFS('caseload data'!G:G,'caseload data'!$B:$B,{"licence","community"},'caseload data'!$C:$C,'community %'!$T$22)),"")</f>
        <v/>
      </c>
      <c r="X24" s="167" t="str">
        <f>IFERROR(SUM(SUMIFS('caseload data'!H:H,'caseload data'!$C:$C,'community %'!$T$22,'caseload data'!$D:$D,"PO",'caseload data'!$B:$B,{"licence","community"}))/SUM(SUMIFS('caseload data'!H:H,'caseload data'!$B:$B,{"licence","community"},'caseload data'!$C:$C,'community %'!$T$22)),"")</f>
        <v/>
      </c>
      <c r="Y24" s="167" t="str">
        <f>IFERROR(SUM(SUMIFS('caseload data'!I:I,'caseload data'!$C:$C,'community %'!$T$22,'caseload data'!$D:$D,"PO",'caseload data'!$B:$B,{"licence","community"}))/SUM(SUMIFS('caseload data'!I:I,'caseload data'!$B:$B,{"licence","community"},'caseload data'!$C:$C,'community %'!$T$22)),"")</f>
        <v/>
      </c>
      <c r="Z24" s="167" t="str">
        <f>IFERROR(SUM(SUMIFS('caseload data'!J:J,'caseload data'!$C:$C,'community %'!$T$22,'caseload data'!$D:$D,"PO",'caseload data'!$B:$B,{"licence","community"}))/SUM(SUMIFS('caseload data'!J:J,'caseload data'!$B:$B,{"licence","community"},'caseload data'!$C:$C,'community %'!$T$22)),"")</f>
        <v/>
      </c>
      <c r="AA24" s="167" t="str">
        <f>IFERROR(SUM(SUMIFS('caseload data'!K:K,'caseload data'!$C:$C,'community %'!$T$22,'caseload data'!$D:$D,"PO",'caseload data'!$B:$B,{"licence","community"}))/SUM(SUMIFS('caseload data'!K:K,'caseload data'!$B:$B,{"licence","community"},'caseload data'!$C:$C,'community %'!$T$22)),"")</f>
        <v/>
      </c>
      <c r="AB24" s="167" t="str">
        <f>IFERROR(SUM(SUMIFS('caseload data'!L:L,'caseload data'!$C:$C,'community %'!$T$22,'caseload data'!$D:$D,"PO",'caseload data'!$B:$B,{"licence","community"}))/SUM(SUMIFS('caseload data'!L:L,'caseload data'!$B:$B,{"licence","community"},'caseload data'!$C:$C,'community %'!$T$22)),"")</f>
        <v/>
      </c>
      <c r="AC24" s="167" t="str">
        <f>IFERROR(SUM(SUMIFS('caseload data'!M:M,'caseload data'!$C:$C,'community %'!$T$22,'caseload data'!$D:$D,"PO",'caseload data'!$B:$B,{"licence","community"}))/SUM(SUMIFS('caseload data'!M:M,'caseload data'!$B:$B,{"licence","community"},'caseload data'!$C:$C,'community %'!$T$22)),"")</f>
        <v/>
      </c>
      <c r="AD24" s="167" t="str">
        <f>IFERROR(SUM(SUMIFS('caseload data'!N:N,'caseload data'!$C:$C,'community %'!$T$22,'caseload data'!$D:$D,"PO",'caseload data'!$B:$B,{"licence","community"}))/SUM(SUMIFS('caseload data'!N:N,'caseload data'!$B:$B,{"licence","community"},'caseload data'!$C:$C,'community %'!$T$22)),"")</f>
        <v/>
      </c>
      <c r="AE24" s="167" t="str">
        <f>IFERROR(SUM(SUMIFS('caseload data'!O:O,'caseload data'!$C:$C,'community %'!$T$22,'caseload data'!$D:$D,"PO",'caseload data'!$B:$B,{"licence","community"}))/SUM(SUMIFS('caseload data'!O:O,'caseload data'!$B:$B,{"licence","community"},'caseload data'!$C:$C,'community %'!$T$22)),"")</f>
        <v/>
      </c>
      <c r="AF24" s="167" t="str">
        <f>IFERROR(SUM(SUMIFS('caseload data'!P:P,'caseload data'!$C:$C,'community %'!$T$22,'caseload data'!$D:$D,"PO",'caseload data'!$B:$B,{"licence","community"}))/SUM(SUMIFS('caseload data'!P:P,'caseload data'!$B:$B,{"licence","community"},'caseload data'!$C:$C,'community %'!$T$22)),"")</f>
        <v/>
      </c>
      <c r="AG24" s="167" t="str">
        <f>IFERROR(SUM(SUMIFS('caseload data'!Q:Q,'caseload data'!$C:$C,'community %'!$T$22,'caseload data'!$D:$D,"PO",'caseload data'!$B:$B,{"licence","community"}))/SUM(SUMIFS('caseload data'!Q:Q,'caseload data'!$B:$B,{"licence","community"},'caseload data'!$C:$C,'community %'!$T$22)),"")</f>
        <v/>
      </c>
      <c r="AH24" s="167" t="str">
        <f>IFERROR(SUM(SUMIFS('caseload data'!R:R,'caseload data'!$C:$C,'community %'!$T$22,'caseload data'!$D:$D,"PO",'caseload data'!$B:$B,{"licence","community"}))/SUM(SUMIFS('caseload data'!R:R,'caseload data'!$B:$B,{"licence","community"},'caseload data'!$C:$C,'community %'!$T$22)),"")</f>
        <v/>
      </c>
      <c r="AI24" s="167" t="str">
        <f>IFERROR(SUM(SUMIFS('caseload data'!S:S,'caseload data'!$C:$C,'community %'!$T$22,'caseload data'!$D:$D,"PO",'caseload data'!$B:$B,{"licence","community"}))/SUM(SUMIFS('caseload data'!S:S,'caseload data'!$B:$B,{"licence","community"},'caseload data'!$C:$C,'community %'!$T$22)),"")</f>
        <v/>
      </c>
      <c r="AJ24" s="167" t="str">
        <f>IFERROR(SUM(SUMIFS('caseload data'!T:T,'caseload data'!$C:$C,'community %'!$T$22,'caseload data'!$D:$D,"PO",'caseload data'!$B:$B,{"licence","community"}))/SUM(SUMIFS('caseload data'!T:T,'caseload data'!$B:$B,{"licence","community"},'caseload data'!$C:$C,'community %'!$T$22)),"")</f>
        <v/>
      </c>
    </row>
    <row r="25" spans="2:36" x14ac:dyDescent="0.15">
      <c r="B25" s="97" t="s">
        <v>1007</v>
      </c>
      <c r="C25" s="167" t="str">
        <f>IFERROR(SUM(SUMIFS('caseload data'!E:E,'caseload data'!$C:$C,'community %'!$B$22,'caseload data'!$D:$D,"PSO",'caseload data'!$B:$B,{"licence","community"}))/SUM(SUMIFS('caseload data'!E:E,'caseload data'!$B:$B,{"licence","community"},'caseload data'!$C:$C,'community %'!$B$22)),"")</f>
        <v/>
      </c>
      <c r="D25" s="167" t="str">
        <f>IFERROR(SUM(SUMIFS('caseload data'!F:F,'caseload data'!$C:$C,'community %'!$B$22,'caseload data'!$D:$D,"PSO",'caseload data'!$B:$B,{"licence","community"}))/SUM(SUMIFS('caseload data'!F:F,'caseload data'!$B:$B,{"licence","community"},'caseload data'!$C:$C,'community %'!$B$22)),"")</f>
        <v/>
      </c>
      <c r="E25" s="167" t="str">
        <f>IFERROR(SUM(SUMIFS('caseload data'!G:G,'caseload data'!$C:$C,'community %'!$B$22,'caseload data'!$D:$D,"PSO",'caseload data'!$B:$B,{"licence","community"}))/SUM(SUMIFS('caseload data'!G:G,'caseload data'!$B:$B,{"licence","community"},'caseload data'!$C:$C,'community %'!$B$22)),"")</f>
        <v/>
      </c>
      <c r="F25" s="167" t="str">
        <f>IFERROR(SUM(SUMIFS('caseload data'!H:H,'caseload data'!$C:$C,'community %'!$B$22,'caseload data'!$D:$D,"PSO",'caseload data'!$B:$B,{"licence","community"}))/SUM(SUMIFS('caseload data'!H:H,'caseload data'!$B:$B,{"licence","community"},'caseload data'!$C:$C,'community %'!$B$22)),"")</f>
        <v/>
      </c>
      <c r="G25" s="167" t="str">
        <f>IFERROR(SUM(SUMIFS('caseload data'!I:I,'caseload data'!$C:$C,'community %'!$B$22,'caseload data'!$D:$D,"PSO",'caseload data'!$B:$B,{"licence","community"}))/SUM(SUMIFS('caseload data'!I:I,'caseload data'!$B:$B,{"licence","community"},'caseload data'!$C:$C,'community %'!$B$22)),"")</f>
        <v/>
      </c>
      <c r="H25" s="167" t="str">
        <f>IFERROR(SUM(SUMIFS('caseload data'!J:J,'caseload data'!$C:$C,'community %'!$B$22,'caseload data'!$D:$D,"PSO",'caseload data'!$B:$B,{"licence","community"}))/SUM(SUMIFS('caseload data'!J:J,'caseload data'!$B:$B,{"licence","community"},'caseload data'!$C:$C,'community %'!$B$22)),"")</f>
        <v/>
      </c>
      <c r="I25" s="167" t="str">
        <f>IFERROR(SUM(SUMIFS('caseload data'!K:K,'caseload data'!$C:$C,'community %'!$B$22,'caseload data'!$D:$D,"PSO",'caseload data'!$B:$B,{"licence","community"}))/SUM(SUMIFS('caseload data'!K:K,'caseload data'!$B:$B,{"licence","community"},'caseload data'!$C:$C,'community %'!$B$22)),"")</f>
        <v/>
      </c>
      <c r="J25" s="167" t="str">
        <f>IFERROR(SUM(SUMIFS('caseload data'!L:L,'caseload data'!$C:$C,'community %'!$B$22,'caseload data'!$D:$D,"PSO",'caseload data'!$B:$B,{"licence","community"}))/SUM(SUMIFS('caseload data'!L:L,'caseload data'!$B:$B,{"licence","community"},'caseload data'!$C:$C,'community %'!$B$22)),"")</f>
        <v/>
      </c>
      <c r="K25" s="167" t="str">
        <f>IFERROR(SUM(SUMIFS('caseload data'!M:M,'caseload data'!$C:$C,'community %'!$B$22,'caseload data'!$D:$D,"PSO",'caseload data'!$B:$B,{"licence","community"}))/SUM(SUMIFS('caseload data'!M:M,'caseload data'!$B:$B,{"licence","community"},'caseload data'!$C:$C,'community %'!$B$22)),"")</f>
        <v/>
      </c>
      <c r="L25" s="167" t="str">
        <f>IFERROR(SUM(SUMIFS('caseload data'!N:N,'caseload data'!$C:$C,'community %'!$B$22,'caseload data'!$D:$D,"PSO",'caseload data'!$B:$B,{"licence","community"}))/SUM(SUMIFS('caseload data'!N:N,'caseload data'!$B:$B,{"licence","community"},'caseload data'!$C:$C,'community %'!$B$22)),"")</f>
        <v/>
      </c>
      <c r="M25" s="167" t="str">
        <f>IFERROR(SUM(SUMIFS('caseload data'!O:O,'caseload data'!$C:$C,'community %'!$B$22,'caseload data'!$D:$D,"PSO",'caseload data'!$B:$B,{"licence","community"}))/SUM(SUMIFS('caseload data'!O:O,'caseload data'!$B:$B,{"licence","community"},'caseload data'!$C:$C,'community %'!$B$22)),"")</f>
        <v/>
      </c>
      <c r="N25" s="167" t="str">
        <f>IFERROR(SUM(SUMIFS('caseload data'!P:P,'caseload data'!$C:$C,'community %'!$B$22,'caseload data'!$D:$D,"PSO",'caseload data'!$B:$B,{"licence","community"}))/SUM(SUMIFS('caseload data'!P:P,'caseload data'!$B:$B,{"licence","community"},'caseload data'!$C:$C,'community %'!$B$22)),"")</f>
        <v/>
      </c>
      <c r="O25" s="167" t="str">
        <f>IFERROR(SUM(SUMIFS('caseload data'!Q:Q,'caseload data'!$C:$C,'community %'!$B$22,'caseload data'!$D:$D,"PSO",'caseload data'!$B:$B,{"licence","community"}))/SUM(SUMIFS('caseload data'!Q:Q,'caseload data'!$B:$B,{"licence","community"},'caseload data'!$C:$C,'community %'!$B$22)),"")</f>
        <v/>
      </c>
      <c r="P25" s="167" t="str">
        <f>IFERROR(SUM(SUMIFS('caseload data'!R:R,'caseload data'!$C:$C,'community %'!$B$22,'caseload data'!$D:$D,"PSO",'caseload data'!$B:$B,{"licence","community"}))/SUM(SUMIFS('caseload data'!R:R,'caseload data'!$B:$B,{"licence","community"},'caseload data'!$C:$C,'community %'!$B$22)),"")</f>
        <v/>
      </c>
      <c r="Q25" s="167" t="str">
        <f>IFERROR(SUM(SUMIFS('caseload data'!S:S,'caseload data'!$C:$C,'community %'!$B$22,'caseload data'!$D:$D,"PSO",'caseload data'!$B:$B,{"licence","community"}))/SUM(SUMIFS('caseload data'!S:S,'caseload data'!$B:$B,{"licence","community"},'caseload data'!$C:$C,'community %'!$B$22)),"")</f>
        <v/>
      </c>
      <c r="R25" s="167" t="str">
        <f>IFERROR(SUM(SUMIFS('caseload data'!T:T,'caseload data'!$C:$C,'community %'!$B$22,'caseload data'!$D:$D,"PSO",'caseload data'!$B:$B,{"licence","community"}))/SUM(SUMIFS('caseload data'!T:T,'caseload data'!$B:$B,{"licence","community"},'caseload data'!$C:$C,'community %'!$B$22)),"")</f>
        <v/>
      </c>
      <c r="S25" s="64"/>
      <c r="T25" s="97" t="s">
        <v>1007</v>
      </c>
      <c r="U25" s="167" t="str">
        <f>IFERROR(SUM(SUMIFS('caseload data'!E:E,'caseload data'!$C:$C,'community %'!$T$22,'caseload data'!$D:$D,"PSO",'caseload data'!$B:$B,{"licence","community"}))/SUM(SUMIFS('caseload data'!E:E,'caseload data'!$B:$B,{"licence","community"},'caseload data'!$C:$C,'community %'!$T$22)),"")</f>
        <v/>
      </c>
      <c r="V25" s="167" t="str">
        <f>IFERROR(SUM(SUMIFS('caseload data'!F:F,'caseload data'!$C:$C,'community %'!$T$22,'caseload data'!$D:$D,"PSO",'caseload data'!$B:$B,{"licence","community"}))/SUM(SUMIFS('caseload data'!F:F,'caseload data'!$B:$B,{"licence","community"},'caseload data'!$C:$C,'community %'!$T$22)),"")</f>
        <v/>
      </c>
      <c r="W25" s="167" t="str">
        <f>IFERROR(SUM(SUMIFS('caseload data'!G:G,'caseload data'!$C:$C,'community %'!$T$22,'caseload data'!$D:$D,"PSO",'caseload data'!$B:$B,{"licence","community"}))/SUM(SUMIFS('caseload data'!G:G,'caseload data'!$B:$B,{"licence","community"},'caseload data'!$C:$C,'community %'!$T$22)),"")</f>
        <v/>
      </c>
      <c r="X25" s="167" t="str">
        <f>IFERROR(SUM(SUMIFS('caseload data'!H:H,'caseload data'!$C:$C,'community %'!$T$22,'caseload data'!$D:$D,"PSO",'caseload data'!$B:$B,{"licence","community"}))/SUM(SUMIFS('caseload data'!H:H,'caseload data'!$B:$B,{"licence","community"},'caseload data'!$C:$C,'community %'!$T$22)),"")</f>
        <v/>
      </c>
      <c r="Y25" s="167" t="str">
        <f>IFERROR(SUM(SUMIFS('caseload data'!I:I,'caseload data'!$C:$C,'community %'!$T$22,'caseload data'!$D:$D,"PSO",'caseload data'!$B:$B,{"licence","community"}))/SUM(SUMIFS('caseload data'!I:I,'caseload data'!$B:$B,{"licence","community"},'caseload data'!$C:$C,'community %'!$T$22)),"")</f>
        <v/>
      </c>
      <c r="Z25" s="167" t="str">
        <f>IFERROR(SUM(SUMIFS('caseload data'!J:J,'caseload data'!$C:$C,'community %'!$T$22,'caseload data'!$D:$D,"PSO",'caseload data'!$B:$B,{"licence","community"}))/SUM(SUMIFS('caseload data'!J:J,'caseload data'!$B:$B,{"licence","community"},'caseload data'!$C:$C,'community %'!$T$22)),"")</f>
        <v/>
      </c>
      <c r="AA25" s="167" t="str">
        <f>IFERROR(SUM(SUMIFS('caseload data'!K:K,'caseload data'!$C:$C,'community %'!$T$22,'caseload data'!$D:$D,"PSO",'caseload data'!$B:$B,{"licence","community"}))/SUM(SUMIFS('caseload data'!K:K,'caseload data'!$B:$B,{"licence","community"},'caseload data'!$C:$C,'community %'!$T$22)),"")</f>
        <v/>
      </c>
      <c r="AB25" s="167" t="str">
        <f>IFERROR(SUM(SUMIFS('caseload data'!L:L,'caseload data'!$C:$C,'community %'!$T$22,'caseload data'!$D:$D,"PSO",'caseload data'!$B:$B,{"licence","community"}))/SUM(SUMIFS('caseload data'!L:L,'caseload data'!$B:$B,{"licence","community"},'caseload data'!$C:$C,'community %'!$T$22)),"")</f>
        <v/>
      </c>
      <c r="AC25" s="167" t="str">
        <f>IFERROR(SUM(SUMIFS('caseload data'!M:M,'caseload data'!$C:$C,'community %'!$T$22,'caseload data'!$D:$D,"PSO",'caseload data'!$B:$B,{"licence","community"}))/SUM(SUMIFS('caseload data'!M:M,'caseload data'!$B:$B,{"licence","community"},'caseload data'!$C:$C,'community %'!$T$22)),"")</f>
        <v/>
      </c>
      <c r="AD25" s="167" t="str">
        <f>IFERROR(SUM(SUMIFS('caseload data'!N:N,'caseload data'!$C:$C,'community %'!$T$22,'caseload data'!$D:$D,"PSO",'caseload data'!$B:$B,{"licence","community"}))/SUM(SUMIFS('caseload data'!N:N,'caseload data'!$B:$B,{"licence","community"},'caseload data'!$C:$C,'community %'!$T$22)),"")</f>
        <v/>
      </c>
      <c r="AE25" s="167" t="str">
        <f>IFERROR(SUM(SUMIFS('caseload data'!O:O,'caseload data'!$C:$C,'community %'!$T$22,'caseload data'!$D:$D,"PSO",'caseload data'!$B:$B,{"licence","community"}))/SUM(SUMIFS('caseload data'!O:O,'caseload data'!$B:$B,{"licence","community"},'caseload data'!$C:$C,'community %'!$T$22)),"")</f>
        <v/>
      </c>
      <c r="AF25" s="167" t="str">
        <f>IFERROR(SUM(SUMIFS('caseload data'!P:P,'caseload data'!$C:$C,'community %'!$T$22,'caseload data'!$D:$D,"PSO",'caseload data'!$B:$B,{"licence","community"}))/SUM(SUMIFS('caseload data'!P:P,'caseload data'!$B:$B,{"licence","community"},'caseload data'!$C:$C,'community %'!$T$22)),"")</f>
        <v/>
      </c>
      <c r="AG25" s="167" t="str">
        <f>IFERROR(SUM(SUMIFS('caseload data'!Q:Q,'caseload data'!$C:$C,'community %'!$T$22,'caseload data'!$D:$D,"PSO",'caseload data'!$B:$B,{"licence","community"}))/SUM(SUMIFS('caseload data'!Q:Q,'caseload data'!$B:$B,{"licence","community"},'caseload data'!$C:$C,'community %'!$T$22)),"")</f>
        <v/>
      </c>
      <c r="AH25" s="167" t="str">
        <f>IFERROR(SUM(SUMIFS('caseload data'!R:R,'caseload data'!$C:$C,'community %'!$T$22,'caseload data'!$D:$D,"PSO",'caseload data'!$B:$B,{"licence","community"}))/SUM(SUMIFS('caseload data'!R:R,'caseload data'!$B:$B,{"licence","community"},'caseload data'!$C:$C,'community %'!$T$22)),"")</f>
        <v/>
      </c>
      <c r="AI25" s="167" t="str">
        <f>IFERROR(SUM(SUMIFS('caseload data'!S:S,'caseload data'!$C:$C,'community %'!$T$22,'caseload data'!$D:$D,"PSO",'caseload data'!$B:$B,{"licence","community"}))/SUM(SUMIFS('caseload data'!S:S,'caseload data'!$B:$B,{"licence","community"},'caseload data'!$C:$C,'community %'!$T$22)),"")</f>
        <v/>
      </c>
      <c r="AJ25" s="167" t="str">
        <f>IFERROR(SUM(SUMIFS('caseload data'!T:T,'caseload data'!$C:$C,'community %'!$T$22,'caseload data'!$D:$D,"PSO",'caseload data'!$B:$B,{"licence","community"}))/SUM(SUMIFS('caseload data'!T:T,'caseload data'!$B:$B,{"licence","community"},'caseload data'!$C:$C,'community %'!$T$22)),"")</f>
        <v/>
      </c>
    </row>
    <row r="26" spans="2:36" x14ac:dyDescent="0.15">
      <c r="B26" s="97" t="s">
        <v>1008</v>
      </c>
      <c r="C26" s="167" t="str">
        <f>IFERROR(SUM(SUMIFS('caseload data'!E:E,'caseload data'!$C:$C,'community %'!$B$22,'caseload data'!$D:$D,"TPO",'caseload data'!$B:$B,{"licence","community"}))/SUM(SUMIFS('caseload data'!E:E,'caseload data'!$B:$B,{"licence","community"},'caseload data'!$C:$C,'community %'!$B$22)),"")</f>
        <v/>
      </c>
      <c r="D26" s="167" t="str">
        <f>IFERROR(SUM(SUMIFS('caseload data'!F:F,'caseload data'!$C:$C,'community %'!$B$22,'caseload data'!$D:$D,"TPO",'caseload data'!$B:$B,{"licence","community"}))/SUM(SUMIFS('caseload data'!F:F,'caseload data'!$B:$B,{"licence","community"},'caseload data'!$C:$C,'community %'!$B$22)),"")</f>
        <v/>
      </c>
      <c r="E26" s="167" t="str">
        <f>IFERROR(SUM(SUMIFS('caseload data'!G:G,'caseload data'!$C:$C,'community %'!$B$22,'caseload data'!$D:$D,"TPO",'caseload data'!$B:$B,{"licence","community"}))/SUM(SUMIFS('caseload data'!G:G,'caseload data'!$B:$B,{"licence","community"},'caseload data'!$C:$C,'community %'!$B$22)),"")</f>
        <v/>
      </c>
      <c r="F26" s="167" t="str">
        <f>IFERROR(SUM(SUMIFS('caseload data'!H:H,'caseload data'!$C:$C,'community %'!$B$22,'caseload data'!$D:$D,"TPO",'caseload data'!$B:$B,{"licence","community"}))/SUM(SUMIFS('caseload data'!H:H,'caseload data'!$B:$B,{"licence","community"},'caseload data'!$C:$C,'community %'!$B$22)),"")</f>
        <v/>
      </c>
      <c r="G26" s="167" t="str">
        <f>IFERROR(SUM(SUMIFS('caseload data'!I:I,'caseload data'!$C:$C,'community %'!$B$22,'caseload data'!$D:$D,"TPO",'caseload data'!$B:$B,{"licence","community"}))/SUM(SUMIFS('caseload data'!I:I,'caseload data'!$B:$B,{"licence","community"},'caseload data'!$C:$C,'community %'!$B$22)),"")</f>
        <v/>
      </c>
      <c r="H26" s="167" t="str">
        <f>IFERROR(SUM(SUMIFS('caseload data'!J:J,'caseload data'!$C:$C,'community %'!$B$22,'caseload data'!$D:$D,"TPO",'caseload data'!$B:$B,{"licence","community"}))/SUM(SUMIFS('caseload data'!J:J,'caseload data'!$B:$B,{"licence","community"},'caseload data'!$C:$C,'community %'!$B$22)),"")</f>
        <v/>
      </c>
      <c r="I26" s="167" t="str">
        <f>IFERROR(SUM(SUMIFS('caseload data'!K:K,'caseload data'!$C:$C,'community %'!$B$22,'caseload data'!$D:$D,"TPO",'caseload data'!$B:$B,{"licence","community"}))/SUM(SUMIFS('caseload data'!K:K,'caseload data'!$B:$B,{"licence","community"},'caseload data'!$C:$C,'community %'!$B$22)),"")</f>
        <v/>
      </c>
      <c r="J26" s="167" t="str">
        <f>IFERROR(SUM(SUMIFS('caseload data'!L:L,'caseload data'!$C:$C,'community %'!$B$22,'caseload data'!$D:$D,"TPO",'caseload data'!$B:$B,{"licence","community"}))/SUM(SUMIFS('caseload data'!L:L,'caseload data'!$B:$B,{"licence","community"},'caseload data'!$C:$C,'community %'!$B$22)),"")</f>
        <v/>
      </c>
      <c r="K26" s="167" t="str">
        <f>IFERROR(SUM(SUMIFS('caseload data'!M:M,'caseload data'!$C:$C,'community %'!$B$22,'caseload data'!$D:$D,"TPO",'caseload data'!$B:$B,{"licence","community"}))/SUM(SUMIFS('caseload data'!M:M,'caseload data'!$B:$B,{"licence","community"},'caseload data'!$C:$C,'community %'!$B$22)),"")</f>
        <v/>
      </c>
      <c r="L26" s="167" t="str">
        <f>IFERROR(SUM(SUMIFS('caseload data'!N:N,'caseload data'!$C:$C,'community %'!$B$22,'caseload data'!$D:$D,"TPO",'caseload data'!$B:$B,{"licence","community"}))/SUM(SUMIFS('caseload data'!N:N,'caseload data'!$B:$B,{"licence","community"},'caseload data'!$C:$C,'community %'!$B$22)),"")</f>
        <v/>
      </c>
      <c r="M26" s="167" t="str">
        <f>IFERROR(SUM(SUMIFS('caseload data'!O:O,'caseload data'!$C:$C,'community %'!$B$22,'caseload data'!$D:$D,"TPO",'caseload data'!$B:$B,{"licence","community"}))/SUM(SUMIFS('caseload data'!O:O,'caseload data'!$B:$B,{"licence","community"},'caseload data'!$C:$C,'community %'!$B$22)),"")</f>
        <v/>
      </c>
      <c r="N26" s="167" t="str">
        <f>IFERROR(SUM(SUMIFS('caseload data'!P:P,'caseload data'!$C:$C,'community %'!$B$22,'caseload data'!$D:$D,"TPO",'caseload data'!$B:$B,{"licence","community"}))/SUM(SUMIFS('caseload data'!P:P,'caseload data'!$B:$B,{"licence","community"},'caseload data'!$C:$C,'community %'!$B$22)),"")</f>
        <v/>
      </c>
      <c r="O26" s="167" t="str">
        <f>IFERROR(SUM(SUMIFS('caseload data'!Q:Q,'caseload data'!$C:$C,'community %'!$B$22,'caseload data'!$D:$D,"TPO",'caseload data'!$B:$B,{"licence","community"}))/SUM(SUMIFS('caseload data'!Q:Q,'caseload data'!$B:$B,{"licence","community"},'caseload data'!$C:$C,'community %'!$B$22)),"")</f>
        <v/>
      </c>
      <c r="P26" s="167" t="str">
        <f>IFERROR(SUM(SUMIFS('caseload data'!R:R,'caseload data'!$C:$C,'community %'!$B$22,'caseload data'!$D:$D,"TPO",'caseload data'!$B:$B,{"licence","community"}))/SUM(SUMIFS('caseload data'!R:R,'caseload data'!$B:$B,{"licence","community"},'caseload data'!$C:$C,'community %'!$B$22)),"")</f>
        <v/>
      </c>
      <c r="Q26" s="167" t="str">
        <f>IFERROR(SUM(SUMIFS('caseload data'!S:S,'caseload data'!$C:$C,'community %'!$B$22,'caseload data'!$D:$D,"TPO",'caseload data'!$B:$B,{"licence","community"}))/SUM(SUMIFS('caseload data'!S:S,'caseload data'!$B:$B,{"licence","community"},'caseload data'!$C:$C,'community %'!$B$22)),"")</f>
        <v/>
      </c>
      <c r="R26" s="167" t="str">
        <f>IFERROR(SUM(SUMIFS('caseload data'!T:T,'caseload data'!$C:$C,'community %'!$B$22,'caseload data'!$D:$D,"TPO",'caseload data'!$B:$B,{"licence","community"}))/SUM(SUMIFS('caseload data'!T:T,'caseload data'!$B:$B,{"licence","community"},'caseload data'!$C:$C,'community %'!$B$22)),"")</f>
        <v/>
      </c>
      <c r="S26" s="64"/>
      <c r="T26" s="97" t="s">
        <v>1008</v>
      </c>
      <c r="U26" s="167" t="str">
        <f>IFERROR(SUM(SUMIFS('caseload data'!E:E,'caseload data'!$C:$C,'community %'!$T$22,'caseload data'!$D:$D,"TPO",'caseload data'!$B:$B,{"licence","community"}))/SUM(SUMIFS('caseload data'!E:E,'caseload data'!$B:$B,{"licence","community"},'caseload data'!$C:$C,'community %'!$T$22)),"")</f>
        <v/>
      </c>
      <c r="V26" s="167" t="str">
        <f>IFERROR(SUM(SUMIFS('caseload data'!F:F,'caseload data'!$C:$C,'community %'!$T$22,'caseload data'!$D:$D,"TPO",'caseload data'!$B:$B,{"licence","community"}))/SUM(SUMIFS('caseload data'!F:F,'caseload data'!$B:$B,{"licence","community"},'caseload data'!$C:$C,'community %'!$T$22)),"")</f>
        <v/>
      </c>
      <c r="W26" s="167" t="str">
        <f>IFERROR(SUM(SUMIFS('caseload data'!G:G,'caseload data'!$C:$C,'community %'!$T$22,'caseload data'!$D:$D,"TPO",'caseload data'!$B:$B,{"licence","community"}))/SUM(SUMIFS('caseload data'!G:G,'caseload data'!$B:$B,{"licence","community"},'caseload data'!$C:$C,'community %'!$T$22)),"")</f>
        <v/>
      </c>
      <c r="X26" s="167" t="str">
        <f>IFERROR(SUM(SUMIFS('caseload data'!H:H,'caseload data'!$C:$C,'community %'!$T$22,'caseload data'!$D:$D,"TPO",'caseload data'!$B:$B,{"licence","community"}))/SUM(SUMIFS('caseload data'!H:H,'caseload data'!$B:$B,{"licence","community"},'caseload data'!$C:$C,'community %'!$T$22)),"")</f>
        <v/>
      </c>
      <c r="Y26" s="167" t="str">
        <f>IFERROR(SUM(SUMIFS('caseload data'!I:I,'caseload data'!$C:$C,'community %'!$T$22,'caseload data'!$D:$D,"TPO",'caseload data'!$B:$B,{"licence","community"}))/SUM(SUMIFS('caseload data'!I:I,'caseload data'!$B:$B,{"licence","community"},'caseload data'!$C:$C,'community %'!$T$22)),"")</f>
        <v/>
      </c>
      <c r="Z26" s="167" t="str">
        <f>IFERROR(SUM(SUMIFS('caseload data'!J:J,'caseload data'!$C:$C,'community %'!$T$22,'caseload data'!$D:$D,"TPO",'caseload data'!$B:$B,{"licence","community"}))/SUM(SUMIFS('caseload data'!J:J,'caseload data'!$B:$B,{"licence","community"},'caseload data'!$C:$C,'community %'!$T$22)),"")</f>
        <v/>
      </c>
      <c r="AA26" s="167" t="str">
        <f>IFERROR(SUM(SUMIFS('caseload data'!K:K,'caseload data'!$C:$C,'community %'!$T$22,'caseload data'!$D:$D,"TPO",'caseload data'!$B:$B,{"licence","community"}))/SUM(SUMIFS('caseload data'!K:K,'caseload data'!$B:$B,{"licence","community"},'caseload data'!$C:$C,'community %'!$T$22)),"")</f>
        <v/>
      </c>
      <c r="AB26" s="167" t="str">
        <f>IFERROR(SUM(SUMIFS('caseload data'!L:L,'caseload data'!$C:$C,'community %'!$T$22,'caseload data'!$D:$D,"TPO",'caseload data'!$B:$B,{"licence","community"}))/SUM(SUMIFS('caseload data'!L:L,'caseload data'!$B:$B,{"licence","community"},'caseload data'!$C:$C,'community %'!$T$22)),"")</f>
        <v/>
      </c>
      <c r="AC26" s="167" t="str">
        <f>IFERROR(SUM(SUMIFS('caseload data'!M:M,'caseload data'!$C:$C,'community %'!$T$22,'caseload data'!$D:$D,"TPO",'caseload data'!$B:$B,{"licence","community"}))/SUM(SUMIFS('caseload data'!M:M,'caseload data'!$B:$B,{"licence","community"},'caseload data'!$C:$C,'community %'!$T$22)),"")</f>
        <v/>
      </c>
      <c r="AD26" s="167" t="str">
        <f>IFERROR(SUM(SUMIFS('caseload data'!N:N,'caseload data'!$C:$C,'community %'!$T$22,'caseload data'!$D:$D,"TPO",'caseload data'!$B:$B,{"licence","community"}))/SUM(SUMIFS('caseload data'!N:N,'caseload data'!$B:$B,{"licence","community"},'caseload data'!$C:$C,'community %'!$T$22)),"")</f>
        <v/>
      </c>
      <c r="AE26" s="167" t="str">
        <f>IFERROR(SUM(SUMIFS('caseload data'!O:O,'caseload data'!$C:$C,'community %'!$T$22,'caseload data'!$D:$D,"TPO",'caseload data'!$B:$B,{"licence","community"}))/SUM(SUMIFS('caseload data'!O:O,'caseload data'!$B:$B,{"licence","community"},'caseload data'!$C:$C,'community %'!$T$22)),"")</f>
        <v/>
      </c>
      <c r="AF26" s="167" t="str">
        <f>IFERROR(SUM(SUMIFS('caseload data'!P:P,'caseload data'!$C:$C,'community %'!$T$22,'caseload data'!$D:$D,"TPO",'caseload data'!$B:$B,{"licence","community"}))/SUM(SUMIFS('caseload data'!P:P,'caseload data'!$B:$B,{"licence","community"},'caseload data'!$C:$C,'community %'!$T$22)),"")</f>
        <v/>
      </c>
      <c r="AG26" s="167" t="str">
        <f>IFERROR(SUM(SUMIFS('caseload data'!Q:Q,'caseload data'!$C:$C,'community %'!$T$22,'caseload data'!$D:$D,"TPO",'caseload data'!$B:$B,{"licence","community"}))/SUM(SUMIFS('caseload data'!Q:Q,'caseload data'!$B:$B,{"licence","community"},'caseload data'!$C:$C,'community %'!$T$22)),"")</f>
        <v/>
      </c>
      <c r="AH26" s="167" t="str">
        <f>IFERROR(SUM(SUMIFS('caseload data'!R:R,'caseload data'!$C:$C,'community %'!$T$22,'caseload data'!$D:$D,"TPO",'caseload data'!$B:$B,{"licence","community"}))/SUM(SUMIFS('caseload data'!R:R,'caseload data'!$B:$B,{"licence","community"},'caseload data'!$C:$C,'community %'!$T$22)),"")</f>
        <v/>
      </c>
      <c r="AI26" s="167" t="str">
        <f>IFERROR(SUM(SUMIFS('caseload data'!S:S,'caseload data'!$C:$C,'community %'!$T$22,'caseload data'!$D:$D,"TPO",'caseload data'!$B:$B,{"licence","community"}))/SUM(SUMIFS('caseload data'!S:S,'caseload data'!$B:$B,{"licence","community"},'caseload data'!$C:$C,'community %'!$T$22)),"")</f>
        <v/>
      </c>
      <c r="AJ26" s="167" t="str">
        <f>IFERROR(SUM(SUMIFS('caseload data'!T:T,'caseload data'!$C:$C,'community %'!$T$22,'caseload data'!$D:$D,"TPO",'caseload data'!$B:$B,{"licence","community"}))/SUM(SUMIFS('caseload data'!T:T,'caseload data'!$B:$B,{"licence","community"},'caseload data'!$C:$C,'community %'!$T$22)),"")</f>
        <v/>
      </c>
    </row>
    <row r="27" spans="2:36" x14ac:dyDescent="0.15">
      <c r="B27" s="98" t="s">
        <v>1009</v>
      </c>
      <c r="C27" s="167" t="str">
        <f>IFERROR(SUM(SUMIFS('caseload data'!E:E,'caseload data'!$C:$C,'community %'!$B$22,'caseload data'!$D:$D,"SPO",'caseload data'!$B:$B,{"licence","community"}))/SUM(SUMIFS('caseload data'!E:E,'caseload data'!$B:$B,{"licence","community"},'caseload data'!$C:$C,'community %'!$B$22)),"")</f>
        <v/>
      </c>
      <c r="D27" s="167" t="str">
        <f>IFERROR(SUM(SUMIFS('caseload data'!F:F,'caseload data'!$C:$C,'community %'!$B$22,'caseload data'!$D:$D,"SPO",'caseload data'!$B:$B,{"licence","community"}))/SUM(SUMIFS('caseload data'!F:F,'caseload data'!$B:$B,{"licence","community"},'caseload data'!$C:$C,'community %'!$B$22)),"")</f>
        <v/>
      </c>
      <c r="E27" s="167" t="str">
        <f>IFERROR(SUM(SUMIFS('caseload data'!G:G,'caseload data'!$C:$C,'community %'!$B$22,'caseload data'!$D:$D,"SPO",'caseload data'!$B:$B,{"licence","community"}))/SUM(SUMIFS('caseload data'!G:G,'caseload data'!$B:$B,{"licence","community"},'caseload data'!$C:$C,'community %'!$B$22)),"")</f>
        <v/>
      </c>
      <c r="F27" s="167" t="str">
        <f>IFERROR(SUM(SUMIFS('caseload data'!H:H,'caseload data'!$C:$C,'community %'!$B$22,'caseload data'!$D:$D,"SPO",'caseload data'!$B:$B,{"licence","community"}))/SUM(SUMIFS('caseload data'!H:H,'caseload data'!$B:$B,{"licence","community"},'caseload data'!$C:$C,'community %'!$B$22)),"")</f>
        <v/>
      </c>
      <c r="G27" s="167" t="str">
        <f>IFERROR(SUM(SUMIFS('caseload data'!I:I,'caseload data'!$C:$C,'community %'!$B$22,'caseload data'!$D:$D,"SPO",'caseload data'!$B:$B,{"licence","community"}))/SUM(SUMIFS('caseload data'!I:I,'caseload data'!$B:$B,{"licence","community"},'caseload data'!$C:$C,'community %'!$B$22)),"")</f>
        <v/>
      </c>
      <c r="H27" s="167" t="str">
        <f>IFERROR(SUM(SUMIFS('caseload data'!J:J,'caseload data'!$C:$C,'community %'!$B$22,'caseload data'!$D:$D,"SPO",'caseload data'!$B:$B,{"licence","community"}))/SUM(SUMIFS('caseload data'!J:J,'caseload data'!$B:$B,{"licence","community"},'caseload data'!$C:$C,'community %'!$B$22)),"")</f>
        <v/>
      </c>
      <c r="I27" s="167" t="str">
        <f>IFERROR(SUM(SUMIFS('caseload data'!K:K,'caseload data'!$C:$C,'community %'!$B$22,'caseload data'!$D:$D,"SPO",'caseload data'!$B:$B,{"licence","community"}))/SUM(SUMIFS('caseload data'!K:K,'caseload data'!$B:$B,{"licence","community"},'caseload data'!$C:$C,'community %'!$B$22)),"")</f>
        <v/>
      </c>
      <c r="J27" s="167" t="str">
        <f>IFERROR(SUM(SUMIFS('caseload data'!L:L,'caseload data'!$C:$C,'community %'!$B$22,'caseload data'!$D:$D,"SPO",'caseload data'!$B:$B,{"licence","community"}))/SUM(SUMIFS('caseload data'!L:L,'caseload data'!$B:$B,{"licence","community"},'caseload data'!$C:$C,'community %'!$B$22)),"")</f>
        <v/>
      </c>
      <c r="K27" s="167" t="str">
        <f>IFERROR(SUM(SUMIFS('caseload data'!M:M,'caseload data'!$C:$C,'community %'!$B$22,'caseload data'!$D:$D,"SPO",'caseload data'!$B:$B,{"licence","community"}))/SUM(SUMIFS('caseload data'!M:M,'caseload data'!$B:$B,{"licence","community"},'caseload data'!$C:$C,'community %'!$B$22)),"")</f>
        <v/>
      </c>
      <c r="L27" s="167" t="str">
        <f>IFERROR(SUM(SUMIFS('caseload data'!N:N,'caseload data'!$C:$C,'community %'!$B$22,'caseload data'!$D:$D,"SPO",'caseload data'!$B:$B,{"licence","community"}))/SUM(SUMIFS('caseload data'!N:N,'caseload data'!$B:$B,{"licence","community"},'caseload data'!$C:$C,'community %'!$B$22)),"")</f>
        <v/>
      </c>
      <c r="M27" s="167" t="str">
        <f>IFERROR(SUM(SUMIFS('caseload data'!O:O,'caseload data'!$C:$C,'community %'!$B$22,'caseload data'!$D:$D,"SPO",'caseload data'!$B:$B,{"licence","community"}))/SUM(SUMIFS('caseload data'!O:O,'caseload data'!$B:$B,{"licence","community"},'caseload data'!$C:$C,'community %'!$B$22)),"")</f>
        <v/>
      </c>
      <c r="N27" s="167" t="str">
        <f>IFERROR(SUM(SUMIFS('caseload data'!P:P,'caseload data'!$C:$C,'community %'!$B$22,'caseload data'!$D:$D,"SPO",'caseload data'!$B:$B,{"licence","community"}))/SUM(SUMIFS('caseload data'!P:P,'caseload data'!$B:$B,{"licence","community"},'caseload data'!$C:$C,'community %'!$B$22)),"")</f>
        <v/>
      </c>
      <c r="O27" s="167" t="str">
        <f>IFERROR(SUM(SUMIFS('caseload data'!Q:Q,'caseload data'!$C:$C,'community %'!$B$22,'caseload data'!$D:$D,"SPO",'caseload data'!$B:$B,{"licence","community"}))/SUM(SUMIFS('caseload data'!Q:Q,'caseload data'!$B:$B,{"licence","community"},'caseload data'!$C:$C,'community %'!$B$22)),"")</f>
        <v/>
      </c>
      <c r="P27" s="167" t="str">
        <f>IFERROR(SUM(SUMIFS('caseload data'!R:R,'caseload data'!$C:$C,'community %'!$B$22,'caseload data'!$D:$D,"SPO",'caseload data'!$B:$B,{"licence","community"}))/SUM(SUMIFS('caseload data'!R:R,'caseload data'!$B:$B,{"licence","community"},'caseload data'!$C:$C,'community %'!$B$22)),"")</f>
        <v/>
      </c>
      <c r="Q27" s="167" t="str">
        <f>IFERROR(SUM(SUMIFS('caseload data'!S:S,'caseload data'!$C:$C,'community %'!$B$22,'caseload data'!$D:$D,"SPO",'caseload data'!$B:$B,{"licence","community"}))/SUM(SUMIFS('caseload data'!S:S,'caseload data'!$B:$B,{"licence","community"},'caseload data'!$C:$C,'community %'!$B$22)),"")</f>
        <v/>
      </c>
      <c r="R27" s="167" t="str">
        <f>IFERROR(SUM(SUMIFS('caseload data'!T:T,'caseload data'!$C:$C,'community %'!$B$22,'caseload data'!$D:$D,"SPO",'caseload data'!$B:$B,{"licence","community"}))/SUM(SUMIFS('caseload data'!T:T,'caseload data'!$B:$B,{"licence","community"},'caseload data'!$C:$C,'community %'!$B$22)),"")</f>
        <v/>
      </c>
      <c r="S27" s="64"/>
      <c r="T27" s="98" t="s">
        <v>1009</v>
      </c>
      <c r="U27" s="167" t="str">
        <f>IFERROR(SUM(SUMIFS('caseload data'!E:E,'caseload data'!$C:$C,'community %'!$T$22,'caseload data'!$D:$D,"SPO",'caseload data'!$B:$B,{"licence","community"}))/SUM(SUMIFS('caseload data'!E:E,'caseload data'!$B:$B,{"licence","community"},'caseload data'!$C:$C,'community %'!$T$22)),"")</f>
        <v/>
      </c>
      <c r="V27" s="167" t="str">
        <f>IFERROR(SUM(SUMIFS('caseload data'!F:F,'caseload data'!$C:$C,'community %'!$T$22,'caseload data'!$D:$D,"SPO",'caseload data'!$B:$B,{"licence","community"}))/SUM(SUMIFS('caseload data'!F:F,'caseload data'!$B:$B,{"licence","community"},'caseload data'!$C:$C,'community %'!$T$22)),"")</f>
        <v/>
      </c>
      <c r="W27" s="167" t="str">
        <f>IFERROR(SUM(SUMIFS('caseload data'!G:G,'caseload data'!$C:$C,'community %'!$T$22,'caseload data'!$D:$D,"SPO",'caseload data'!$B:$B,{"licence","community"}))/SUM(SUMIFS('caseload data'!G:G,'caseload data'!$B:$B,{"licence","community"},'caseload data'!$C:$C,'community %'!$T$22)),"")</f>
        <v/>
      </c>
      <c r="X27" s="167" t="str">
        <f>IFERROR(SUM(SUMIFS('caseload data'!H:H,'caseload data'!$C:$C,'community %'!$T$22,'caseload data'!$D:$D,"SPO",'caseload data'!$B:$B,{"licence","community"}))/SUM(SUMIFS('caseload data'!H:H,'caseload data'!$B:$B,{"licence","community"},'caseload data'!$C:$C,'community %'!$T$22)),"")</f>
        <v/>
      </c>
      <c r="Y27" s="167" t="str">
        <f>IFERROR(SUM(SUMIFS('caseload data'!I:I,'caseload data'!$C:$C,'community %'!$T$22,'caseload data'!$D:$D,"SPO",'caseload data'!$B:$B,{"licence","community"}))/SUM(SUMIFS('caseload data'!I:I,'caseload data'!$B:$B,{"licence","community"},'caseload data'!$C:$C,'community %'!$T$22)),"")</f>
        <v/>
      </c>
      <c r="Z27" s="167" t="str">
        <f>IFERROR(SUM(SUMIFS('caseload data'!J:J,'caseload data'!$C:$C,'community %'!$T$22,'caseload data'!$D:$D,"SPO",'caseload data'!$B:$B,{"licence","community"}))/SUM(SUMIFS('caseload data'!J:J,'caseload data'!$B:$B,{"licence","community"},'caseload data'!$C:$C,'community %'!$T$22)),"")</f>
        <v/>
      </c>
      <c r="AA27" s="167" t="str">
        <f>IFERROR(SUM(SUMIFS('caseload data'!K:K,'caseload data'!$C:$C,'community %'!$T$22,'caseload data'!$D:$D,"SPO",'caseload data'!$B:$B,{"licence","community"}))/SUM(SUMIFS('caseload data'!K:K,'caseload data'!$B:$B,{"licence","community"},'caseload data'!$C:$C,'community %'!$T$22)),"")</f>
        <v/>
      </c>
      <c r="AB27" s="167" t="str">
        <f>IFERROR(SUM(SUMIFS('caseload data'!L:L,'caseload data'!$C:$C,'community %'!$T$22,'caseload data'!$D:$D,"SPO",'caseload data'!$B:$B,{"licence","community"}))/SUM(SUMIFS('caseload data'!L:L,'caseload data'!$B:$B,{"licence","community"},'caseload data'!$C:$C,'community %'!$T$22)),"")</f>
        <v/>
      </c>
      <c r="AC27" s="167" t="str">
        <f>IFERROR(SUM(SUMIFS('caseload data'!M:M,'caseload data'!$C:$C,'community %'!$T$22,'caseload data'!$D:$D,"SPO",'caseload data'!$B:$B,{"licence","community"}))/SUM(SUMIFS('caseload data'!M:M,'caseload data'!$B:$B,{"licence","community"},'caseload data'!$C:$C,'community %'!$T$22)),"")</f>
        <v/>
      </c>
      <c r="AD27" s="167" t="str">
        <f>IFERROR(SUM(SUMIFS('caseload data'!N:N,'caseload data'!$C:$C,'community %'!$T$22,'caseload data'!$D:$D,"SPO",'caseload data'!$B:$B,{"licence","community"}))/SUM(SUMIFS('caseload data'!N:N,'caseload data'!$B:$B,{"licence","community"},'caseload data'!$C:$C,'community %'!$T$22)),"")</f>
        <v/>
      </c>
      <c r="AE27" s="167" t="str">
        <f>IFERROR(SUM(SUMIFS('caseload data'!O:O,'caseload data'!$C:$C,'community %'!$T$22,'caseload data'!$D:$D,"SPO",'caseload data'!$B:$B,{"licence","community"}))/SUM(SUMIFS('caseload data'!O:O,'caseload data'!$B:$B,{"licence","community"},'caseload data'!$C:$C,'community %'!$T$22)),"")</f>
        <v/>
      </c>
      <c r="AF27" s="167" t="str">
        <f>IFERROR(SUM(SUMIFS('caseload data'!P:P,'caseload data'!$C:$C,'community %'!$T$22,'caseload data'!$D:$D,"SPO",'caseload data'!$B:$B,{"licence","community"}))/SUM(SUMIFS('caseload data'!P:P,'caseload data'!$B:$B,{"licence","community"},'caseload data'!$C:$C,'community %'!$T$22)),"")</f>
        <v/>
      </c>
      <c r="AG27" s="167" t="str">
        <f>IFERROR(SUM(SUMIFS('caseload data'!Q:Q,'caseload data'!$C:$C,'community %'!$T$22,'caseload data'!$D:$D,"SPO",'caseload data'!$B:$B,{"licence","community"}))/SUM(SUMIFS('caseload data'!Q:Q,'caseload data'!$B:$B,{"licence","community"},'caseload data'!$C:$C,'community %'!$T$22)),"")</f>
        <v/>
      </c>
      <c r="AH27" s="167" t="str">
        <f>IFERROR(SUM(SUMIFS('caseload data'!R:R,'caseload data'!$C:$C,'community %'!$T$22,'caseload data'!$D:$D,"SPO",'caseload data'!$B:$B,{"licence","community"}))/SUM(SUMIFS('caseload data'!R:R,'caseload data'!$B:$B,{"licence","community"},'caseload data'!$C:$C,'community %'!$T$22)),"")</f>
        <v/>
      </c>
      <c r="AI27" s="167" t="str">
        <f>IFERROR(SUM(SUMIFS('caseload data'!S:S,'caseload data'!$C:$C,'community %'!$T$22,'caseload data'!$D:$D,"SPO",'caseload data'!$B:$B,{"licence","community"}))/SUM(SUMIFS('caseload data'!S:S,'caseload data'!$B:$B,{"licence","community"},'caseload data'!$C:$C,'community %'!$T$22)),"")</f>
        <v/>
      </c>
      <c r="AJ27" s="167" t="str">
        <f>IFERROR(SUM(SUMIFS('caseload data'!T:T,'caseload data'!$C:$C,'community %'!$T$22,'caseload data'!$D:$D,"SPO",'caseload data'!$B:$B,{"licence","community"}))/SUM(SUMIFS('caseload data'!T:T,'caseload data'!$B:$B,{"licence","community"},'caseload data'!$C:$C,'community %'!$T$22)),"")</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7.75" customHeight="1" x14ac:dyDescent="0.15">
      <c r="B29" s="289" t="str">
        <f>HLOOKUP($B$5,Region_Table,8,0)</f>
        <v>Nottinghamshire - N53</v>
      </c>
      <c r="C29" s="507" t="s">
        <v>1139</v>
      </c>
      <c r="D29" s="508"/>
      <c r="E29" s="508"/>
      <c r="F29" s="508"/>
      <c r="G29" s="508"/>
      <c r="H29" s="508"/>
      <c r="I29" s="508"/>
      <c r="J29" s="508"/>
      <c r="K29" s="508"/>
      <c r="L29" s="508"/>
      <c r="M29" s="537"/>
      <c r="N29" s="537"/>
      <c r="O29" s="538"/>
      <c r="P29" s="510" cm="1">
        <f t="array" ref="P29">SUM(SUMIFS('caseload data'!V:V,'caseload data'!B:B,{"licence","community"},'caseload data'!$C:$C,B29))</f>
        <v>0</v>
      </c>
      <c r="Q29" s="527"/>
      <c r="R29" s="528"/>
      <c r="S29" s="64"/>
      <c r="T29" s="289" t="str">
        <f>HLOOKUP($B$5,Region_Table,9,0)</f>
        <v>Unpaid Work and Attendance Centres - N53</v>
      </c>
      <c r="U29" s="507" t="s">
        <v>1139</v>
      </c>
      <c r="V29" s="508"/>
      <c r="W29" s="508"/>
      <c r="X29" s="508"/>
      <c r="Y29" s="508"/>
      <c r="Z29" s="508"/>
      <c r="AA29" s="508"/>
      <c r="AB29" s="508"/>
      <c r="AC29" s="508"/>
      <c r="AD29" s="508"/>
      <c r="AE29" s="537"/>
      <c r="AF29" s="537"/>
      <c r="AG29" s="538"/>
      <c r="AH29" s="510" cm="1">
        <f t="array" ref="AH29">SUM(SUMIFS('caseload data'!V:V,'caseload data'!B:B,{"licence","community"},'caseload data'!$C:$C,T29))</f>
        <v>0</v>
      </c>
      <c r="AI29" s="527"/>
      <c r="AJ29" s="528"/>
    </row>
    <row r="30" spans="2:36" x14ac:dyDescent="0.15">
      <c r="B30" s="95" t="s">
        <v>1005</v>
      </c>
      <c r="C30" s="38" t="s">
        <v>869</v>
      </c>
      <c r="D30" s="38" t="s">
        <v>870</v>
      </c>
      <c r="E30" s="38" t="s">
        <v>871</v>
      </c>
      <c r="F30" s="38" t="s">
        <v>872</v>
      </c>
      <c r="G30" s="38" t="s">
        <v>873</v>
      </c>
      <c r="H30" s="38" t="s">
        <v>874</v>
      </c>
      <c r="I30" s="38" t="s">
        <v>875</v>
      </c>
      <c r="J30" s="38" t="s">
        <v>876</v>
      </c>
      <c r="K30" s="38" t="s">
        <v>877</v>
      </c>
      <c r="L30" s="38" t="s">
        <v>878</v>
      </c>
      <c r="M30" s="38" t="s">
        <v>879</v>
      </c>
      <c r="N30" s="38" t="s">
        <v>880</v>
      </c>
      <c r="O30" s="38" t="s">
        <v>881</v>
      </c>
      <c r="P30" s="38" t="s">
        <v>882</v>
      </c>
      <c r="Q30" s="38" t="s">
        <v>883</v>
      </c>
      <c r="R30" s="38" t="s">
        <v>884</v>
      </c>
      <c r="S30" s="64"/>
      <c r="T30" s="95" t="s">
        <v>1005</v>
      </c>
      <c r="U30" s="38" t="s">
        <v>869</v>
      </c>
      <c r="V30" s="38" t="s">
        <v>870</v>
      </c>
      <c r="W30" s="38" t="s">
        <v>871</v>
      </c>
      <c r="X30" s="38" t="s">
        <v>872</v>
      </c>
      <c r="Y30" s="38" t="s">
        <v>873</v>
      </c>
      <c r="Z30" s="38" t="s">
        <v>874</v>
      </c>
      <c r="AA30" s="38" t="s">
        <v>875</v>
      </c>
      <c r="AB30" s="38" t="s">
        <v>876</v>
      </c>
      <c r="AC30" s="38" t="s">
        <v>877</v>
      </c>
      <c r="AD30" s="38" t="s">
        <v>878</v>
      </c>
      <c r="AE30" s="38" t="s">
        <v>879</v>
      </c>
      <c r="AF30" s="38" t="s">
        <v>880</v>
      </c>
      <c r="AG30" s="38" t="s">
        <v>881</v>
      </c>
      <c r="AH30" s="38" t="s">
        <v>882</v>
      </c>
      <c r="AI30" s="38" t="s">
        <v>883</v>
      </c>
      <c r="AJ30" s="38" t="s">
        <v>884</v>
      </c>
    </row>
    <row r="31" spans="2:36" x14ac:dyDescent="0.15">
      <c r="B31" s="96" t="s">
        <v>1002</v>
      </c>
      <c r="C31" s="167" t="str">
        <f>IFERROR(SUM(SUMIFS('caseload data'!E:E,'caseload data'!$C:$C,'community %'!$B$29,'caseload data'!$D:$D,"PO",'caseload data'!$B:$B,{"licence","community"}))/SUM(SUMIFS('caseload data'!E:E,'caseload data'!$B:$B,{"licence","community"},'caseload data'!$C:$C,'community %'!$B$29)),"")</f>
        <v/>
      </c>
      <c r="D31" s="167" t="str">
        <f>IFERROR(SUM(SUMIFS('caseload data'!F:F,'caseload data'!$C:$C,'community %'!$B$29,'caseload data'!$D:$D,"PO",'caseload data'!$B:$B,{"licence","community"}))/SUM(SUMIFS('caseload data'!F:F,'caseload data'!$B:$B,{"licence","community"},'caseload data'!$C:$C,'community %'!$B$29)),"")</f>
        <v/>
      </c>
      <c r="E31" s="167" t="str">
        <f>IFERROR(SUM(SUMIFS('caseload data'!G:G,'caseload data'!$C:$C,'community %'!$B$29,'caseload data'!$D:$D,"PO",'caseload data'!$B:$B,{"licence","community"}))/SUM(SUMIFS('caseload data'!G:G,'caseload data'!$B:$B,{"licence","community"},'caseload data'!$C:$C,'community %'!$B$29)),"")</f>
        <v/>
      </c>
      <c r="F31" s="167" t="str">
        <f>IFERROR(SUM(SUMIFS('caseload data'!H:H,'caseload data'!$C:$C,'community %'!$B$29,'caseload data'!$D:$D,"PO",'caseload data'!$B:$B,{"licence","community"}))/SUM(SUMIFS('caseload data'!H:H,'caseload data'!$B:$B,{"licence","community"},'caseload data'!$C:$C,'community %'!$B$29)),"")</f>
        <v/>
      </c>
      <c r="G31" s="167" t="str">
        <f>IFERROR(SUM(SUMIFS('caseload data'!I:I,'caseload data'!$C:$C,'community %'!$B$29,'caseload data'!$D:$D,"PO",'caseload data'!$B:$B,{"licence","community"}))/SUM(SUMIFS('caseload data'!I:I,'caseload data'!$B:$B,{"licence","community"},'caseload data'!$C:$C,'community %'!$B$29)),"")</f>
        <v/>
      </c>
      <c r="H31" s="167" t="str">
        <f>IFERROR(SUM(SUMIFS('caseload data'!J:J,'caseload data'!$C:$C,'community %'!$B$29,'caseload data'!$D:$D,"PO",'caseload data'!$B:$B,{"licence","community"}))/SUM(SUMIFS('caseload data'!J:J,'caseload data'!$B:$B,{"licence","community"},'caseload data'!$C:$C,'community %'!$B$29)),"")</f>
        <v/>
      </c>
      <c r="I31" s="167" t="str">
        <f>IFERROR(SUM(SUMIFS('caseload data'!K:K,'caseload data'!$C:$C,'community %'!$B$29,'caseload data'!$D:$D,"PO",'caseload data'!$B:$B,{"licence","community"}))/SUM(SUMIFS('caseload data'!K:K,'caseload data'!$B:$B,{"licence","community"},'caseload data'!$C:$C,'community %'!$B$29)),"")</f>
        <v/>
      </c>
      <c r="J31" s="167" t="str">
        <f>IFERROR(SUM(SUMIFS('caseload data'!L:L,'caseload data'!$C:$C,'community %'!$B$29,'caseload data'!$D:$D,"PO",'caseload data'!$B:$B,{"licence","community"}))/SUM(SUMIFS('caseload data'!L:L,'caseload data'!$B:$B,{"licence","community"},'caseload data'!$C:$C,'community %'!$B$29)),"")</f>
        <v/>
      </c>
      <c r="K31" s="167" t="str">
        <f>IFERROR(SUM(SUMIFS('caseload data'!M:M,'caseload data'!$C:$C,'community %'!$B$29,'caseload data'!$D:$D,"PO",'caseload data'!$B:$B,{"licence","community"}))/SUM(SUMIFS('caseload data'!M:M,'caseload data'!$B:$B,{"licence","community"},'caseload data'!$C:$C,'community %'!$B$29)),"")</f>
        <v/>
      </c>
      <c r="L31" s="167" t="str">
        <f>IFERROR(SUM(SUMIFS('caseload data'!N:N,'caseload data'!$C:$C,'community %'!$B$29,'caseload data'!$D:$D,"PO",'caseload data'!$B:$B,{"licence","community"}))/SUM(SUMIFS('caseload data'!N:N,'caseload data'!$B:$B,{"licence","community"},'caseload data'!$C:$C,'community %'!$B$29)),"")</f>
        <v/>
      </c>
      <c r="M31" s="167" t="str">
        <f>IFERROR(SUM(SUMIFS('caseload data'!O:O,'caseload data'!$C:$C,'community %'!$B$29,'caseload data'!$D:$D,"PO",'caseload data'!$B:$B,{"licence","community"}))/SUM(SUMIFS('caseload data'!O:O,'caseload data'!$B:$B,{"licence","community"},'caseload data'!$C:$C,'community %'!$B$29)),"")</f>
        <v/>
      </c>
      <c r="N31" s="167" t="str">
        <f>IFERROR(SUM(SUMIFS('caseload data'!P:P,'caseload data'!$C:$C,'community %'!$B$29,'caseload data'!$D:$D,"PO",'caseload data'!$B:$B,{"licence","community"}))/SUM(SUMIFS('caseload data'!P:P,'caseload data'!$B:$B,{"licence","community"},'caseload data'!$C:$C,'community %'!$B$29)),"")</f>
        <v/>
      </c>
      <c r="O31" s="167" t="str">
        <f>IFERROR(SUM(SUMIFS('caseload data'!Q:Q,'caseload data'!$C:$C,'community %'!$B$29,'caseload data'!$D:$D,"PO",'caseload data'!$B:$B,{"licence","community"}))/SUM(SUMIFS('caseload data'!Q:Q,'caseload data'!$B:$B,{"licence","community"},'caseload data'!$C:$C,'community %'!$B$29)),"")</f>
        <v/>
      </c>
      <c r="P31" s="167" t="str">
        <f>IFERROR(SUM(SUMIFS('caseload data'!R:R,'caseload data'!$C:$C,'community %'!$B$29,'caseload data'!$D:$D,"PO",'caseload data'!$B:$B,{"licence","community"}))/SUM(SUMIFS('caseload data'!R:R,'caseload data'!$B:$B,{"licence","community"},'caseload data'!$C:$C,'community %'!$B$29)),"")</f>
        <v/>
      </c>
      <c r="Q31" s="167" t="str">
        <f>IFERROR(SUM(SUMIFS('caseload data'!S:S,'caseload data'!$C:$C,'community %'!$B$29,'caseload data'!$D:$D,"PO",'caseload data'!$B:$B,{"licence","community"}))/SUM(SUMIFS('caseload data'!S:S,'caseload data'!$B:$B,{"licence","community"},'caseload data'!$C:$C,'community %'!$B$29)),"")</f>
        <v/>
      </c>
      <c r="R31" s="167" t="str">
        <f>IFERROR(SUM(SUMIFS('caseload data'!T:T,'caseload data'!$C:$C,'community %'!$B$29,'caseload data'!$D:$D,"PO",'caseload data'!$B:$B,{"licence","community"}))/SUM(SUMIFS('caseload data'!T:T,'caseload data'!$B:$B,{"licence","community"},'caseload data'!$C:$C,'community %'!$B$29)),"")</f>
        <v/>
      </c>
      <c r="S31" s="64"/>
      <c r="T31" s="96" t="s">
        <v>1002</v>
      </c>
      <c r="U31" s="167" t="str">
        <f>IFERROR(SUM(SUMIFS('caseload data'!E:E,'caseload data'!$C:$C,'community %'!$T$29,'caseload data'!$D:$D,"PO",'caseload data'!$B:$B,{"licence","community"}))/SUM(SUMIFS('caseload data'!E:E,'caseload data'!$B:$B,{"licence","community"},'caseload data'!$C:$C,'community %'!$T$29)),"")</f>
        <v/>
      </c>
      <c r="V31" s="167" t="str">
        <f>IFERROR(SUM(SUMIFS('caseload data'!F:F,'caseload data'!$C:$C,'community %'!$T$29,'caseload data'!$D:$D,"PO",'caseload data'!$B:$B,{"licence","community"}))/SUM(SUMIFS('caseload data'!F:F,'caseload data'!$B:$B,{"licence","community"},'caseload data'!$C:$C,'community %'!$T$29)),"")</f>
        <v/>
      </c>
      <c r="W31" s="167" t="str">
        <f>IFERROR(SUM(SUMIFS('caseload data'!G:G,'caseload data'!$C:$C,'community %'!$T$29,'caseload data'!$D:$D,"PO",'caseload data'!$B:$B,{"licence","community"}))/SUM(SUMIFS('caseload data'!G:G,'caseload data'!$B:$B,{"licence","community"},'caseload data'!$C:$C,'community %'!$T$29)),"")</f>
        <v/>
      </c>
      <c r="X31" s="167" t="str">
        <f>IFERROR(SUM(SUMIFS('caseload data'!H:H,'caseload data'!$C:$C,'community %'!$T$29,'caseload data'!$D:$D,"PO",'caseload data'!$B:$B,{"licence","community"}))/SUM(SUMIFS('caseload data'!H:H,'caseload data'!$B:$B,{"licence","community"},'caseload data'!$C:$C,'community %'!$T$29)),"")</f>
        <v/>
      </c>
      <c r="Y31" s="167" t="str">
        <f>IFERROR(SUM(SUMIFS('caseload data'!I:I,'caseload data'!$C:$C,'community %'!$T$29,'caseload data'!$D:$D,"PO",'caseload data'!$B:$B,{"licence","community"}))/SUM(SUMIFS('caseload data'!I:I,'caseload data'!$B:$B,{"licence","community"},'caseload data'!$C:$C,'community %'!$T$29)),"")</f>
        <v/>
      </c>
      <c r="Z31" s="167" t="str">
        <f>IFERROR(SUM(SUMIFS('caseload data'!J:J,'caseload data'!$C:$C,'community %'!$T$29,'caseload data'!$D:$D,"PO",'caseload data'!$B:$B,{"licence","community"}))/SUM(SUMIFS('caseload data'!J:J,'caseload data'!$B:$B,{"licence","community"},'caseload data'!$C:$C,'community %'!$T$29)),"")</f>
        <v/>
      </c>
      <c r="AA31" s="167" t="str">
        <f>IFERROR(SUM(SUMIFS('caseload data'!K:K,'caseload data'!$C:$C,'community %'!$T$29,'caseload data'!$D:$D,"PO",'caseload data'!$B:$B,{"licence","community"}))/SUM(SUMIFS('caseload data'!K:K,'caseload data'!$B:$B,{"licence","community"},'caseload data'!$C:$C,'community %'!$T$29)),"")</f>
        <v/>
      </c>
      <c r="AB31" s="167" t="str">
        <f>IFERROR(SUM(SUMIFS('caseload data'!L:L,'caseload data'!$C:$C,'community %'!$T$29,'caseload data'!$D:$D,"PO",'caseload data'!$B:$B,{"licence","community"}))/SUM(SUMIFS('caseload data'!L:L,'caseload data'!$B:$B,{"licence","community"},'caseload data'!$C:$C,'community %'!$T$29)),"")</f>
        <v/>
      </c>
      <c r="AC31" s="167" t="str">
        <f>IFERROR(SUM(SUMIFS('caseload data'!M:M,'caseload data'!$C:$C,'community %'!$T$29,'caseload data'!$D:$D,"PO",'caseload data'!$B:$B,{"licence","community"}))/SUM(SUMIFS('caseload data'!M:M,'caseload data'!$B:$B,{"licence","community"},'caseload data'!$C:$C,'community %'!$T$29)),"")</f>
        <v/>
      </c>
      <c r="AD31" s="167" t="str">
        <f>IFERROR(SUM(SUMIFS('caseload data'!N:N,'caseload data'!$C:$C,'community %'!$T$29,'caseload data'!$D:$D,"PO",'caseload data'!$B:$B,{"licence","community"}))/SUM(SUMIFS('caseload data'!N:N,'caseload data'!$B:$B,{"licence","community"},'caseload data'!$C:$C,'community %'!$T$29)),"")</f>
        <v/>
      </c>
      <c r="AE31" s="167" t="str">
        <f>IFERROR(SUM(SUMIFS('caseload data'!O:O,'caseload data'!$C:$C,'community %'!$T$29,'caseload data'!$D:$D,"PO",'caseload data'!$B:$B,{"licence","community"}))/SUM(SUMIFS('caseload data'!O:O,'caseload data'!$B:$B,{"licence","community"},'caseload data'!$C:$C,'community %'!$T$29)),"")</f>
        <v/>
      </c>
      <c r="AF31" s="167" t="str">
        <f>IFERROR(SUM(SUMIFS('caseload data'!P:P,'caseload data'!$C:$C,'community %'!$T$29,'caseload data'!$D:$D,"PO",'caseload data'!$B:$B,{"licence","community"}))/SUM(SUMIFS('caseload data'!P:P,'caseload data'!$B:$B,{"licence","community"},'caseload data'!$C:$C,'community %'!$T$29)),"")</f>
        <v/>
      </c>
      <c r="AG31" s="167" t="str">
        <f>IFERROR(SUM(SUMIFS('caseload data'!Q:Q,'caseload data'!$C:$C,'community %'!$T$29,'caseload data'!$D:$D,"PO",'caseload data'!$B:$B,{"licence","community"}))/SUM(SUMIFS('caseload data'!Q:Q,'caseload data'!$B:$B,{"licence","community"},'caseload data'!$C:$C,'community %'!$T$29)),"")</f>
        <v/>
      </c>
      <c r="AH31" s="167" t="str">
        <f>IFERROR(SUM(SUMIFS('caseload data'!R:R,'caseload data'!$C:$C,'community %'!$T$29,'caseload data'!$D:$D,"PO",'caseload data'!$B:$B,{"licence","community"}))/SUM(SUMIFS('caseload data'!R:R,'caseload data'!$B:$B,{"licence","community"},'caseload data'!$C:$C,'community %'!$T$29)),"")</f>
        <v/>
      </c>
      <c r="AI31" s="167" t="str">
        <f>IFERROR(SUM(SUMIFS('caseload data'!S:S,'caseload data'!$C:$C,'community %'!$T$29,'caseload data'!$D:$D,"PO",'caseload data'!$B:$B,{"licence","community"}))/SUM(SUMIFS('caseload data'!S:S,'caseload data'!$B:$B,{"licence","community"},'caseload data'!$C:$C,'community %'!$T$29)),"")</f>
        <v/>
      </c>
      <c r="AJ31" s="167" t="str">
        <f>IFERROR(SUM(SUMIFS('caseload data'!T:T,'caseload data'!$C:$C,'community %'!$T$29,'caseload data'!$D:$D,"PO",'caseload data'!$B:$B,{"licence","community"}))/SUM(SUMIFS('caseload data'!T:T,'caseload data'!$B:$B,{"licence","community"},'caseload data'!$C:$C,'community %'!$T$29)),"")</f>
        <v/>
      </c>
    </row>
    <row r="32" spans="2:36" x14ac:dyDescent="0.15">
      <c r="B32" s="97" t="s">
        <v>1007</v>
      </c>
      <c r="C32" s="167" t="str">
        <f>IFERROR(SUM(SUMIFS('caseload data'!E:E,'caseload data'!$C:$C,'community %'!$B$29,'caseload data'!$D:$D,"PSO",'caseload data'!$B:$B,{"licence","community"}))/SUM(SUMIFS('caseload data'!E:E,'caseload data'!$B:$B,{"licence","community"},'caseload data'!$C:$C,'community %'!$B$29)),"")</f>
        <v/>
      </c>
      <c r="D32" s="167" t="str">
        <f>IFERROR(SUM(SUMIFS('caseload data'!F:F,'caseload data'!$C:$C,'community %'!$B$29,'caseload data'!$D:$D,"PSO",'caseload data'!$B:$B,{"licence","community"}))/SUM(SUMIFS('caseload data'!F:F,'caseload data'!$B:$B,{"licence","community"},'caseload data'!$C:$C,'community %'!$B$29)),"")</f>
        <v/>
      </c>
      <c r="E32" s="167" t="str">
        <f>IFERROR(SUM(SUMIFS('caseload data'!G:G,'caseload data'!$C:$C,'community %'!$B$29,'caseload data'!$D:$D,"PSO",'caseload data'!$B:$B,{"licence","community"}))/SUM(SUMIFS('caseload data'!G:G,'caseload data'!$B:$B,{"licence","community"},'caseload data'!$C:$C,'community %'!$B$29)),"")</f>
        <v/>
      </c>
      <c r="F32" s="167" t="str">
        <f>IFERROR(SUM(SUMIFS('caseload data'!H:H,'caseload data'!$C:$C,'community %'!$B$29,'caseload data'!$D:$D,"PSO",'caseload data'!$B:$B,{"licence","community"}))/SUM(SUMIFS('caseload data'!H:H,'caseload data'!$B:$B,{"licence","community"},'caseload data'!$C:$C,'community %'!$B$29)),"")</f>
        <v/>
      </c>
      <c r="G32" s="167" t="str">
        <f>IFERROR(SUM(SUMIFS('caseload data'!I:I,'caseload data'!$C:$C,'community %'!$B$29,'caseload data'!$D:$D,"PSO",'caseload data'!$B:$B,{"licence","community"}))/SUM(SUMIFS('caseload data'!I:I,'caseload data'!$B:$B,{"licence","community"},'caseload data'!$C:$C,'community %'!$B$29)),"")</f>
        <v/>
      </c>
      <c r="H32" s="167" t="str">
        <f>IFERROR(SUM(SUMIFS('caseload data'!J:J,'caseload data'!$C:$C,'community %'!$B$29,'caseload data'!$D:$D,"PSO",'caseload data'!$B:$B,{"licence","community"}))/SUM(SUMIFS('caseload data'!J:J,'caseload data'!$B:$B,{"licence","community"},'caseload data'!$C:$C,'community %'!$B$29)),"")</f>
        <v/>
      </c>
      <c r="I32" s="167" t="str">
        <f>IFERROR(SUM(SUMIFS('caseload data'!K:K,'caseload data'!$C:$C,'community %'!$B$29,'caseload data'!$D:$D,"PSO",'caseload data'!$B:$B,{"licence","community"}))/SUM(SUMIFS('caseload data'!K:K,'caseload data'!$B:$B,{"licence","community"},'caseload data'!$C:$C,'community %'!$B$29)),"")</f>
        <v/>
      </c>
      <c r="J32" s="167" t="str">
        <f>IFERROR(SUM(SUMIFS('caseload data'!L:L,'caseload data'!$C:$C,'community %'!$B$29,'caseload data'!$D:$D,"PSO",'caseload data'!$B:$B,{"licence","community"}))/SUM(SUMIFS('caseload data'!L:L,'caseload data'!$B:$B,{"licence","community"},'caseload data'!$C:$C,'community %'!$B$29)),"")</f>
        <v/>
      </c>
      <c r="K32" s="167" t="str">
        <f>IFERROR(SUM(SUMIFS('caseload data'!M:M,'caseload data'!$C:$C,'community %'!$B$29,'caseload data'!$D:$D,"PSO",'caseload data'!$B:$B,{"licence","community"}))/SUM(SUMIFS('caseload data'!M:M,'caseload data'!$B:$B,{"licence","community"},'caseload data'!$C:$C,'community %'!$B$29)),"")</f>
        <v/>
      </c>
      <c r="L32" s="167" t="str">
        <f>IFERROR(SUM(SUMIFS('caseload data'!N:N,'caseload data'!$C:$C,'community %'!$B$29,'caseload data'!$D:$D,"PSO",'caseload data'!$B:$B,{"licence","community"}))/SUM(SUMIFS('caseload data'!N:N,'caseload data'!$B:$B,{"licence","community"},'caseload data'!$C:$C,'community %'!$B$29)),"")</f>
        <v/>
      </c>
      <c r="M32" s="167" t="str">
        <f>IFERROR(SUM(SUMIFS('caseload data'!O:O,'caseload data'!$C:$C,'community %'!$B$29,'caseload data'!$D:$D,"PSO",'caseload data'!$B:$B,{"licence","community"}))/SUM(SUMIFS('caseload data'!O:O,'caseload data'!$B:$B,{"licence","community"},'caseload data'!$C:$C,'community %'!$B$29)),"")</f>
        <v/>
      </c>
      <c r="N32" s="167" t="str">
        <f>IFERROR(SUM(SUMIFS('caseload data'!P:P,'caseload data'!$C:$C,'community %'!$B$29,'caseload data'!$D:$D,"PSO",'caseload data'!$B:$B,{"licence","community"}))/SUM(SUMIFS('caseload data'!P:P,'caseload data'!$B:$B,{"licence","community"},'caseload data'!$C:$C,'community %'!$B$29)),"")</f>
        <v/>
      </c>
      <c r="O32" s="167" t="str">
        <f>IFERROR(SUM(SUMIFS('caseload data'!Q:Q,'caseload data'!$C:$C,'community %'!$B$29,'caseload data'!$D:$D,"PSO",'caseload data'!$B:$B,{"licence","community"}))/SUM(SUMIFS('caseload data'!Q:Q,'caseload data'!$B:$B,{"licence","community"},'caseload data'!$C:$C,'community %'!$B$29)),"")</f>
        <v/>
      </c>
      <c r="P32" s="167" t="str">
        <f>IFERROR(SUM(SUMIFS('caseload data'!R:R,'caseload data'!$C:$C,'community %'!$B$29,'caseload data'!$D:$D,"PSO",'caseload data'!$B:$B,{"licence","community"}))/SUM(SUMIFS('caseload data'!R:R,'caseload data'!$B:$B,{"licence","community"},'caseload data'!$C:$C,'community %'!$B$29)),"")</f>
        <v/>
      </c>
      <c r="Q32" s="167" t="str">
        <f>IFERROR(SUM(SUMIFS('caseload data'!S:S,'caseload data'!$C:$C,'community %'!$B$29,'caseload data'!$D:$D,"PSO",'caseload data'!$B:$B,{"licence","community"}))/SUM(SUMIFS('caseload data'!S:S,'caseload data'!$B:$B,{"licence","community"},'caseload data'!$C:$C,'community %'!$B$29)),"")</f>
        <v/>
      </c>
      <c r="R32" s="167" t="str">
        <f>IFERROR(SUM(SUMIFS('caseload data'!T:T,'caseload data'!$C:$C,'community %'!$B$29,'caseload data'!$D:$D,"PSO",'caseload data'!$B:$B,{"licence","community"}))/SUM(SUMIFS('caseload data'!T:T,'caseload data'!$B:$B,{"licence","community"},'caseload data'!$C:$C,'community %'!$B$29)),"")</f>
        <v/>
      </c>
      <c r="S32" s="64"/>
      <c r="T32" s="97" t="s">
        <v>1007</v>
      </c>
      <c r="U32" s="167" t="str">
        <f>IFERROR(SUM(SUMIFS('caseload data'!E:E,'caseload data'!$C:$C,'community %'!$T$29,'caseload data'!$D:$D,"PSO",'caseload data'!$B:$B,{"licence","community"}))/SUM(SUMIFS('caseload data'!E:E,'caseload data'!$B:$B,{"licence","community"},'caseload data'!$C:$C,'community %'!$T$29)),"")</f>
        <v/>
      </c>
      <c r="V32" s="167" t="str">
        <f>IFERROR(SUM(SUMIFS('caseload data'!F:F,'caseload data'!$C:$C,'community %'!$T$29,'caseload data'!$D:$D,"PSO",'caseload data'!$B:$B,{"licence","community"}))/SUM(SUMIFS('caseload data'!F:F,'caseload data'!$B:$B,{"licence","community"},'caseload data'!$C:$C,'community %'!$T$29)),"")</f>
        <v/>
      </c>
      <c r="W32" s="167" t="str">
        <f>IFERROR(SUM(SUMIFS('caseload data'!G:G,'caseload data'!$C:$C,'community %'!$T$29,'caseload data'!$D:$D,"PSO",'caseload data'!$B:$B,{"licence","community"}))/SUM(SUMIFS('caseload data'!G:G,'caseload data'!$B:$B,{"licence","community"},'caseload data'!$C:$C,'community %'!$T$29)),"")</f>
        <v/>
      </c>
      <c r="X32" s="167" t="str">
        <f>IFERROR(SUM(SUMIFS('caseload data'!H:H,'caseload data'!$C:$C,'community %'!$T$29,'caseload data'!$D:$D,"PSO",'caseload data'!$B:$B,{"licence","community"}))/SUM(SUMIFS('caseload data'!H:H,'caseload data'!$B:$B,{"licence","community"},'caseload data'!$C:$C,'community %'!$T$29)),"")</f>
        <v/>
      </c>
      <c r="Y32" s="167" t="str">
        <f>IFERROR(SUM(SUMIFS('caseload data'!I:I,'caseload data'!$C:$C,'community %'!$T$29,'caseload data'!$D:$D,"PSO",'caseload data'!$B:$B,{"licence","community"}))/SUM(SUMIFS('caseload data'!I:I,'caseload data'!$B:$B,{"licence","community"},'caseload data'!$C:$C,'community %'!$T$29)),"")</f>
        <v/>
      </c>
      <c r="Z32" s="167" t="str">
        <f>IFERROR(SUM(SUMIFS('caseload data'!J:J,'caseload data'!$C:$C,'community %'!$T$29,'caseload data'!$D:$D,"PSO",'caseload data'!$B:$B,{"licence","community"}))/SUM(SUMIFS('caseload data'!J:J,'caseload data'!$B:$B,{"licence","community"},'caseload data'!$C:$C,'community %'!$T$29)),"")</f>
        <v/>
      </c>
      <c r="AA32" s="167" t="str">
        <f>IFERROR(SUM(SUMIFS('caseload data'!K:K,'caseload data'!$C:$C,'community %'!$T$29,'caseload data'!$D:$D,"PSO",'caseload data'!$B:$B,{"licence","community"}))/SUM(SUMIFS('caseload data'!K:K,'caseload data'!$B:$B,{"licence","community"},'caseload data'!$C:$C,'community %'!$T$29)),"")</f>
        <v/>
      </c>
      <c r="AB32" s="167" t="str">
        <f>IFERROR(SUM(SUMIFS('caseload data'!L:L,'caseload data'!$C:$C,'community %'!$T$29,'caseload data'!$D:$D,"PSO",'caseload data'!$B:$B,{"licence","community"}))/SUM(SUMIFS('caseload data'!L:L,'caseload data'!$B:$B,{"licence","community"},'caseload data'!$C:$C,'community %'!$T$29)),"")</f>
        <v/>
      </c>
      <c r="AC32" s="167" t="str">
        <f>IFERROR(SUM(SUMIFS('caseload data'!M:M,'caseload data'!$C:$C,'community %'!$T$29,'caseload data'!$D:$D,"PSO",'caseload data'!$B:$B,{"licence","community"}))/SUM(SUMIFS('caseload data'!M:M,'caseload data'!$B:$B,{"licence","community"},'caseload data'!$C:$C,'community %'!$T$29)),"")</f>
        <v/>
      </c>
      <c r="AD32" s="167" t="str">
        <f>IFERROR(SUM(SUMIFS('caseload data'!N:N,'caseload data'!$C:$C,'community %'!$T$29,'caseload data'!$D:$D,"PSO",'caseload data'!$B:$B,{"licence","community"}))/SUM(SUMIFS('caseload data'!N:N,'caseload data'!$B:$B,{"licence","community"},'caseload data'!$C:$C,'community %'!$T$29)),"")</f>
        <v/>
      </c>
      <c r="AE32" s="167" t="str">
        <f>IFERROR(SUM(SUMIFS('caseload data'!O:O,'caseload data'!$C:$C,'community %'!$T$29,'caseload data'!$D:$D,"PSO",'caseload data'!$B:$B,{"licence","community"}))/SUM(SUMIFS('caseload data'!O:O,'caseload data'!$B:$B,{"licence","community"},'caseload data'!$C:$C,'community %'!$T$29)),"")</f>
        <v/>
      </c>
      <c r="AF32" s="167" t="str">
        <f>IFERROR(SUM(SUMIFS('caseload data'!P:P,'caseload data'!$C:$C,'community %'!$T$29,'caseload data'!$D:$D,"PSO",'caseload data'!$B:$B,{"licence","community"}))/SUM(SUMIFS('caseload data'!P:P,'caseload data'!$B:$B,{"licence","community"},'caseload data'!$C:$C,'community %'!$T$29)),"")</f>
        <v/>
      </c>
      <c r="AG32" s="167" t="str">
        <f>IFERROR(SUM(SUMIFS('caseload data'!Q:Q,'caseload data'!$C:$C,'community %'!$T$29,'caseload data'!$D:$D,"PSO",'caseload data'!$B:$B,{"licence","community"}))/SUM(SUMIFS('caseload data'!Q:Q,'caseload data'!$B:$B,{"licence","community"},'caseload data'!$C:$C,'community %'!$T$29)),"")</f>
        <v/>
      </c>
      <c r="AH32" s="167" t="str">
        <f>IFERROR(SUM(SUMIFS('caseload data'!R:R,'caseload data'!$C:$C,'community %'!$T$29,'caseload data'!$D:$D,"PSO",'caseload data'!$B:$B,{"licence","community"}))/SUM(SUMIFS('caseload data'!R:R,'caseload data'!$B:$B,{"licence","community"},'caseload data'!$C:$C,'community %'!$T$29)),"")</f>
        <v/>
      </c>
      <c r="AI32" s="167" t="str">
        <f>IFERROR(SUM(SUMIFS('caseload data'!S:S,'caseload data'!$C:$C,'community %'!$T$29,'caseload data'!$D:$D,"PSO",'caseload data'!$B:$B,{"licence","community"}))/SUM(SUMIFS('caseload data'!S:S,'caseload data'!$B:$B,{"licence","community"},'caseload data'!$C:$C,'community %'!$T$29)),"")</f>
        <v/>
      </c>
      <c r="AJ32" s="167" t="str">
        <f>IFERROR(SUM(SUMIFS('caseload data'!T:T,'caseload data'!$C:$C,'community %'!$T$29,'caseload data'!$D:$D,"PSO",'caseload data'!$B:$B,{"licence","community"}))/SUM(SUMIFS('caseload data'!T:T,'caseload data'!$B:$B,{"licence","community"},'caseload data'!$C:$C,'community %'!$T$29)),"")</f>
        <v/>
      </c>
    </row>
    <row r="33" spans="2:36" x14ac:dyDescent="0.15">
      <c r="B33" s="97" t="s">
        <v>1008</v>
      </c>
      <c r="C33" s="167" t="str">
        <f>IFERROR(SUM(SUMIFS('caseload data'!E:E,'caseload data'!$C:$C,'community %'!$B$29,'caseload data'!$D:$D,"TPO",'caseload data'!$B:$B,{"licence","community"}))/SUM(SUMIFS('caseload data'!E:E,'caseload data'!$B:$B,{"licence","community"},'caseload data'!$C:$C,'community %'!$B$29)),"")</f>
        <v/>
      </c>
      <c r="D33" s="167" t="str">
        <f>IFERROR(SUM(SUMIFS('caseload data'!F:F,'caseload data'!$C:$C,'community %'!$B$29,'caseload data'!$D:$D,"TPO",'caseload data'!$B:$B,{"licence","community"}))/SUM(SUMIFS('caseload data'!F:F,'caseload data'!$B:$B,{"licence","community"},'caseload data'!$C:$C,'community %'!$B$29)),"")</f>
        <v/>
      </c>
      <c r="E33" s="167" t="str">
        <f>IFERROR(SUM(SUMIFS('caseload data'!G:G,'caseload data'!$C:$C,'community %'!$B$29,'caseload data'!$D:$D,"TPO",'caseload data'!$B:$B,{"licence","community"}))/SUM(SUMIFS('caseload data'!G:G,'caseload data'!$B:$B,{"licence","community"},'caseload data'!$C:$C,'community %'!$B$29)),"")</f>
        <v/>
      </c>
      <c r="F33" s="167" t="str">
        <f>IFERROR(SUM(SUMIFS('caseload data'!H:H,'caseload data'!$C:$C,'community %'!$B$29,'caseload data'!$D:$D,"TPO",'caseload data'!$B:$B,{"licence","community"}))/SUM(SUMIFS('caseload data'!H:H,'caseload data'!$B:$B,{"licence","community"},'caseload data'!$C:$C,'community %'!$B$29)),"")</f>
        <v/>
      </c>
      <c r="G33" s="167" t="str">
        <f>IFERROR(SUM(SUMIFS('caseload data'!I:I,'caseload data'!$C:$C,'community %'!$B$29,'caseload data'!$D:$D,"TPO",'caseload data'!$B:$B,{"licence","community"}))/SUM(SUMIFS('caseload data'!I:I,'caseload data'!$B:$B,{"licence","community"},'caseload data'!$C:$C,'community %'!$B$29)),"")</f>
        <v/>
      </c>
      <c r="H33" s="167" t="str">
        <f>IFERROR(SUM(SUMIFS('caseload data'!J:J,'caseload data'!$C:$C,'community %'!$B$29,'caseload data'!$D:$D,"TPO",'caseload data'!$B:$B,{"licence","community"}))/SUM(SUMIFS('caseload data'!J:J,'caseload data'!$B:$B,{"licence","community"},'caseload data'!$C:$C,'community %'!$B$29)),"")</f>
        <v/>
      </c>
      <c r="I33" s="167" t="str">
        <f>IFERROR(SUM(SUMIFS('caseload data'!K:K,'caseload data'!$C:$C,'community %'!$B$29,'caseload data'!$D:$D,"TPO",'caseload data'!$B:$B,{"licence","community"}))/SUM(SUMIFS('caseload data'!K:K,'caseload data'!$B:$B,{"licence","community"},'caseload data'!$C:$C,'community %'!$B$29)),"")</f>
        <v/>
      </c>
      <c r="J33" s="167" t="str">
        <f>IFERROR(SUM(SUMIFS('caseload data'!L:L,'caseload data'!$C:$C,'community %'!$B$29,'caseload data'!$D:$D,"TPO",'caseload data'!$B:$B,{"licence","community"}))/SUM(SUMIFS('caseload data'!L:L,'caseload data'!$B:$B,{"licence","community"},'caseload data'!$C:$C,'community %'!$B$29)),"")</f>
        <v/>
      </c>
      <c r="K33" s="167" t="str">
        <f>IFERROR(SUM(SUMIFS('caseload data'!M:M,'caseload data'!$C:$C,'community %'!$B$29,'caseload data'!$D:$D,"TPO",'caseload data'!$B:$B,{"licence","community"}))/SUM(SUMIFS('caseload data'!M:M,'caseload data'!$B:$B,{"licence","community"},'caseload data'!$C:$C,'community %'!$B$29)),"")</f>
        <v/>
      </c>
      <c r="L33" s="167" t="str">
        <f>IFERROR(SUM(SUMIFS('caseload data'!N:N,'caseload data'!$C:$C,'community %'!$B$29,'caseload data'!$D:$D,"TPO",'caseload data'!$B:$B,{"licence","community"}))/SUM(SUMIFS('caseload data'!N:N,'caseload data'!$B:$B,{"licence","community"},'caseload data'!$C:$C,'community %'!$B$29)),"")</f>
        <v/>
      </c>
      <c r="M33" s="167" t="str">
        <f>IFERROR(SUM(SUMIFS('caseload data'!O:O,'caseload data'!$C:$C,'community %'!$B$29,'caseload data'!$D:$D,"TPO",'caseload data'!$B:$B,{"licence","community"}))/SUM(SUMIFS('caseload data'!O:O,'caseload data'!$B:$B,{"licence","community"},'caseload data'!$C:$C,'community %'!$B$29)),"")</f>
        <v/>
      </c>
      <c r="N33" s="167" t="str">
        <f>IFERROR(SUM(SUMIFS('caseload data'!P:P,'caseload data'!$C:$C,'community %'!$B$29,'caseload data'!$D:$D,"TPO",'caseload data'!$B:$B,{"licence","community"}))/SUM(SUMIFS('caseload data'!P:P,'caseload data'!$B:$B,{"licence","community"},'caseload data'!$C:$C,'community %'!$B$29)),"")</f>
        <v/>
      </c>
      <c r="O33" s="167" t="str">
        <f>IFERROR(SUM(SUMIFS('caseload data'!Q:Q,'caseload data'!$C:$C,'community %'!$B$29,'caseload data'!$D:$D,"TPO",'caseload data'!$B:$B,{"licence","community"}))/SUM(SUMIFS('caseload data'!Q:Q,'caseload data'!$B:$B,{"licence","community"},'caseload data'!$C:$C,'community %'!$B$29)),"")</f>
        <v/>
      </c>
      <c r="P33" s="167" t="str">
        <f>IFERROR(SUM(SUMIFS('caseload data'!R:R,'caseload data'!$C:$C,'community %'!$B$29,'caseload data'!$D:$D,"TPO",'caseload data'!$B:$B,{"licence","community"}))/SUM(SUMIFS('caseload data'!R:R,'caseload data'!$B:$B,{"licence","community"},'caseload data'!$C:$C,'community %'!$B$29)),"")</f>
        <v/>
      </c>
      <c r="Q33" s="167" t="str">
        <f>IFERROR(SUM(SUMIFS('caseload data'!S:S,'caseload data'!$C:$C,'community %'!$B$29,'caseload data'!$D:$D,"TPO",'caseload data'!$B:$B,{"licence","community"}))/SUM(SUMIFS('caseload data'!S:S,'caseload data'!$B:$B,{"licence","community"},'caseload data'!$C:$C,'community %'!$B$29)),"")</f>
        <v/>
      </c>
      <c r="R33" s="167" t="str">
        <f>IFERROR(SUM(SUMIFS('caseload data'!T:T,'caseload data'!$C:$C,'community %'!$B$29,'caseload data'!$D:$D,"TPO",'caseload data'!$B:$B,{"licence","community"}))/SUM(SUMIFS('caseload data'!T:T,'caseload data'!$B:$B,{"licence","community"},'caseload data'!$C:$C,'community %'!$B$29)),"")</f>
        <v/>
      </c>
      <c r="S33" s="64"/>
      <c r="T33" s="97" t="s">
        <v>1008</v>
      </c>
      <c r="U33" s="167" t="str">
        <f>IFERROR(SUM(SUMIFS('caseload data'!E:E,'caseload data'!$C:$C,'community %'!$T$29,'caseload data'!$D:$D,"TPO",'caseload data'!$B:$B,{"licence","community"}))/SUM(SUMIFS('caseload data'!E:E,'caseload data'!$B:$B,{"licence","community"},'caseload data'!$C:$C,'community %'!$T$29)),"")</f>
        <v/>
      </c>
      <c r="V33" s="167" t="str">
        <f>IFERROR(SUM(SUMIFS('caseload data'!F:F,'caseload data'!$C:$C,'community %'!$T$29,'caseload data'!$D:$D,"TPO",'caseload data'!$B:$B,{"licence","community"}))/SUM(SUMIFS('caseload data'!F:F,'caseload data'!$B:$B,{"licence","community"},'caseload data'!$C:$C,'community %'!$T$29)),"")</f>
        <v/>
      </c>
      <c r="W33" s="167" t="str">
        <f>IFERROR(SUM(SUMIFS('caseload data'!G:G,'caseload data'!$C:$C,'community %'!$T$29,'caseload data'!$D:$D,"TPO",'caseload data'!$B:$B,{"licence","community"}))/SUM(SUMIFS('caseload data'!G:G,'caseload data'!$B:$B,{"licence","community"},'caseload data'!$C:$C,'community %'!$T$29)),"")</f>
        <v/>
      </c>
      <c r="X33" s="167" t="str">
        <f>IFERROR(SUM(SUMIFS('caseload data'!H:H,'caseload data'!$C:$C,'community %'!$T$29,'caseload data'!$D:$D,"TPO",'caseload data'!$B:$B,{"licence","community"}))/SUM(SUMIFS('caseload data'!H:H,'caseload data'!$B:$B,{"licence","community"},'caseload data'!$C:$C,'community %'!$T$29)),"")</f>
        <v/>
      </c>
      <c r="Y33" s="167" t="str">
        <f>IFERROR(SUM(SUMIFS('caseload data'!I:I,'caseload data'!$C:$C,'community %'!$T$29,'caseload data'!$D:$D,"TPO",'caseload data'!$B:$B,{"licence","community"}))/SUM(SUMIFS('caseload data'!I:I,'caseload data'!$B:$B,{"licence","community"},'caseload data'!$C:$C,'community %'!$T$29)),"")</f>
        <v/>
      </c>
      <c r="Z33" s="167" t="str">
        <f>IFERROR(SUM(SUMIFS('caseload data'!J:J,'caseload data'!$C:$C,'community %'!$T$29,'caseload data'!$D:$D,"TPO",'caseload data'!$B:$B,{"licence","community"}))/SUM(SUMIFS('caseload data'!J:J,'caseload data'!$B:$B,{"licence","community"},'caseload data'!$C:$C,'community %'!$T$29)),"")</f>
        <v/>
      </c>
      <c r="AA33" s="167" t="str">
        <f>IFERROR(SUM(SUMIFS('caseload data'!K:K,'caseload data'!$C:$C,'community %'!$T$29,'caseload data'!$D:$D,"TPO",'caseload data'!$B:$B,{"licence","community"}))/SUM(SUMIFS('caseload data'!K:K,'caseload data'!$B:$B,{"licence","community"},'caseload data'!$C:$C,'community %'!$T$29)),"")</f>
        <v/>
      </c>
      <c r="AB33" s="167" t="str">
        <f>IFERROR(SUM(SUMIFS('caseload data'!L:L,'caseload data'!$C:$C,'community %'!$T$29,'caseload data'!$D:$D,"TPO",'caseload data'!$B:$B,{"licence","community"}))/SUM(SUMIFS('caseload data'!L:L,'caseload data'!$B:$B,{"licence","community"},'caseload data'!$C:$C,'community %'!$T$29)),"")</f>
        <v/>
      </c>
      <c r="AC33" s="167" t="str">
        <f>IFERROR(SUM(SUMIFS('caseload data'!M:M,'caseload data'!$C:$C,'community %'!$T$29,'caseload data'!$D:$D,"TPO",'caseload data'!$B:$B,{"licence","community"}))/SUM(SUMIFS('caseload data'!M:M,'caseload data'!$B:$B,{"licence","community"},'caseload data'!$C:$C,'community %'!$T$29)),"")</f>
        <v/>
      </c>
      <c r="AD33" s="167" t="str">
        <f>IFERROR(SUM(SUMIFS('caseload data'!N:N,'caseload data'!$C:$C,'community %'!$T$29,'caseload data'!$D:$D,"TPO",'caseload data'!$B:$B,{"licence","community"}))/SUM(SUMIFS('caseload data'!N:N,'caseload data'!$B:$B,{"licence","community"},'caseload data'!$C:$C,'community %'!$T$29)),"")</f>
        <v/>
      </c>
      <c r="AE33" s="167" t="str">
        <f>IFERROR(SUM(SUMIFS('caseload data'!O:O,'caseload data'!$C:$C,'community %'!$T$29,'caseload data'!$D:$D,"TPO",'caseload data'!$B:$B,{"licence","community"}))/SUM(SUMIFS('caseload data'!O:O,'caseload data'!$B:$B,{"licence","community"},'caseload data'!$C:$C,'community %'!$T$29)),"")</f>
        <v/>
      </c>
      <c r="AF33" s="167" t="str">
        <f>IFERROR(SUM(SUMIFS('caseload data'!P:P,'caseload data'!$C:$C,'community %'!$T$29,'caseload data'!$D:$D,"TPO",'caseload data'!$B:$B,{"licence","community"}))/SUM(SUMIFS('caseload data'!P:P,'caseload data'!$B:$B,{"licence","community"},'caseload data'!$C:$C,'community %'!$T$29)),"")</f>
        <v/>
      </c>
      <c r="AG33" s="167" t="str">
        <f>IFERROR(SUM(SUMIFS('caseload data'!Q:Q,'caseload data'!$C:$C,'community %'!$T$29,'caseload data'!$D:$D,"TPO",'caseload data'!$B:$B,{"licence","community"}))/SUM(SUMIFS('caseload data'!Q:Q,'caseload data'!$B:$B,{"licence","community"},'caseload data'!$C:$C,'community %'!$T$29)),"")</f>
        <v/>
      </c>
      <c r="AH33" s="167" t="str">
        <f>IFERROR(SUM(SUMIFS('caseload data'!R:R,'caseload data'!$C:$C,'community %'!$T$29,'caseload data'!$D:$D,"TPO",'caseload data'!$B:$B,{"licence","community"}))/SUM(SUMIFS('caseload data'!R:R,'caseload data'!$B:$B,{"licence","community"},'caseload data'!$C:$C,'community %'!$T$29)),"")</f>
        <v/>
      </c>
      <c r="AI33" s="167" t="str">
        <f>IFERROR(SUM(SUMIFS('caseload data'!S:S,'caseload data'!$C:$C,'community %'!$T$29,'caseload data'!$D:$D,"TPO",'caseload data'!$B:$B,{"licence","community"}))/SUM(SUMIFS('caseload data'!S:S,'caseload data'!$B:$B,{"licence","community"},'caseload data'!$C:$C,'community %'!$T$29)),"")</f>
        <v/>
      </c>
      <c r="AJ33" s="167" t="str">
        <f>IFERROR(SUM(SUMIFS('caseload data'!T:T,'caseload data'!$C:$C,'community %'!$T$29,'caseload data'!$D:$D,"TPO",'caseload data'!$B:$B,{"licence","community"}))/SUM(SUMIFS('caseload data'!T:T,'caseload data'!$B:$B,{"licence","community"},'caseload data'!$C:$C,'community %'!$T$29)),"")</f>
        <v/>
      </c>
    </row>
    <row r="34" spans="2:36" x14ac:dyDescent="0.15">
      <c r="B34" s="98" t="s">
        <v>1009</v>
      </c>
      <c r="C34" s="167" t="str">
        <f>IFERROR(SUM(SUMIFS('caseload data'!E:E,'caseload data'!$C:$C,'community %'!$B$29,'caseload data'!$D:$D,"SPO",'caseload data'!$B:$B,{"licence","community"}))/SUM(SUMIFS('caseload data'!E:E,'caseload data'!$B:$B,{"licence","community"},'caseload data'!$C:$C,'community %'!$B$29)),"")</f>
        <v/>
      </c>
      <c r="D34" s="167" t="str">
        <f>IFERROR(SUM(SUMIFS('caseload data'!F:F,'caseload data'!$C:$C,'community %'!$B$29,'caseload data'!$D:$D,"SPO",'caseload data'!$B:$B,{"licence","community"}))/SUM(SUMIFS('caseload data'!F:F,'caseload data'!$B:$B,{"licence","community"},'caseload data'!$C:$C,'community %'!$B$29)),"")</f>
        <v/>
      </c>
      <c r="E34" s="167" t="str">
        <f>IFERROR(SUM(SUMIFS('caseload data'!G:G,'caseload data'!$C:$C,'community %'!$B$29,'caseload data'!$D:$D,"SPO",'caseload data'!$B:$B,{"licence","community"}))/SUM(SUMIFS('caseload data'!G:G,'caseload data'!$B:$B,{"licence","community"},'caseload data'!$C:$C,'community %'!$B$29)),"")</f>
        <v/>
      </c>
      <c r="F34" s="167" t="str">
        <f>IFERROR(SUM(SUMIFS('caseload data'!H:H,'caseload data'!$C:$C,'community %'!$B$29,'caseload data'!$D:$D,"SPO",'caseload data'!$B:$B,{"licence","community"}))/SUM(SUMIFS('caseload data'!H:H,'caseload data'!$B:$B,{"licence","community"},'caseload data'!$C:$C,'community %'!$B$29)),"")</f>
        <v/>
      </c>
      <c r="G34" s="167" t="str">
        <f>IFERROR(SUM(SUMIFS('caseload data'!I:I,'caseload data'!$C:$C,'community %'!$B$29,'caseload data'!$D:$D,"SPO",'caseload data'!$B:$B,{"licence","community"}))/SUM(SUMIFS('caseload data'!I:I,'caseload data'!$B:$B,{"licence","community"},'caseload data'!$C:$C,'community %'!$B$29)),"")</f>
        <v/>
      </c>
      <c r="H34" s="167" t="str">
        <f>IFERROR(SUM(SUMIFS('caseload data'!J:J,'caseload data'!$C:$C,'community %'!$B$29,'caseload data'!$D:$D,"SPO",'caseload data'!$B:$B,{"licence","community"}))/SUM(SUMIFS('caseload data'!J:J,'caseload data'!$B:$B,{"licence","community"},'caseload data'!$C:$C,'community %'!$B$29)),"")</f>
        <v/>
      </c>
      <c r="I34" s="167" t="str">
        <f>IFERROR(SUM(SUMIFS('caseload data'!K:K,'caseload data'!$C:$C,'community %'!$B$29,'caseload data'!$D:$D,"SPO",'caseload data'!$B:$B,{"licence","community"}))/SUM(SUMIFS('caseload data'!K:K,'caseload data'!$B:$B,{"licence","community"},'caseload data'!$C:$C,'community %'!$B$29)),"")</f>
        <v/>
      </c>
      <c r="J34" s="167" t="str">
        <f>IFERROR(SUM(SUMIFS('caseload data'!L:L,'caseload data'!$C:$C,'community %'!$B$29,'caseload data'!$D:$D,"SPO",'caseload data'!$B:$B,{"licence","community"}))/SUM(SUMIFS('caseload data'!L:L,'caseload data'!$B:$B,{"licence","community"},'caseload data'!$C:$C,'community %'!$B$29)),"")</f>
        <v/>
      </c>
      <c r="K34" s="167" t="str">
        <f>IFERROR(SUM(SUMIFS('caseload data'!M:M,'caseload data'!$C:$C,'community %'!$B$29,'caseload data'!$D:$D,"SPO",'caseload data'!$B:$B,{"licence","community"}))/SUM(SUMIFS('caseload data'!M:M,'caseload data'!$B:$B,{"licence","community"},'caseload data'!$C:$C,'community %'!$B$29)),"")</f>
        <v/>
      </c>
      <c r="L34" s="167" t="str">
        <f>IFERROR(SUM(SUMIFS('caseload data'!N:N,'caseload data'!$C:$C,'community %'!$B$29,'caseload data'!$D:$D,"SPO",'caseload data'!$B:$B,{"licence","community"}))/SUM(SUMIFS('caseload data'!N:N,'caseload data'!$B:$B,{"licence","community"},'caseload data'!$C:$C,'community %'!$B$29)),"")</f>
        <v/>
      </c>
      <c r="M34" s="167" t="str">
        <f>IFERROR(SUM(SUMIFS('caseload data'!O:O,'caseload data'!$C:$C,'community %'!$B$29,'caseload data'!$D:$D,"SPO",'caseload data'!$B:$B,{"licence","community"}))/SUM(SUMIFS('caseload data'!O:O,'caseload data'!$B:$B,{"licence","community"},'caseload data'!$C:$C,'community %'!$B$29)),"")</f>
        <v/>
      </c>
      <c r="N34" s="167" t="str">
        <f>IFERROR(SUM(SUMIFS('caseload data'!P:P,'caseload data'!$C:$C,'community %'!$B$29,'caseload data'!$D:$D,"SPO",'caseload data'!$B:$B,{"licence","community"}))/SUM(SUMIFS('caseload data'!P:P,'caseload data'!$B:$B,{"licence","community"},'caseload data'!$C:$C,'community %'!$B$29)),"")</f>
        <v/>
      </c>
      <c r="O34" s="167" t="str">
        <f>IFERROR(SUM(SUMIFS('caseload data'!Q:Q,'caseload data'!$C:$C,'community %'!$B$29,'caseload data'!$D:$D,"SPO",'caseload data'!$B:$B,{"licence","community"}))/SUM(SUMIFS('caseload data'!Q:Q,'caseload data'!$B:$B,{"licence","community"},'caseload data'!$C:$C,'community %'!$B$29)),"")</f>
        <v/>
      </c>
      <c r="P34" s="167" t="str">
        <f>IFERROR(SUM(SUMIFS('caseload data'!R:R,'caseload data'!$C:$C,'community %'!$B$29,'caseload data'!$D:$D,"SPO",'caseload data'!$B:$B,{"licence","community"}))/SUM(SUMIFS('caseload data'!R:R,'caseload data'!$B:$B,{"licence","community"},'caseload data'!$C:$C,'community %'!$B$29)),"")</f>
        <v/>
      </c>
      <c r="Q34" s="167" t="str">
        <f>IFERROR(SUM(SUMIFS('caseload data'!S:S,'caseload data'!$C:$C,'community %'!$B$29,'caseload data'!$D:$D,"SPO",'caseload data'!$B:$B,{"licence","community"}))/SUM(SUMIFS('caseload data'!S:S,'caseload data'!$B:$B,{"licence","community"},'caseload data'!$C:$C,'community %'!$B$29)),"")</f>
        <v/>
      </c>
      <c r="R34" s="167" t="str">
        <f>IFERROR(SUM(SUMIFS('caseload data'!T:T,'caseload data'!$C:$C,'community %'!$B$29,'caseload data'!$D:$D,"SPO",'caseload data'!$B:$B,{"licence","community"}))/SUM(SUMIFS('caseload data'!T:T,'caseload data'!$B:$B,{"licence","community"},'caseload data'!$C:$C,'community %'!$B$29)),"")</f>
        <v/>
      </c>
      <c r="S34" s="64"/>
      <c r="T34" s="98" t="s">
        <v>1009</v>
      </c>
      <c r="U34" s="167" t="str">
        <f>IFERROR(SUM(SUMIFS('caseload data'!E:E,'caseload data'!$C:$C,'community %'!$T$29,'caseload data'!$D:$D,"SPO",'caseload data'!$B:$B,{"licence","community"}))/SUM(SUMIFS('caseload data'!E:E,'caseload data'!$B:$B,{"licence","community"},'caseload data'!$C:$C,'community %'!$T$29)),"")</f>
        <v/>
      </c>
      <c r="V34" s="167" t="str">
        <f>IFERROR(SUM(SUMIFS('caseload data'!F:F,'caseload data'!$C:$C,'community %'!$T$29,'caseload data'!$D:$D,"SPO",'caseload data'!$B:$B,{"licence","community"}))/SUM(SUMIFS('caseload data'!F:F,'caseload data'!$B:$B,{"licence","community"},'caseload data'!$C:$C,'community %'!$T$29)),"")</f>
        <v/>
      </c>
      <c r="W34" s="167" t="str">
        <f>IFERROR(SUM(SUMIFS('caseload data'!G:G,'caseload data'!$C:$C,'community %'!$T$29,'caseload data'!$D:$D,"SPO",'caseload data'!$B:$B,{"licence","community"}))/SUM(SUMIFS('caseload data'!G:G,'caseload data'!$B:$B,{"licence","community"},'caseload data'!$C:$C,'community %'!$T$29)),"")</f>
        <v/>
      </c>
      <c r="X34" s="167" t="str">
        <f>IFERROR(SUM(SUMIFS('caseload data'!H:H,'caseload data'!$C:$C,'community %'!$T$29,'caseload data'!$D:$D,"SPO",'caseload data'!$B:$B,{"licence","community"}))/SUM(SUMIFS('caseload data'!H:H,'caseload data'!$B:$B,{"licence","community"},'caseload data'!$C:$C,'community %'!$T$29)),"")</f>
        <v/>
      </c>
      <c r="Y34" s="167" t="str">
        <f>IFERROR(SUM(SUMIFS('caseload data'!I:I,'caseload data'!$C:$C,'community %'!$T$29,'caseload data'!$D:$D,"SPO",'caseload data'!$B:$B,{"licence","community"}))/SUM(SUMIFS('caseload data'!I:I,'caseload data'!$B:$B,{"licence","community"},'caseload data'!$C:$C,'community %'!$T$29)),"")</f>
        <v/>
      </c>
      <c r="Z34" s="167" t="str">
        <f>IFERROR(SUM(SUMIFS('caseload data'!J:J,'caseload data'!$C:$C,'community %'!$T$29,'caseload data'!$D:$D,"SPO",'caseload data'!$B:$B,{"licence","community"}))/SUM(SUMIFS('caseload data'!J:J,'caseload data'!$B:$B,{"licence","community"},'caseload data'!$C:$C,'community %'!$T$29)),"")</f>
        <v/>
      </c>
      <c r="AA34" s="167" t="str">
        <f>IFERROR(SUM(SUMIFS('caseload data'!K:K,'caseload data'!$C:$C,'community %'!$T$29,'caseload data'!$D:$D,"SPO",'caseload data'!$B:$B,{"licence","community"}))/SUM(SUMIFS('caseload data'!K:K,'caseload data'!$B:$B,{"licence","community"},'caseload data'!$C:$C,'community %'!$T$29)),"")</f>
        <v/>
      </c>
      <c r="AB34" s="167" t="str">
        <f>IFERROR(SUM(SUMIFS('caseload data'!L:L,'caseload data'!$C:$C,'community %'!$T$29,'caseload data'!$D:$D,"SPO",'caseload data'!$B:$B,{"licence","community"}))/SUM(SUMIFS('caseload data'!L:L,'caseload data'!$B:$B,{"licence","community"},'caseload data'!$C:$C,'community %'!$T$29)),"")</f>
        <v/>
      </c>
      <c r="AC34" s="167" t="str">
        <f>IFERROR(SUM(SUMIFS('caseload data'!M:M,'caseload data'!$C:$C,'community %'!$T$29,'caseload data'!$D:$D,"SPO",'caseload data'!$B:$B,{"licence","community"}))/SUM(SUMIFS('caseload data'!M:M,'caseload data'!$B:$B,{"licence","community"},'caseload data'!$C:$C,'community %'!$T$29)),"")</f>
        <v/>
      </c>
      <c r="AD34" s="167" t="str">
        <f>IFERROR(SUM(SUMIFS('caseload data'!N:N,'caseload data'!$C:$C,'community %'!$T$29,'caseload data'!$D:$D,"SPO",'caseload data'!$B:$B,{"licence","community"}))/SUM(SUMIFS('caseload data'!N:N,'caseload data'!$B:$B,{"licence","community"},'caseload data'!$C:$C,'community %'!$T$29)),"")</f>
        <v/>
      </c>
      <c r="AE34" s="167" t="str">
        <f>IFERROR(SUM(SUMIFS('caseload data'!O:O,'caseload data'!$C:$C,'community %'!$T$29,'caseload data'!$D:$D,"SPO",'caseload data'!$B:$B,{"licence","community"}))/SUM(SUMIFS('caseload data'!O:O,'caseload data'!$B:$B,{"licence","community"},'caseload data'!$C:$C,'community %'!$T$29)),"")</f>
        <v/>
      </c>
      <c r="AF34" s="167" t="str">
        <f>IFERROR(SUM(SUMIFS('caseload data'!P:P,'caseload data'!$C:$C,'community %'!$T$29,'caseload data'!$D:$D,"SPO",'caseload data'!$B:$B,{"licence","community"}))/SUM(SUMIFS('caseload data'!P:P,'caseload data'!$B:$B,{"licence","community"},'caseload data'!$C:$C,'community %'!$T$29)),"")</f>
        <v/>
      </c>
      <c r="AG34" s="167" t="str">
        <f>IFERROR(SUM(SUMIFS('caseload data'!Q:Q,'caseload data'!$C:$C,'community %'!$T$29,'caseload data'!$D:$D,"SPO",'caseload data'!$B:$B,{"licence","community"}))/SUM(SUMIFS('caseload data'!Q:Q,'caseload data'!$B:$B,{"licence","community"},'caseload data'!$C:$C,'community %'!$T$29)),"")</f>
        <v/>
      </c>
      <c r="AH34" s="167" t="str">
        <f>IFERROR(SUM(SUMIFS('caseload data'!R:R,'caseload data'!$C:$C,'community %'!$T$29,'caseload data'!$D:$D,"SPO",'caseload data'!$B:$B,{"licence","community"}))/SUM(SUMIFS('caseload data'!R:R,'caseload data'!$B:$B,{"licence","community"},'caseload data'!$C:$C,'community %'!$T$29)),"")</f>
        <v/>
      </c>
      <c r="AI34" s="167" t="str">
        <f>IFERROR(SUM(SUMIFS('caseload data'!S:S,'caseload data'!$C:$C,'community %'!$T$29,'caseload data'!$D:$D,"SPO",'caseload data'!$B:$B,{"licence","community"}))/SUM(SUMIFS('caseload data'!S:S,'caseload data'!$B:$B,{"licence","community"},'caseload data'!$C:$C,'community %'!$T$29)),"")</f>
        <v/>
      </c>
      <c r="AJ34" s="167" t="str">
        <f>IFERROR(SUM(SUMIFS('caseload data'!T:T,'caseload data'!$C:$C,'community %'!$T$29,'caseload data'!$D:$D,"SPO",'caseload data'!$B:$B,{"licence","community"}))/SUM(SUMIFS('caseload data'!T:T,'caseload data'!$B:$B,{"licence","community"},'caseload data'!$C:$C,'community %'!$T$29)),"")</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0" customHeight="1" x14ac:dyDescent="0.15">
      <c r="B36" s="289">
        <f>HLOOKUP($B$5,Region_Table,10,0)</f>
        <v>0</v>
      </c>
      <c r="C36" s="507" t="s">
        <v>1139</v>
      </c>
      <c r="D36" s="508"/>
      <c r="E36" s="508"/>
      <c r="F36" s="508"/>
      <c r="G36" s="508"/>
      <c r="H36" s="508"/>
      <c r="I36" s="508"/>
      <c r="J36" s="508"/>
      <c r="K36" s="508"/>
      <c r="L36" s="508"/>
      <c r="M36" s="537"/>
      <c r="N36" s="537"/>
      <c r="O36" s="538"/>
      <c r="P36" s="510" cm="1">
        <f t="array" ref="P36">SUM(SUMIFS('caseload data'!V:V,'caseload data'!B:B,{"licence","community"},'caseload data'!$C:$C,B36))</f>
        <v>0</v>
      </c>
      <c r="Q36" s="527"/>
      <c r="R36" s="528"/>
      <c r="S36" s="64"/>
      <c r="T36" s="289">
        <f>HLOOKUP($B$5,Region_Table,11,0)</f>
        <v>0</v>
      </c>
      <c r="U36" s="507" t="s">
        <v>1139</v>
      </c>
      <c r="V36" s="508"/>
      <c r="W36" s="508"/>
      <c r="X36" s="508"/>
      <c r="Y36" s="508"/>
      <c r="Z36" s="508"/>
      <c r="AA36" s="508"/>
      <c r="AB36" s="508"/>
      <c r="AC36" s="508"/>
      <c r="AD36" s="508"/>
      <c r="AE36" s="537"/>
      <c r="AF36" s="537"/>
      <c r="AG36" s="538"/>
      <c r="AH36" s="510" cm="1">
        <f t="array" ref="AH36">SUM(SUMIFS('caseload data'!V:V,'caseload data'!B:B,{"licence","community"},'caseload data'!$C:$C,T36))</f>
        <v>0</v>
      </c>
      <c r="AI36" s="527"/>
      <c r="AJ36" s="528"/>
    </row>
    <row r="37" spans="2:36" x14ac:dyDescent="0.15">
      <c r="B37" s="95" t="s">
        <v>1005</v>
      </c>
      <c r="C37" s="38" t="s">
        <v>869</v>
      </c>
      <c r="D37" s="38" t="s">
        <v>870</v>
      </c>
      <c r="E37" s="38" t="s">
        <v>871</v>
      </c>
      <c r="F37" s="38" t="s">
        <v>872</v>
      </c>
      <c r="G37" s="38" t="s">
        <v>873</v>
      </c>
      <c r="H37" s="38" t="s">
        <v>874</v>
      </c>
      <c r="I37" s="38" t="s">
        <v>875</v>
      </c>
      <c r="J37" s="38" t="s">
        <v>876</v>
      </c>
      <c r="K37" s="38" t="s">
        <v>877</v>
      </c>
      <c r="L37" s="38" t="s">
        <v>878</v>
      </c>
      <c r="M37" s="38" t="s">
        <v>879</v>
      </c>
      <c r="N37" s="38" t="s">
        <v>880</v>
      </c>
      <c r="O37" s="38" t="s">
        <v>881</v>
      </c>
      <c r="P37" s="38" t="s">
        <v>882</v>
      </c>
      <c r="Q37" s="38" t="s">
        <v>883</v>
      </c>
      <c r="R37" s="38" t="s">
        <v>884</v>
      </c>
      <c r="S37" s="64"/>
      <c r="T37" s="95" t="s">
        <v>1005</v>
      </c>
      <c r="U37" s="38" t="s">
        <v>869</v>
      </c>
      <c r="V37" s="38" t="s">
        <v>870</v>
      </c>
      <c r="W37" s="38" t="s">
        <v>871</v>
      </c>
      <c r="X37" s="38" t="s">
        <v>872</v>
      </c>
      <c r="Y37" s="38" t="s">
        <v>873</v>
      </c>
      <c r="Z37" s="38" t="s">
        <v>874</v>
      </c>
      <c r="AA37" s="38" t="s">
        <v>875</v>
      </c>
      <c r="AB37" s="38" t="s">
        <v>876</v>
      </c>
      <c r="AC37" s="38" t="s">
        <v>877</v>
      </c>
      <c r="AD37" s="38" t="s">
        <v>878</v>
      </c>
      <c r="AE37" s="38" t="s">
        <v>879</v>
      </c>
      <c r="AF37" s="38" t="s">
        <v>880</v>
      </c>
      <c r="AG37" s="38" t="s">
        <v>881</v>
      </c>
      <c r="AH37" s="38" t="s">
        <v>882</v>
      </c>
      <c r="AI37" s="38" t="s">
        <v>883</v>
      </c>
      <c r="AJ37" s="38" t="s">
        <v>884</v>
      </c>
    </row>
    <row r="38" spans="2:36" x14ac:dyDescent="0.15">
      <c r="B38" s="96" t="s">
        <v>1002</v>
      </c>
      <c r="C38" s="167" t="str">
        <f>IFERROR(SUM(SUMIFS('caseload data'!E:E,'caseload data'!$C:$C,'community %'!$B$36,'caseload data'!$D:$D,"PO",'caseload data'!$B:$B,{"licence","community"}))/SUM(SUMIFS('caseload data'!E:E,'caseload data'!$B:$B,{"licence","community"},'caseload data'!$C:$C,'community %'!$B$36)),"")</f>
        <v/>
      </c>
      <c r="D38" s="167" t="str">
        <f>IFERROR(SUM(SUMIFS('caseload data'!F:F,'caseload data'!$C:$C,'community %'!$B$36,'caseload data'!$D:$D,"PO",'caseload data'!$B:$B,{"licence","community"}))/SUM(SUMIFS('caseload data'!F:F,'caseload data'!$B:$B,{"licence","community"},'caseload data'!$C:$C,'community %'!$B$36)),"")</f>
        <v/>
      </c>
      <c r="E38" s="167" t="str">
        <f>IFERROR(SUM(SUMIFS('caseload data'!G:G,'caseload data'!$C:$C,'community %'!$B$36,'caseload data'!$D:$D,"PO",'caseload data'!$B:$B,{"licence","community"}))/SUM(SUMIFS('caseload data'!G:G,'caseload data'!$B:$B,{"licence","community"},'caseload data'!$C:$C,'community %'!$B$36)),"")</f>
        <v/>
      </c>
      <c r="F38" s="167" t="str">
        <f>IFERROR(SUM(SUMIFS('caseload data'!H:H,'caseload data'!$C:$C,'community %'!$B$36,'caseload data'!$D:$D,"PO",'caseload data'!$B:$B,{"licence","community"}))/SUM(SUMIFS('caseload data'!H:H,'caseload data'!$B:$B,{"licence","community"},'caseload data'!$C:$C,'community %'!$B$36)),"")</f>
        <v/>
      </c>
      <c r="G38" s="167" t="str">
        <f>IFERROR(SUM(SUMIFS('caseload data'!I:I,'caseload data'!$C:$C,'community %'!$B$36,'caseload data'!$D:$D,"PO",'caseload data'!$B:$B,{"licence","community"}))/SUM(SUMIFS('caseload data'!I:I,'caseload data'!$B:$B,{"licence","community"},'caseload data'!$C:$C,'community %'!$B$36)),"")</f>
        <v/>
      </c>
      <c r="H38" s="167" t="str">
        <f>IFERROR(SUM(SUMIFS('caseload data'!J:J,'caseload data'!$C:$C,'community %'!$B$36,'caseload data'!$D:$D,"PO",'caseload data'!$B:$B,{"licence","community"}))/SUM(SUMIFS('caseload data'!J:J,'caseload data'!$B:$B,{"licence","community"},'caseload data'!$C:$C,'community %'!$B$36)),"")</f>
        <v/>
      </c>
      <c r="I38" s="167" t="str">
        <f>IFERROR(SUM(SUMIFS('caseload data'!K:K,'caseload data'!$C:$C,'community %'!$B$36,'caseload data'!$D:$D,"PO",'caseload data'!$B:$B,{"licence","community"}))/SUM(SUMIFS('caseload data'!K:K,'caseload data'!$B:$B,{"licence","community"},'caseload data'!$C:$C,'community %'!$B$36)),"")</f>
        <v/>
      </c>
      <c r="J38" s="167" t="str">
        <f>IFERROR(SUM(SUMIFS('caseload data'!L:L,'caseload data'!$C:$C,'community %'!$B$36,'caseload data'!$D:$D,"PO",'caseload data'!$B:$B,{"licence","community"}))/SUM(SUMIFS('caseload data'!L:L,'caseload data'!$B:$B,{"licence","community"},'caseload data'!$C:$C,'community %'!$B$36)),"")</f>
        <v/>
      </c>
      <c r="K38" s="167" t="str">
        <f>IFERROR(SUM(SUMIFS('caseload data'!M:M,'caseload data'!$C:$C,'community %'!$B$36,'caseload data'!$D:$D,"PO",'caseload data'!$B:$B,{"licence","community"}))/SUM(SUMIFS('caseload data'!M:M,'caseload data'!$B:$B,{"licence","community"},'caseload data'!$C:$C,'community %'!$B$36)),"")</f>
        <v/>
      </c>
      <c r="L38" s="167" t="str">
        <f>IFERROR(SUM(SUMIFS('caseload data'!N:N,'caseload data'!$C:$C,'community %'!$B$36,'caseload data'!$D:$D,"PO",'caseload data'!$B:$B,{"licence","community"}))/SUM(SUMIFS('caseload data'!N:N,'caseload data'!$B:$B,{"licence","community"},'caseload data'!$C:$C,'community %'!$B$36)),"")</f>
        <v/>
      </c>
      <c r="M38" s="167" t="str">
        <f>IFERROR(SUM(SUMIFS('caseload data'!O:O,'caseload data'!$C:$C,'community %'!$B$36,'caseload data'!$D:$D,"PO",'caseload data'!$B:$B,{"licence","community"}))/SUM(SUMIFS('caseload data'!O:O,'caseload data'!$B:$B,{"licence","community"},'caseload data'!$C:$C,'community %'!$B$36)),"")</f>
        <v/>
      </c>
      <c r="N38" s="167" t="str">
        <f>IFERROR(SUM(SUMIFS('caseload data'!P:P,'caseload data'!$C:$C,'community %'!$B$36,'caseload data'!$D:$D,"PO",'caseload data'!$B:$B,{"licence","community"}))/SUM(SUMIFS('caseload data'!P:P,'caseload data'!$B:$B,{"licence","community"},'caseload data'!$C:$C,'community %'!$B$36)),"")</f>
        <v/>
      </c>
      <c r="O38" s="167" t="str">
        <f>IFERROR(SUM(SUMIFS('caseload data'!Q:Q,'caseload data'!$C:$C,'community %'!$B$36,'caseload data'!$D:$D,"PO",'caseload data'!$B:$B,{"licence","community"}))/SUM(SUMIFS('caseload data'!Q:Q,'caseload data'!$B:$B,{"licence","community"},'caseload data'!$C:$C,'community %'!$B$36)),"")</f>
        <v/>
      </c>
      <c r="P38" s="167" t="str">
        <f>IFERROR(SUM(SUMIFS('caseload data'!R:R,'caseload data'!$C:$C,'community %'!$B$36,'caseload data'!$D:$D,"PO",'caseload data'!$B:$B,{"licence","community"}))/SUM(SUMIFS('caseload data'!R:R,'caseload data'!$B:$B,{"licence","community"},'caseload data'!$C:$C,'community %'!$B$36)),"")</f>
        <v/>
      </c>
      <c r="Q38" s="167" t="str">
        <f>IFERROR(SUM(SUMIFS('caseload data'!S:S,'caseload data'!$C:$C,'community %'!$B$36,'caseload data'!$D:$D,"PO",'caseload data'!$B:$B,{"licence","community"}))/SUM(SUMIFS('caseload data'!S:S,'caseload data'!$B:$B,{"licence","community"},'caseload data'!$C:$C,'community %'!$B$36)),"")</f>
        <v/>
      </c>
      <c r="R38" s="167" t="str">
        <f>IFERROR(SUM(SUMIFS('caseload data'!T:T,'caseload data'!$C:$C,'community %'!$B$36,'caseload data'!$D:$D,"PO",'caseload data'!$B:$B,{"licence","community"}))/SUM(SUMIFS('caseload data'!T:T,'caseload data'!$B:$B,{"licence","community"},'caseload data'!$C:$C,'community %'!$B$36)),"")</f>
        <v/>
      </c>
      <c r="S38" s="64"/>
      <c r="T38" s="96" t="s">
        <v>1002</v>
      </c>
      <c r="U38" s="167" t="str">
        <f>IFERROR(SUM(SUMIFS('caseload data'!E:E,'caseload data'!$C:$C,'community %'!$T$36,'caseload data'!$D:$D,"PO",'caseload data'!$B:$B,{"licence","community"}))/SUM(SUMIFS('caseload data'!E:E,'caseload data'!$B:$B,{"licence","community"},'caseload data'!$C:$C,'community %'!$T$36)),"")</f>
        <v/>
      </c>
      <c r="V38" s="167" t="str">
        <f>IFERROR(SUM(SUMIFS('caseload data'!F:F,'caseload data'!$C:$C,'community %'!$T$36,'caseload data'!$D:$D,"PO",'caseload data'!$B:$B,{"licence","community"}))/SUM(SUMIFS('caseload data'!F:F,'caseload data'!$B:$B,{"licence","community"},'caseload data'!$C:$C,'community %'!$T$36)),"")</f>
        <v/>
      </c>
      <c r="W38" s="167" t="str">
        <f>IFERROR(SUM(SUMIFS('caseload data'!G:G,'caseload data'!$C:$C,'community %'!$T$36,'caseload data'!$D:$D,"PO",'caseload data'!$B:$B,{"licence","community"}))/SUM(SUMIFS('caseload data'!G:G,'caseload data'!$B:$B,{"licence","community"},'caseload data'!$C:$C,'community %'!$T$36)),"")</f>
        <v/>
      </c>
      <c r="X38" s="167" t="str">
        <f>IFERROR(SUM(SUMIFS('caseload data'!H:H,'caseload data'!$C:$C,'community %'!$T$36,'caseload data'!$D:$D,"PO",'caseload data'!$B:$B,{"licence","community"}))/SUM(SUMIFS('caseload data'!H:H,'caseload data'!$B:$B,{"licence","community"},'caseload data'!$C:$C,'community %'!$T$36)),"")</f>
        <v/>
      </c>
      <c r="Y38" s="167" t="str">
        <f>IFERROR(SUM(SUMIFS('caseload data'!I:I,'caseload data'!$C:$C,'community %'!$T$36,'caseload data'!$D:$D,"PO",'caseload data'!$B:$B,{"licence","community"}))/SUM(SUMIFS('caseload data'!I:I,'caseload data'!$B:$B,{"licence","community"},'caseload data'!$C:$C,'community %'!$T$36)),"")</f>
        <v/>
      </c>
      <c r="Z38" s="167" t="str">
        <f>IFERROR(SUM(SUMIFS('caseload data'!J:J,'caseload data'!$C:$C,'community %'!$T$36,'caseload data'!$D:$D,"PO",'caseload data'!$B:$B,{"licence","community"}))/SUM(SUMIFS('caseload data'!J:J,'caseload data'!$B:$B,{"licence","community"},'caseload data'!$C:$C,'community %'!$T$36)),"")</f>
        <v/>
      </c>
      <c r="AA38" s="167" t="str">
        <f>IFERROR(SUM(SUMIFS('caseload data'!K:K,'caseload data'!$C:$C,'community %'!$T$36,'caseload data'!$D:$D,"PO",'caseload data'!$B:$B,{"licence","community"}))/SUM(SUMIFS('caseload data'!K:K,'caseload data'!$B:$B,{"licence","community"},'caseload data'!$C:$C,'community %'!$T$36)),"")</f>
        <v/>
      </c>
      <c r="AB38" s="167" t="str">
        <f>IFERROR(SUM(SUMIFS('caseload data'!L:L,'caseload data'!$C:$C,'community %'!$T$36,'caseload data'!$D:$D,"PO",'caseload data'!$B:$B,{"licence","community"}))/SUM(SUMIFS('caseload data'!L:L,'caseload data'!$B:$B,{"licence","community"},'caseload data'!$C:$C,'community %'!$T$36)),"")</f>
        <v/>
      </c>
      <c r="AC38" s="167" t="str">
        <f>IFERROR(SUM(SUMIFS('caseload data'!M:M,'caseload data'!$C:$C,'community %'!$T$36,'caseload data'!$D:$D,"PO",'caseload data'!$B:$B,{"licence","community"}))/SUM(SUMIFS('caseload data'!M:M,'caseload data'!$B:$B,{"licence","community"},'caseload data'!$C:$C,'community %'!$T$36)),"")</f>
        <v/>
      </c>
      <c r="AD38" s="167" t="str">
        <f>IFERROR(SUM(SUMIFS('caseload data'!N:N,'caseload data'!$C:$C,'community %'!$T$36,'caseload data'!$D:$D,"PO",'caseload data'!$B:$B,{"licence","community"}))/SUM(SUMIFS('caseload data'!N:N,'caseload data'!$B:$B,{"licence","community"},'caseload data'!$C:$C,'community %'!$T$36)),"")</f>
        <v/>
      </c>
      <c r="AE38" s="167" t="str">
        <f>IFERROR(SUM(SUMIFS('caseload data'!O:O,'caseload data'!$C:$C,'community %'!$T$36,'caseload data'!$D:$D,"PO",'caseload data'!$B:$B,{"licence","community"}))/SUM(SUMIFS('caseload data'!O:O,'caseload data'!$B:$B,{"licence","community"},'caseload data'!$C:$C,'community %'!$T$36)),"")</f>
        <v/>
      </c>
      <c r="AF38" s="167" t="str">
        <f>IFERROR(SUM(SUMIFS('caseload data'!P:P,'caseload data'!$C:$C,'community %'!$T$36,'caseload data'!$D:$D,"PO",'caseload data'!$B:$B,{"licence","community"}))/SUM(SUMIFS('caseload data'!P:P,'caseload data'!$B:$B,{"licence","community"},'caseload data'!$C:$C,'community %'!$T$36)),"")</f>
        <v/>
      </c>
      <c r="AG38" s="167" t="str">
        <f>IFERROR(SUM(SUMIFS('caseload data'!Q:Q,'caseload data'!$C:$C,'community %'!$T$36,'caseload data'!$D:$D,"PO",'caseload data'!$B:$B,{"licence","community"}))/SUM(SUMIFS('caseload data'!Q:Q,'caseload data'!$B:$B,{"licence","community"},'caseload data'!$C:$C,'community %'!$T$36)),"")</f>
        <v/>
      </c>
      <c r="AH38" s="167" t="str">
        <f>IFERROR(SUM(SUMIFS('caseload data'!R:R,'caseload data'!$C:$C,'community %'!$T$36,'caseload data'!$D:$D,"PO",'caseload data'!$B:$B,{"licence","community"}))/SUM(SUMIFS('caseload data'!R:R,'caseload data'!$B:$B,{"licence","community"},'caseload data'!$C:$C,'community %'!$T$36)),"")</f>
        <v/>
      </c>
      <c r="AI38" s="167" t="str">
        <f>IFERROR(SUM(SUMIFS('caseload data'!S:S,'caseload data'!$C:$C,'community %'!$T$36,'caseload data'!$D:$D,"PO",'caseload data'!$B:$B,{"licence","community"}))/SUM(SUMIFS('caseload data'!S:S,'caseload data'!$B:$B,{"licence","community"},'caseload data'!$C:$C,'community %'!$T$36)),"")</f>
        <v/>
      </c>
      <c r="AJ38" s="167" t="str">
        <f>IFERROR(SUM(SUMIFS('caseload data'!T:T,'caseload data'!$C:$C,'community %'!$T$36,'caseload data'!$D:$D,"PO",'caseload data'!$B:$B,{"licence","community"}))/SUM(SUMIFS('caseload data'!T:T,'caseload data'!$B:$B,{"licence","community"},'caseload data'!$C:$C,'community %'!$T$36)),"")</f>
        <v/>
      </c>
    </row>
    <row r="39" spans="2:36" x14ac:dyDescent="0.15">
      <c r="B39" s="97" t="s">
        <v>1007</v>
      </c>
      <c r="C39" s="167" t="str">
        <f>IFERROR(SUM(SUMIFS('caseload data'!E:E,'caseload data'!$C:$C,'community %'!$B$36,'caseload data'!$D:$D,"PSO",'caseload data'!$B:$B,{"licence","community"}))/SUM(SUMIFS('caseload data'!E:E,'caseload data'!$B:$B,{"licence","community"},'caseload data'!$C:$C,'community %'!$B$36)),"")</f>
        <v/>
      </c>
      <c r="D39" s="167" t="str">
        <f>IFERROR(SUM(SUMIFS('caseload data'!F:F,'caseload data'!$C:$C,'community %'!$B$36,'caseload data'!$D:$D,"PSO",'caseload data'!$B:$B,{"licence","community"}))/SUM(SUMIFS('caseload data'!F:F,'caseload data'!$B:$B,{"licence","community"},'caseload data'!$C:$C,'community %'!$B$36)),"")</f>
        <v/>
      </c>
      <c r="E39" s="167" t="str">
        <f>IFERROR(SUM(SUMIFS('caseload data'!G:G,'caseload data'!$C:$C,'community %'!$B$36,'caseload data'!$D:$D,"PSO",'caseload data'!$B:$B,{"licence","community"}))/SUM(SUMIFS('caseload data'!G:G,'caseload data'!$B:$B,{"licence","community"},'caseload data'!$C:$C,'community %'!$B$36)),"")</f>
        <v/>
      </c>
      <c r="F39" s="167" t="str">
        <f>IFERROR(SUM(SUMIFS('caseload data'!H:H,'caseload data'!$C:$C,'community %'!$B$36,'caseload data'!$D:$D,"PSO",'caseload data'!$B:$B,{"licence","community"}))/SUM(SUMIFS('caseload data'!H:H,'caseload data'!$B:$B,{"licence","community"},'caseload data'!$C:$C,'community %'!$B$36)),"")</f>
        <v/>
      </c>
      <c r="G39" s="167" t="str">
        <f>IFERROR(SUM(SUMIFS('caseload data'!I:I,'caseload data'!$C:$C,'community %'!$B$36,'caseload data'!$D:$D,"PSO",'caseload data'!$B:$B,{"licence","community"}))/SUM(SUMIFS('caseload data'!I:I,'caseload data'!$B:$B,{"licence","community"},'caseload data'!$C:$C,'community %'!$B$36)),"")</f>
        <v/>
      </c>
      <c r="H39" s="167" t="str">
        <f>IFERROR(SUM(SUMIFS('caseload data'!J:J,'caseload data'!$C:$C,'community %'!$B$36,'caseload data'!$D:$D,"PSO",'caseload data'!$B:$B,{"licence","community"}))/SUM(SUMIFS('caseload data'!J:J,'caseload data'!$B:$B,{"licence","community"},'caseload data'!$C:$C,'community %'!$B$36)),"")</f>
        <v/>
      </c>
      <c r="I39" s="167" t="str">
        <f>IFERROR(SUM(SUMIFS('caseload data'!K:K,'caseload data'!$C:$C,'community %'!$B$36,'caseload data'!$D:$D,"PSO",'caseload data'!$B:$B,{"licence","community"}))/SUM(SUMIFS('caseload data'!K:K,'caseload data'!$B:$B,{"licence","community"},'caseload data'!$C:$C,'community %'!$B$36)),"")</f>
        <v/>
      </c>
      <c r="J39" s="167" t="str">
        <f>IFERROR(SUM(SUMIFS('caseload data'!L:L,'caseload data'!$C:$C,'community %'!$B$36,'caseload data'!$D:$D,"PSO",'caseload data'!$B:$B,{"licence","community"}))/SUM(SUMIFS('caseload data'!L:L,'caseload data'!$B:$B,{"licence","community"},'caseload data'!$C:$C,'community %'!$B$36)),"")</f>
        <v/>
      </c>
      <c r="K39" s="167" t="str">
        <f>IFERROR(SUM(SUMIFS('caseload data'!M:M,'caseload data'!$C:$C,'community %'!$B$36,'caseload data'!$D:$D,"PSO",'caseload data'!$B:$B,{"licence","community"}))/SUM(SUMIFS('caseload data'!M:M,'caseload data'!$B:$B,{"licence","community"},'caseload data'!$C:$C,'community %'!$B$36)),"")</f>
        <v/>
      </c>
      <c r="L39" s="167" t="str">
        <f>IFERROR(SUM(SUMIFS('caseload data'!N:N,'caseload data'!$C:$C,'community %'!$B$36,'caseload data'!$D:$D,"PSO",'caseload data'!$B:$B,{"licence","community"}))/SUM(SUMIFS('caseload data'!N:N,'caseload data'!$B:$B,{"licence","community"},'caseload data'!$C:$C,'community %'!$B$36)),"")</f>
        <v/>
      </c>
      <c r="M39" s="167" t="str">
        <f>IFERROR(SUM(SUMIFS('caseload data'!O:O,'caseload data'!$C:$C,'community %'!$B$36,'caseload data'!$D:$D,"PSO",'caseload data'!$B:$B,{"licence","community"}))/SUM(SUMIFS('caseload data'!O:O,'caseload data'!$B:$B,{"licence","community"},'caseload data'!$C:$C,'community %'!$B$36)),"")</f>
        <v/>
      </c>
      <c r="N39" s="167" t="str">
        <f>IFERROR(SUM(SUMIFS('caseload data'!P:P,'caseload data'!$C:$C,'community %'!$B$36,'caseload data'!$D:$D,"PSO",'caseload data'!$B:$B,{"licence","community"}))/SUM(SUMIFS('caseload data'!P:P,'caseload data'!$B:$B,{"licence","community"},'caseload data'!$C:$C,'community %'!$B$36)),"")</f>
        <v/>
      </c>
      <c r="O39" s="167" t="str">
        <f>IFERROR(SUM(SUMIFS('caseload data'!Q:Q,'caseload data'!$C:$C,'community %'!$B$36,'caseload data'!$D:$D,"PSO",'caseload data'!$B:$B,{"licence","community"}))/SUM(SUMIFS('caseload data'!Q:Q,'caseload data'!$B:$B,{"licence","community"},'caseload data'!$C:$C,'community %'!$B$36)),"")</f>
        <v/>
      </c>
      <c r="P39" s="167" t="str">
        <f>IFERROR(SUM(SUMIFS('caseload data'!R:R,'caseload data'!$C:$C,'community %'!$B$36,'caseload data'!$D:$D,"PSO",'caseload data'!$B:$B,{"licence","community"}))/SUM(SUMIFS('caseload data'!R:R,'caseload data'!$B:$B,{"licence","community"},'caseload data'!$C:$C,'community %'!$B$36)),"")</f>
        <v/>
      </c>
      <c r="Q39" s="167" t="str">
        <f>IFERROR(SUM(SUMIFS('caseload data'!S:S,'caseload data'!$C:$C,'community %'!$B$36,'caseload data'!$D:$D,"PSO",'caseload data'!$B:$B,{"licence","community"}))/SUM(SUMIFS('caseload data'!S:S,'caseload data'!$B:$B,{"licence","community"},'caseload data'!$C:$C,'community %'!$B$36)),"")</f>
        <v/>
      </c>
      <c r="R39" s="167" t="str">
        <f>IFERROR(SUM(SUMIFS('caseload data'!T:T,'caseload data'!$C:$C,'community %'!$B$36,'caseload data'!$D:$D,"PSO",'caseload data'!$B:$B,{"licence","community"}))/SUM(SUMIFS('caseload data'!T:T,'caseload data'!$B:$B,{"licence","community"},'caseload data'!$C:$C,'community %'!$B$36)),"")</f>
        <v/>
      </c>
      <c r="S39" s="64"/>
      <c r="T39" s="97" t="s">
        <v>1007</v>
      </c>
      <c r="U39" s="167" t="str">
        <f>IFERROR(SUM(SUMIFS('caseload data'!E:E,'caseload data'!$C:$C,'community %'!$T$36,'caseload data'!$D:$D,"PSO",'caseload data'!$B:$B,{"licence","community"}))/SUM(SUMIFS('caseload data'!E:E,'caseload data'!$B:$B,{"licence","community"},'caseload data'!$C:$C,'community %'!$T$36)),"")</f>
        <v/>
      </c>
      <c r="V39" s="167" t="str">
        <f>IFERROR(SUM(SUMIFS('caseload data'!F:F,'caseload data'!$C:$C,'community %'!$T$36,'caseload data'!$D:$D,"PSO",'caseload data'!$B:$B,{"licence","community"}))/SUM(SUMIFS('caseload data'!F:F,'caseload data'!$B:$B,{"licence","community"},'caseload data'!$C:$C,'community %'!$T$36)),"")</f>
        <v/>
      </c>
      <c r="W39" s="167" t="str">
        <f>IFERROR(SUM(SUMIFS('caseload data'!G:G,'caseload data'!$C:$C,'community %'!$T$36,'caseload data'!$D:$D,"PSO",'caseload data'!$B:$B,{"licence","community"}))/SUM(SUMIFS('caseload data'!G:G,'caseload data'!$B:$B,{"licence","community"},'caseload data'!$C:$C,'community %'!$T$36)),"")</f>
        <v/>
      </c>
      <c r="X39" s="167" t="str">
        <f>IFERROR(SUM(SUMIFS('caseload data'!H:H,'caseload data'!$C:$C,'community %'!$T$36,'caseload data'!$D:$D,"PSO",'caseload data'!$B:$B,{"licence","community"}))/SUM(SUMIFS('caseload data'!H:H,'caseload data'!$B:$B,{"licence","community"},'caseload data'!$C:$C,'community %'!$T$36)),"")</f>
        <v/>
      </c>
      <c r="Y39" s="167" t="str">
        <f>IFERROR(SUM(SUMIFS('caseload data'!I:I,'caseload data'!$C:$C,'community %'!$T$36,'caseload data'!$D:$D,"PSO",'caseload data'!$B:$B,{"licence","community"}))/SUM(SUMIFS('caseload data'!I:I,'caseload data'!$B:$B,{"licence","community"},'caseload data'!$C:$C,'community %'!$T$36)),"")</f>
        <v/>
      </c>
      <c r="Z39" s="167" t="str">
        <f>IFERROR(SUM(SUMIFS('caseload data'!J:J,'caseload data'!$C:$C,'community %'!$T$36,'caseload data'!$D:$D,"PSO",'caseload data'!$B:$B,{"licence","community"}))/SUM(SUMIFS('caseload data'!J:J,'caseload data'!$B:$B,{"licence","community"},'caseload data'!$C:$C,'community %'!$T$36)),"")</f>
        <v/>
      </c>
      <c r="AA39" s="167" t="str">
        <f>IFERROR(SUM(SUMIFS('caseload data'!K:K,'caseload data'!$C:$C,'community %'!$T$36,'caseload data'!$D:$D,"PSO",'caseload data'!$B:$B,{"licence","community"}))/SUM(SUMIFS('caseload data'!K:K,'caseload data'!$B:$B,{"licence","community"},'caseload data'!$C:$C,'community %'!$T$36)),"")</f>
        <v/>
      </c>
      <c r="AB39" s="167" t="str">
        <f>IFERROR(SUM(SUMIFS('caseload data'!L:L,'caseload data'!$C:$C,'community %'!$T$36,'caseload data'!$D:$D,"PSO",'caseload data'!$B:$B,{"licence","community"}))/SUM(SUMIFS('caseload data'!L:L,'caseload data'!$B:$B,{"licence","community"},'caseload data'!$C:$C,'community %'!$T$36)),"")</f>
        <v/>
      </c>
      <c r="AC39" s="167" t="str">
        <f>IFERROR(SUM(SUMIFS('caseload data'!M:M,'caseload data'!$C:$C,'community %'!$T$36,'caseload data'!$D:$D,"PSO",'caseload data'!$B:$B,{"licence","community"}))/SUM(SUMIFS('caseload data'!M:M,'caseload data'!$B:$B,{"licence","community"},'caseload data'!$C:$C,'community %'!$T$36)),"")</f>
        <v/>
      </c>
      <c r="AD39" s="167" t="str">
        <f>IFERROR(SUM(SUMIFS('caseload data'!N:N,'caseload data'!$C:$C,'community %'!$T$36,'caseload data'!$D:$D,"PSO",'caseload data'!$B:$B,{"licence","community"}))/SUM(SUMIFS('caseload data'!N:N,'caseload data'!$B:$B,{"licence","community"},'caseload data'!$C:$C,'community %'!$T$36)),"")</f>
        <v/>
      </c>
      <c r="AE39" s="167" t="str">
        <f>IFERROR(SUM(SUMIFS('caseload data'!O:O,'caseload data'!$C:$C,'community %'!$T$36,'caseload data'!$D:$D,"PSO",'caseload data'!$B:$B,{"licence","community"}))/SUM(SUMIFS('caseload data'!O:O,'caseload data'!$B:$B,{"licence","community"},'caseload data'!$C:$C,'community %'!$T$36)),"")</f>
        <v/>
      </c>
      <c r="AF39" s="167" t="str">
        <f>IFERROR(SUM(SUMIFS('caseload data'!P:P,'caseload data'!$C:$C,'community %'!$T$36,'caseload data'!$D:$D,"PSO",'caseload data'!$B:$B,{"licence","community"}))/SUM(SUMIFS('caseload data'!P:P,'caseload data'!$B:$B,{"licence","community"},'caseload data'!$C:$C,'community %'!$T$36)),"")</f>
        <v/>
      </c>
      <c r="AG39" s="167" t="str">
        <f>IFERROR(SUM(SUMIFS('caseload data'!Q:Q,'caseload data'!$C:$C,'community %'!$T$36,'caseload data'!$D:$D,"PSO",'caseload data'!$B:$B,{"licence","community"}))/SUM(SUMIFS('caseload data'!Q:Q,'caseload data'!$B:$B,{"licence","community"},'caseload data'!$C:$C,'community %'!$T$36)),"")</f>
        <v/>
      </c>
      <c r="AH39" s="167" t="str">
        <f>IFERROR(SUM(SUMIFS('caseload data'!R:R,'caseload data'!$C:$C,'community %'!$T$36,'caseload data'!$D:$D,"PSO",'caseload data'!$B:$B,{"licence","community"}))/SUM(SUMIFS('caseload data'!R:R,'caseload data'!$B:$B,{"licence","community"},'caseload data'!$C:$C,'community %'!$T$36)),"")</f>
        <v/>
      </c>
      <c r="AI39" s="167" t="str">
        <f>IFERROR(SUM(SUMIFS('caseload data'!S:S,'caseload data'!$C:$C,'community %'!$T$36,'caseload data'!$D:$D,"PSO",'caseload data'!$B:$B,{"licence","community"}))/SUM(SUMIFS('caseload data'!S:S,'caseload data'!$B:$B,{"licence","community"},'caseload data'!$C:$C,'community %'!$T$36)),"")</f>
        <v/>
      </c>
      <c r="AJ39" s="167" t="str">
        <f>IFERROR(SUM(SUMIFS('caseload data'!T:T,'caseload data'!$C:$C,'community %'!$T$36,'caseload data'!$D:$D,"PSO",'caseload data'!$B:$B,{"licence","community"}))/SUM(SUMIFS('caseload data'!T:T,'caseload data'!$B:$B,{"licence","community"},'caseload data'!$C:$C,'community %'!$T$36)),"")</f>
        <v/>
      </c>
    </row>
    <row r="40" spans="2:36" x14ac:dyDescent="0.15">
      <c r="B40" s="97" t="s">
        <v>1008</v>
      </c>
      <c r="C40" s="167" t="str">
        <f>IFERROR(SUM(SUMIFS('caseload data'!E:E,'caseload data'!$C:$C,'community %'!$B$36,'caseload data'!$D:$D,"TPO",'caseload data'!$B:$B,{"licence","community"}))/SUM(SUMIFS('caseload data'!E:E,'caseload data'!$B:$B,{"licence","community"},'caseload data'!$C:$C,'community %'!$B$36)),"")</f>
        <v/>
      </c>
      <c r="D40" s="167" t="str">
        <f>IFERROR(SUM(SUMIFS('caseload data'!F:F,'caseload data'!$C:$C,'community %'!$B$36,'caseload data'!$D:$D,"TPO",'caseload data'!$B:$B,{"licence","community"}))/SUM(SUMIFS('caseload data'!F:F,'caseload data'!$B:$B,{"licence","community"},'caseload data'!$C:$C,'community %'!$B$36)),"")</f>
        <v/>
      </c>
      <c r="E40" s="167" t="str">
        <f>IFERROR(SUM(SUMIFS('caseload data'!G:G,'caseload data'!$C:$C,'community %'!$B$36,'caseload data'!$D:$D,"TPO",'caseload data'!$B:$B,{"licence","community"}))/SUM(SUMIFS('caseload data'!G:G,'caseload data'!$B:$B,{"licence","community"},'caseload data'!$C:$C,'community %'!$B$36)),"")</f>
        <v/>
      </c>
      <c r="F40" s="167" t="str">
        <f>IFERROR(SUM(SUMIFS('caseload data'!H:H,'caseload data'!$C:$C,'community %'!$B$36,'caseload data'!$D:$D,"TPO",'caseload data'!$B:$B,{"licence","community"}))/SUM(SUMIFS('caseload data'!H:H,'caseload data'!$B:$B,{"licence","community"},'caseload data'!$C:$C,'community %'!$B$36)),"")</f>
        <v/>
      </c>
      <c r="G40" s="167" t="str">
        <f>IFERROR(SUM(SUMIFS('caseload data'!I:I,'caseload data'!$C:$C,'community %'!$B$36,'caseload data'!$D:$D,"TPO",'caseload data'!$B:$B,{"licence","community"}))/SUM(SUMIFS('caseload data'!I:I,'caseload data'!$B:$B,{"licence","community"},'caseload data'!$C:$C,'community %'!$B$36)),"")</f>
        <v/>
      </c>
      <c r="H40" s="167" t="str">
        <f>IFERROR(SUM(SUMIFS('caseload data'!J:J,'caseload data'!$C:$C,'community %'!$B$36,'caseload data'!$D:$D,"TPO",'caseload data'!$B:$B,{"licence","community"}))/SUM(SUMIFS('caseload data'!J:J,'caseload data'!$B:$B,{"licence","community"},'caseload data'!$C:$C,'community %'!$B$36)),"")</f>
        <v/>
      </c>
      <c r="I40" s="167" t="str">
        <f>IFERROR(SUM(SUMIFS('caseload data'!K:K,'caseload data'!$C:$C,'community %'!$B$36,'caseload data'!$D:$D,"TPO",'caseload data'!$B:$B,{"licence","community"}))/SUM(SUMIFS('caseload data'!K:K,'caseload data'!$B:$B,{"licence","community"},'caseload data'!$C:$C,'community %'!$B$36)),"")</f>
        <v/>
      </c>
      <c r="J40" s="167" t="str">
        <f>IFERROR(SUM(SUMIFS('caseload data'!L:L,'caseload data'!$C:$C,'community %'!$B$36,'caseload data'!$D:$D,"TPO",'caseload data'!$B:$B,{"licence","community"}))/SUM(SUMIFS('caseload data'!L:L,'caseload data'!$B:$B,{"licence","community"},'caseload data'!$C:$C,'community %'!$B$36)),"")</f>
        <v/>
      </c>
      <c r="K40" s="167" t="str">
        <f>IFERROR(SUM(SUMIFS('caseload data'!M:M,'caseload data'!$C:$C,'community %'!$B$36,'caseload data'!$D:$D,"TPO",'caseload data'!$B:$B,{"licence","community"}))/SUM(SUMIFS('caseload data'!M:M,'caseload data'!$B:$B,{"licence","community"},'caseload data'!$C:$C,'community %'!$B$36)),"")</f>
        <v/>
      </c>
      <c r="L40" s="167" t="str">
        <f>IFERROR(SUM(SUMIFS('caseload data'!N:N,'caseload data'!$C:$C,'community %'!$B$36,'caseload data'!$D:$D,"TPO",'caseload data'!$B:$B,{"licence","community"}))/SUM(SUMIFS('caseload data'!N:N,'caseload data'!$B:$B,{"licence","community"},'caseload data'!$C:$C,'community %'!$B$36)),"")</f>
        <v/>
      </c>
      <c r="M40" s="167" t="str">
        <f>IFERROR(SUM(SUMIFS('caseload data'!O:O,'caseload data'!$C:$C,'community %'!$B$36,'caseload data'!$D:$D,"TPO",'caseload data'!$B:$B,{"licence","community"}))/SUM(SUMIFS('caseload data'!O:O,'caseload data'!$B:$B,{"licence","community"},'caseload data'!$C:$C,'community %'!$B$36)),"")</f>
        <v/>
      </c>
      <c r="N40" s="167" t="str">
        <f>IFERROR(SUM(SUMIFS('caseload data'!P:P,'caseload data'!$C:$C,'community %'!$B$36,'caseload data'!$D:$D,"TPO",'caseload data'!$B:$B,{"licence","community"}))/SUM(SUMIFS('caseload data'!P:P,'caseload data'!$B:$B,{"licence","community"},'caseload data'!$C:$C,'community %'!$B$36)),"")</f>
        <v/>
      </c>
      <c r="O40" s="167" t="str">
        <f>IFERROR(SUM(SUMIFS('caseload data'!Q:Q,'caseload data'!$C:$C,'community %'!$B$36,'caseload data'!$D:$D,"TPO",'caseload data'!$B:$B,{"licence","community"}))/SUM(SUMIFS('caseload data'!Q:Q,'caseload data'!$B:$B,{"licence","community"},'caseload data'!$C:$C,'community %'!$B$36)),"")</f>
        <v/>
      </c>
      <c r="P40" s="167" t="str">
        <f>IFERROR(SUM(SUMIFS('caseload data'!R:R,'caseload data'!$C:$C,'community %'!$B$36,'caseload data'!$D:$D,"TPO",'caseload data'!$B:$B,{"licence","community"}))/SUM(SUMIFS('caseload data'!R:R,'caseload data'!$B:$B,{"licence","community"},'caseload data'!$C:$C,'community %'!$B$36)),"")</f>
        <v/>
      </c>
      <c r="Q40" s="167" t="str">
        <f>IFERROR(SUM(SUMIFS('caseload data'!S:S,'caseload data'!$C:$C,'community %'!$B$36,'caseload data'!$D:$D,"TPO",'caseload data'!$B:$B,{"licence","community"}))/SUM(SUMIFS('caseload data'!S:S,'caseload data'!$B:$B,{"licence","community"},'caseload data'!$C:$C,'community %'!$B$36)),"")</f>
        <v/>
      </c>
      <c r="R40" s="167" t="str">
        <f>IFERROR(SUM(SUMIFS('caseload data'!T:T,'caseload data'!$C:$C,'community %'!$B$36,'caseload data'!$D:$D,"TPO",'caseload data'!$B:$B,{"licence","community"}))/SUM(SUMIFS('caseload data'!T:T,'caseload data'!$B:$B,{"licence","community"},'caseload data'!$C:$C,'community %'!$B$36)),"")</f>
        <v/>
      </c>
      <c r="S40" s="64"/>
      <c r="T40" s="97" t="s">
        <v>1008</v>
      </c>
      <c r="U40" s="167" t="str">
        <f>IFERROR(SUM(SUMIFS('caseload data'!E:E,'caseload data'!$C:$C,'community %'!$T$36,'caseload data'!$D:$D,"TPO",'caseload data'!$B:$B,{"licence","community"}))/SUM(SUMIFS('caseload data'!E:E,'caseload data'!$B:$B,{"licence","community"},'caseload data'!$C:$C,'community %'!$T$36)),"")</f>
        <v/>
      </c>
      <c r="V40" s="167" t="str">
        <f>IFERROR(SUM(SUMIFS('caseload data'!F:F,'caseload data'!$C:$C,'community %'!$T$36,'caseload data'!$D:$D,"TPO",'caseload data'!$B:$B,{"licence","community"}))/SUM(SUMIFS('caseload data'!F:F,'caseload data'!$B:$B,{"licence","community"},'caseload data'!$C:$C,'community %'!$T$36)),"")</f>
        <v/>
      </c>
      <c r="W40" s="167" t="str">
        <f>IFERROR(SUM(SUMIFS('caseload data'!G:G,'caseload data'!$C:$C,'community %'!$T$36,'caseload data'!$D:$D,"TPO",'caseload data'!$B:$B,{"licence","community"}))/SUM(SUMIFS('caseload data'!G:G,'caseload data'!$B:$B,{"licence","community"},'caseload data'!$C:$C,'community %'!$T$36)),"")</f>
        <v/>
      </c>
      <c r="X40" s="167" t="str">
        <f>IFERROR(SUM(SUMIFS('caseload data'!H:H,'caseload data'!$C:$C,'community %'!$T$36,'caseload data'!$D:$D,"TPO",'caseload data'!$B:$B,{"licence","community"}))/SUM(SUMIFS('caseload data'!H:H,'caseload data'!$B:$B,{"licence","community"},'caseload data'!$C:$C,'community %'!$T$36)),"")</f>
        <v/>
      </c>
      <c r="Y40" s="167" t="str">
        <f>IFERROR(SUM(SUMIFS('caseload data'!I:I,'caseload data'!$C:$C,'community %'!$T$36,'caseload data'!$D:$D,"TPO",'caseload data'!$B:$B,{"licence","community"}))/SUM(SUMIFS('caseload data'!I:I,'caseload data'!$B:$B,{"licence","community"},'caseload data'!$C:$C,'community %'!$T$36)),"")</f>
        <v/>
      </c>
      <c r="Z40" s="167" t="str">
        <f>IFERROR(SUM(SUMIFS('caseload data'!J:J,'caseload data'!$C:$C,'community %'!$T$36,'caseload data'!$D:$D,"TPO",'caseload data'!$B:$B,{"licence","community"}))/SUM(SUMIFS('caseload data'!J:J,'caseload data'!$B:$B,{"licence","community"},'caseload data'!$C:$C,'community %'!$T$36)),"")</f>
        <v/>
      </c>
      <c r="AA40" s="167" t="str">
        <f>IFERROR(SUM(SUMIFS('caseload data'!K:K,'caseload data'!$C:$C,'community %'!$T$36,'caseload data'!$D:$D,"TPO",'caseload data'!$B:$B,{"licence","community"}))/SUM(SUMIFS('caseload data'!K:K,'caseload data'!$B:$B,{"licence","community"},'caseload data'!$C:$C,'community %'!$T$36)),"")</f>
        <v/>
      </c>
      <c r="AB40" s="167" t="str">
        <f>IFERROR(SUM(SUMIFS('caseload data'!L:L,'caseload data'!$C:$C,'community %'!$T$36,'caseload data'!$D:$D,"TPO",'caseload data'!$B:$B,{"licence","community"}))/SUM(SUMIFS('caseload data'!L:L,'caseload data'!$B:$B,{"licence","community"},'caseload data'!$C:$C,'community %'!$T$36)),"")</f>
        <v/>
      </c>
      <c r="AC40" s="167" t="str">
        <f>IFERROR(SUM(SUMIFS('caseload data'!M:M,'caseload data'!$C:$C,'community %'!$T$36,'caseload data'!$D:$D,"TPO",'caseload data'!$B:$B,{"licence","community"}))/SUM(SUMIFS('caseload data'!M:M,'caseload data'!$B:$B,{"licence","community"},'caseload data'!$C:$C,'community %'!$T$36)),"")</f>
        <v/>
      </c>
      <c r="AD40" s="167" t="str">
        <f>IFERROR(SUM(SUMIFS('caseload data'!N:N,'caseload data'!$C:$C,'community %'!$T$36,'caseload data'!$D:$D,"TPO",'caseload data'!$B:$B,{"licence","community"}))/SUM(SUMIFS('caseload data'!N:N,'caseload data'!$B:$B,{"licence","community"},'caseload data'!$C:$C,'community %'!$T$36)),"")</f>
        <v/>
      </c>
      <c r="AE40" s="167" t="str">
        <f>IFERROR(SUM(SUMIFS('caseload data'!O:O,'caseload data'!$C:$C,'community %'!$T$36,'caseload data'!$D:$D,"TPO",'caseload data'!$B:$B,{"licence","community"}))/SUM(SUMIFS('caseload data'!O:O,'caseload data'!$B:$B,{"licence","community"},'caseload data'!$C:$C,'community %'!$T$36)),"")</f>
        <v/>
      </c>
      <c r="AF40" s="167" t="str">
        <f>IFERROR(SUM(SUMIFS('caseload data'!P:P,'caseload data'!$C:$C,'community %'!$T$36,'caseload data'!$D:$D,"TPO",'caseload data'!$B:$B,{"licence","community"}))/SUM(SUMIFS('caseload data'!P:P,'caseload data'!$B:$B,{"licence","community"},'caseload data'!$C:$C,'community %'!$T$36)),"")</f>
        <v/>
      </c>
      <c r="AG40" s="167" t="str">
        <f>IFERROR(SUM(SUMIFS('caseload data'!Q:Q,'caseload data'!$C:$C,'community %'!$T$36,'caseload data'!$D:$D,"TPO",'caseload data'!$B:$B,{"licence","community"}))/SUM(SUMIFS('caseload data'!Q:Q,'caseload data'!$B:$B,{"licence","community"},'caseload data'!$C:$C,'community %'!$T$36)),"")</f>
        <v/>
      </c>
      <c r="AH40" s="167" t="str">
        <f>IFERROR(SUM(SUMIFS('caseload data'!R:R,'caseload data'!$C:$C,'community %'!$T$36,'caseload data'!$D:$D,"TPO",'caseload data'!$B:$B,{"licence","community"}))/SUM(SUMIFS('caseload data'!R:R,'caseload data'!$B:$B,{"licence","community"},'caseload data'!$C:$C,'community %'!$T$36)),"")</f>
        <v/>
      </c>
      <c r="AI40" s="167" t="str">
        <f>IFERROR(SUM(SUMIFS('caseload data'!S:S,'caseload data'!$C:$C,'community %'!$T$36,'caseload data'!$D:$D,"TPO",'caseload data'!$B:$B,{"licence","community"}))/SUM(SUMIFS('caseload data'!S:S,'caseload data'!$B:$B,{"licence","community"},'caseload data'!$C:$C,'community %'!$T$36)),"")</f>
        <v/>
      </c>
      <c r="AJ40" s="167" t="str">
        <f>IFERROR(SUM(SUMIFS('caseload data'!T:T,'caseload data'!$C:$C,'community %'!$T$36,'caseload data'!$D:$D,"TPO",'caseload data'!$B:$B,{"licence","community"}))/SUM(SUMIFS('caseload data'!T:T,'caseload data'!$B:$B,{"licence","community"},'caseload data'!$C:$C,'community %'!$T$36)),"")</f>
        <v/>
      </c>
    </row>
    <row r="41" spans="2:36" x14ac:dyDescent="0.15">
      <c r="B41" s="98" t="s">
        <v>1009</v>
      </c>
      <c r="C41" s="167" t="str">
        <f>IFERROR(SUM(SUMIFS('caseload data'!E:E,'caseload data'!$C:$C,'community %'!$B$36,'caseload data'!$D:$D,"SPO",'caseload data'!$B:$B,{"licence","community"}))/SUM(SUMIFS('caseload data'!E:E,'caseload data'!$B:$B,{"licence","community"},'caseload data'!$C:$C,'community %'!$B$36)),"")</f>
        <v/>
      </c>
      <c r="D41" s="167" t="str">
        <f>IFERROR(SUM(SUMIFS('caseload data'!F:F,'caseload data'!$C:$C,'community %'!$B$36,'caseload data'!$D:$D,"SPO",'caseload data'!$B:$B,{"licence","community"}))/SUM(SUMIFS('caseload data'!F:F,'caseload data'!$B:$B,{"licence","community"},'caseload data'!$C:$C,'community %'!$B$36)),"")</f>
        <v/>
      </c>
      <c r="E41" s="167" t="str">
        <f>IFERROR(SUM(SUMIFS('caseload data'!G:G,'caseload data'!$C:$C,'community %'!$B$36,'caseload data'!$D:$D,"SPO",'caseload data'!$B:$B,{"licence","community"}))/SUM(SUMIFS('caseload data'!G:G,'caseload data'!$B:$B,{"licence","community"},'caseload data'!$C:$C,'community %'!$B$36)),"")</f>
        <v/>
      </c>
      <c r="F41" s="167" t="str">
        <f>IFERROR(SUM(SUMIFS('caseload data'!H:H,'caseload data'!$C:$C,'community %'!$B$36,'caseload data'!$D:$D,"SPO",'caseload data'!$B:$B,{"licence","community"}))/SUM(SUMIFS('caseload data'!H:H,'caseload data'!$B:$B,{"licence","community"},'caseload data'!$C:$C,'community %'!$B$36)),"")</f>
        <v/>
      </c>
      <c r="G41" s="167" t="str">
        <f>IFERROR(SUM(SUMIFS('caseload data'!I:I,'caseload data'!$C:$C,'community %'!$B$36,'caseload data'!$D:$D,"SPO",'caseload data'!$B:$B,{"licence","community"}))/SUM(SUMIFS('caseload data'!I:I,'caseload data'!$B:$B,{"licence","community"},'caseload data'!$C:$C,'community %'!$B$36)),"")</f>
        <v/>
      </c>
      <c r="H41" s="167" t="str">
        <f>IFERROR(SUM(SUMIFS('caseload data'!J:J,'caseload data'!$C:$C,'community %'!$B$36,'caseload data'!$D:$D,"SPO",'caseload data'!$B:$B,{"licence","community"}))/SUM(SUMIFS('caseload data'!J:J,'caseload data'!$B:$B,{"licence","community"},'caseload data'!$C:$C,'community %'!$B$36)),"")</f>
        <v/>
      </c>
      <c r="I41" s="167" t="str">
        <f>IFERROR(SUM(SUMIFS('caseload data'!K:K,'caseload data'!$C:$C,'community %'!$B$36,'caseload data'!$D:$D,"SPO",'caseload data'!$B:$B,{"licence","community"}))/SUM(SUMIFS('caseload data'!K:K,'caseload data'!$B:$B,{"licence","community"},'caseload data'!$C:$C,'community %'!$B$36)),"")</f>
        <v/>
      </c>
      <c r="J41" s="167" t="str">
        <f>IFERROR(SUM(SUMIFS('caseload data'!L:L,'caseload data'!$C:$C,'community %'!$B$36,'caseload data'!$D:$D,"SPO",'caseload data'!$B:$B,{"licence","community"}))/SUM(SUMIFS('caseload data'!L:L,'caseload data'!$B:$B,{"licence","community"},'caseload data'!$C:$C,'community %'!$B$36)),"")</f>
        <v/>
      </c>
      <c r="K41" s="167" t="str">
        <f>IFERROR(SUM(SUMIFS('caseload data'!M:M,'caseload data'!$C:$C,'community %'!$B$36,'caseload data'!$D:$D,"SPO",'caseload data'!$B:$B,{"licence","community"}))/SUM(SUMIFS('caseload data'!M:M,'caseload data'!$B:$B,{"licence","community"},'caseload data'!$C:$C,'community %'!$B$36)),"")</f>
        <v/>
      </c>
      <c r="L41" s="167" t="str">
        <f>IFERROR(SUM(SUMIFS('caseload data'!N:N,'caseload data'!$C:$C,'community %'!$B$36,'caseload data'!$D:$D,"SPO",'caseload data'!$B:$B,{"licence","community"}))/SUM(SUMIFS('caseload data'!N:N,'caseload data'!$B:$B,{"licence","community"},'caseload data'!$C:$C,'community %'!$B$36)),"")</f>
        <v/>
      </c>
      <c r="M41" s="167" t="str">
        <f>IFERROR(SUM(SUMIFS('caseload data'!O:O,'caseload data'!$C:$C,'community %'!$B$36,'caseload data'!$D:$D,"SPO",'caseload data'!$B:$B,{"licence","community"}))/SUM(SUMIFS('caseload data'!O:O,'caseload data'!$B:$B,{"licence","community"},'caseload data'!$C:$C,'community %'!$B$36)),"")</f>
        <v/>
      </c>
      <c r="N41" s="167" t="str">
        <f>IFERROR(SUM(SUMIFS('caseload data'!P:P,'caseload data'!$C:$C,'community %'!$B$36,'caseload data'!$D:$D,"SPO",'caseload data'!$B:$B,{"licence","community"}))/SUM(SUMIFS('caseload data'!P:P,'caseload data'!$B:$B,{"licence","community"},'caseload data'!$C:$C,'community %'!$B$36)),"")</f>
        <v/>
      </c>
      <c r="O41" s="167" t="str">
        <f>IFERROR(SUM(SUMIFS('caseload data'!Q:Q,'caseload data'!$C:$C,'community %'!$B$36,'caseload data'!$D:$D,"SPO",'caseload data'!$B:$B,{"licence","community"}))/SUM(SUMIFS('caseload data'!Q:Q,'caseload data'!$B:$B,{"licence","community"},'caseload data'!$C:$C,'community %'!$B$36)),"")</f>
        <v/>
      </c>
      <c r="P41" s="167" t="str">
        <f>IFERROR(SUM(SUMIFS('caseload data'!R:R,'caseload data'!$C:$C,'community %'!$B$36,'caseload data'!$D:$D,"SPO",'caseload data'!$B:$B,{"licence","community"}))/SUM(SUMIFS('caseload data'!R:R,'caseload data'!$B:$B,{"licence","community"},'caseload data'!$C:$C,'community %'!$B$36)),"")</f>
        <v/>
      </c>
      <c r="Q41" s="167" t="str">
        <f>IFERROR(SUM(SUMIFS('caseload data'!S:S,'caseload data'!$C:$C,'community %'!$B$36,'caseload data'!$D:$D,"SPO",'caseload data'!$B:$B,{"licence","community"}))/SUM(SUMIFS('caseload data'!S:S,'caseload data'!$B:$B,{"licence","community"},'caseload data'!$C:$C,'community %'!$B$36)),"")</f>
        <v/>
      </c>
      <c r="R41" s="167" t="str">
        <f>IFERROR(SUM(SUMIFS('caseload data'!T:T,'caseload data'!$C:$C,'community %'!$B$36,'caseload data'!$D:$D,"SPO",'caseload data'!$B:$B,{"licence","community"}))/SUM(SUMIFS('caseload data'!T:T,'caseload data'!$B:$B,{"licence","community"},'caseload data'!$C:$C,'community %'!$B$36)),"")</f>
        <v/>
      </c>
      <c r="S41" s="64"/>
      <c r="T41" s="98" t="s">
        <v>1009</v>
      </c>
      <c r="U41" s="167" t="str">
        <f>IFERROR(SUM(SUMIFS('caseload data'!E:E,'caseload data'!$C:$C,'community %'!$T$36,'caseload data'!$D:$D,"SPO",'caseload data'!$B:$B,{"licence","community"}))/SUM(SUMIFS('caseload data'!E:E,'caseload data'!$B:$B,{"licence","community"},'caseload data'!$C:$C,'community %'!$T$36)),"")</f>
        <v/>
      </c>
      <c r="V41" s="167" t="str">
        <f>IFERROR(SUM(SUMIFS('caseload data'!F:F,'caseload data'!$C:$C,'community %'!$T$36,'caseload data'!$D:$D,"SPO",'caseload data'!$B:$B,{"licence","community"}))/SUM(SUMIFS('caseload data'!F:F,'caseload data'!$B:$B,{"licence","community"},'caseload data'!$C:$C,'community %'!$T$36)),"")</f>
        <v/>
      </c>
      <c r="W41" s="167" t="str">
        <f>IFERROR(SUM(SUMIFS('caseload data'!G:G,'caseload data'!$C:$C,'community %'!$T$36,'caseload data'!$D:$D,"SPO",'caseload data'!$B:$B,{"licence","community"}))/SUM(SUMIFS('caseload data'!G:G,'caseload data'!$B:$B,{"licence","community"},'caseload data'!$C:$C,'community %'!$T$36)),"")</f>
        <v/>
      </c>
      <c r="X41" s="167" t="str">
        <f>IFERROR(SUM(SUMIFS('caseload data'!H:H,'caseload data'!$C:$C,'community %'!$T$36,'caseload data'!$D:$D,"SPO",'caseload data'!$B:$B,{"licence","community"}))/SUM(SUMIFS('caseload data'!H:H,'caseload data'!$B:$B,{"licence","community"},'caseload data'!$C:$C,'community %'!$T$36)),"")</f>
        <v/>
      </c>
      <c r="Y41" s="167" t="str">
        <f>IFERROR(SUM(SUMIFS('caseload data'!I:I,'caseload data'!$C:$C,'community %'!$T$36,'caseload data'!$D:$D,"SPO",'caseload data'!$B:$B,{"licence","community"}))/SUM(SUMIFS('caseload data'!I:I,'caseload data'!$B:$B,{"licence","community"},'caseload data'!$C:$C,'community %'!$T$36)),"")</f>
        <v/>
      </c>
      <c r="Z41" s="167" t="str">
        <f>IFERROR(SUM(SUMIFS('caseload data'!J:J,'caseload data'!$C:$C,'community %'!$T$36,'caseload data'!$D:$D,"SPO",'caseload data'!$B:$B,{"licence","community"}))/SUM(SUMIFS('caseload data'!J:J,'caseload data'!$B:$B,{"licence","community"},'caseload data'!$C:$C,'community %'!$T$36)),"")</f>
        <v/>
      </c>
      <c r="AA41" s="167" t="str">
        <f>IFERROR(SUM(SUMIFS('caseload data'!K:K,'caseload data'!$C:$C,'community %'!$T$36,'caseload data'!$D:$D,"SPO",'caseload data'!$B:$B,{"licence","community"}))/SUM(SUMIFS('caseload data'!K:K,'caseload data'!$B:$B,{"licence","community"},'caseload data'!$C:$C,'community %'!$T$36)),"")</f>
        <v/>
      </c>
      <c r="AB41" s="167" t="str">
        <f>IFERROR(SUM(SUMIFS('caseload data'!L:L,'caseload data'!$C:$C,'community %'!$T$36,'caseload data'!$D:$D,"SPO",'caseload data'!$B:$B,{"licence","community"}))/SUM(SUMIFS('caseload data'!L:L,'caseload data'!$B:$B,{"licence","community"},'caseload data'!$C:$C,'community %'!$T$36)),"")</f>
        <v/>
      </c>
      <c r="AC41" s="167" t="str">
        <f>IFERROR(SUM(SUMIFS('caseload data'!M:M,'caseload data'!$C:$C,'community %'!$T$36,'caseload data'!$D:$D,"SPO",'caseload data'!$B:$B,{"licence","community"}))/SUM(SUMIFS('caseload data'!M:M,'caseload data'!$B:$B,{"licence","community"},'caseload data'!$C:$C,'community %'!$T$36)),"")</f>
        <v/>
      </c>
      <c r="AD41" s="167" t="str">
        <f>IFERROR(SUM(SUMIFS('caseload data'!N:N,'caseload data'!$C:$C,'community %'!$T$36,'caseload data'!$D:$D,"SPO",'caseload data'!$B:$B,{"licence","community"}))/SUM(SUMIFS('caseload data'!N:N,'caseload data'!$B:$B,{"licence","community"},'caseload data'!$C:$C,'community %'!$T$36)),"")</f>
        <v/>
      </c>
      <c r="AE41" s="167" t="str">
        <f>IFERROR(SUM(SUMIFS('caseload data'!O:O,'caseload data'!$C:$C,'community %'!$T$36,'caseload data'!$D:$D,"SPO",'caseload data'!$B:$B,{"licence","community"}))/SUM(SUMIFS('caseload data'!O:O,'caseload data'!$B:$B,{"licence","community"},'caseload data'!$C:$C,'community %'!$T$36)),"")</f>
        <v/>
      </c>
      <c r="AF41" s="167" t="str">
        <f>IFERROR(SUM(SUMIFS('caseload data'!P:P,'caseload data'!$C:$C,'community %'!$T$36,'caseload data'!$D:$D,"SPO",'caseload data'!$B:$B,{"licence","community"}))/SUM(SUMIFS('caseload data'!P:P,'caseload data'!$B:$B,{"licence","community"},'caseload data'!$C:$C,'community %'!$T$36)),"")</f>
        <v/>
      </c>
      <c r="AG41" s="167" t="str">
        <f>IFERROR(SUM(SUMIFS('caseload data'!Q:Q,'caseload data'!$C:$C,'community %'!$T$36,'caseload data'!$D:$D,"SPO",'caseload data'!$B:$B,{"licence","community"}))/SUM(SUMIFS('caseload data'!Q:Q,'caseload data'!$B:$B,{"licence","community"},'caseload data'!$C:$C,'community %'!$T$36)),"")</f>
        <v/>
      </c>
      <c r="AH41" s="167" t="str">
        <f>IFERROR(SUM(SUMIFS('caseload data'!R:R,'caseload data'!$C:$C,'community %'!$T$36,'caseload data'!$D:$D,"SPO",'caseload data'!$B:$B,{"licence","community"}))/SUM(SUMIFS('caseload data'!R:R,'caseload data'!$B:$B,{"licence","community"},'caseload data'!$C:$C,'community %'!$T$36)),"")</f>
        <v/>
      </c>
      <c r="AI41" s="167" t="str">
        <f>IFERROR(SUM(SUMIFS('caseload data'!S:S,'caseload data'!$C:$C,'community %'!$T$36,'caseload data'!$D:$D,"SPO",'caseload data'!$B:$B,{"licence","community"}))/SUM(SUMIFS('caseload data'!S:S,'caseload data'!$B:$B,{"licence","community"},'caseload data'!$C:$C,'community %'!$T$36)),"")</f>
        <v/>
      </c>
      <c r="AJ41" s="167" t="str">
        <f>IFERROR(SUM(SUMIFS('caseload data'!T:T,'caseload data'!$C:$C,'community %'!$T$36,'caseload data'!$D:$D,"SPO",'caseload data'!$B:$B,{"licence","community"}))/SUM(SUMIFS('caseload data'!T:T,'caseload data'!$B:$B,{"licence","community"},'caseload data'!$C:$C,'community %'!$T$36)),"")</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3.75" customHeight="1" x14ac:dyDescent="0.15">
      <c r="B43" s="289">
        <f>HLOOKUP($B$5,Region_Table,12,0)</f>
        <v>0</v>
      </c>
      <c r="C43" s="507" t="s">
        <v>1139</v>
      </c>
      <c r="D43" s="508"/>
      <c r="E43" s="508"/>
      <c r="F43" s="508"/>
      <c r="G43" s="508"/>
      <c r="H43" s="508"/>
      <c r="I43" s="508"/>
      <c r="J43" s="508"/>
      <c r="K43" s="508"/>
      <c r="L43" s="508"/>
      <c r="M43" s="537"/>
      <c r="N43" s="537"/>
      <c r="O43" s="538"/>
      <c r="P43" s="510" cm="1">
        <f t="array" ref="P43">SUM(SUMIFS('caseload data'!V:V,'caseload data'!B:B,{"licence","community"},'caseload data'!$C:$C,B43))</f>
        <v>0</v>
      </c>
      <c r="Q43" s="527"/>
      <c r="R43" s="528"/>
      <c r="S43" s="64"/>
      <c r="T43" s="289">
        <f>HLOOKUP($B$5,Region_Table,13,0)</f>
        <v>0</v>
      </c>
      <c r="U43" s="507" t="s">
        <v>1139</v>
      </c>
      <c r="V43" s="508"/>
      <c r="W43" s="508"/>
      <c r="X43" s="508"/>
      <c r="Y43" s="508"/>
      <c r="Z43" s="508"/>
      <c r="AA43" s="508"/>
      <c r="AB43" s="508"/>
      <c r="AC43" s="508"/>
      <c r="AD43" s="508"/>
      <c r="AE43" s="537"/>
      <c r="AF43" s="537"/>
      <c r="AG43" s="538"/>
      <c r="AH43" s="510" cm="1">
        <f t="array" ref="AH43">SUM(SUMIFS('caseload data'!V:V,'caseload data'!B:B,{"licence","community"},'caseload data'!$C:$C,T43))</f>
        <v>0</v>
      </c>
      <c r="AI43" s="527"/>
      <c r="AJ43" s="528"/>
    </row>
    <row r="44" spans="2:36" x14ac:dyDescent="0.15">
      <c r="B44" s="95" t="s">
        <v>1005</v>
      </c>
      <c r="C44" s="38" t="s">
        <v>869</v>
      </c>
      <c r="D44" s="38" t="s">
        <v>870</v>
      </c>
      <c r="E44" s="38" t="s">
        <v>871</v>
      </c>
      <c r="F44" s="38" t="s">
        <v>872</v>
      </c>
      <c r="G44" s="38" t="s">
        <v>873</v>
      </c>
      <c r="H44" s="38" t="s">
        <v>874</v>
      </c>
      <c r="I44" s="38" t="s">
        <v>875</v>
      </c>
      <c r="J44" s="38" t="s">
        <v>876</v>
      </c>
      <c r="K44" s="38" t="s">
        <v>877</v>
      </c>
      <c r="L44" s="38" t="s">
        <v>878</v>
      </c>
      <c r="M44" s="38" t="s">
        <v>879</v>
      </c>
      <c r="N44" s="38" t="s">
        <v>880</v>
      </c>
      <c r="O44" s="38" t="s">
        <v>881</v>
      </c>
      <c r="P44" s="38" t="s">
        <v>882</v>
      </c>
      <c r="Q44" s="38" t="s">
        <v>883</v>
      </c>
      <c r="R44" s="38" t="s">
        <v>884</v>
      </c>
      <c r="S44" s="64"/>
      <c r="T44" s="95" t="s">
        <v>1005</v>
      </c>
      <c r="U44" s="38" t="s">
        <v>869</v>
      </c>
      <c r="V44" s="38" t="s">
        <v>870</v>
      </c>
      <c r="W44" s="38" t="s">
        <v>871</v>
      </c>
      <c r="X44" s="38" t="s">
        <v>872</v>
      </c>
      <c r="Y44" s="38" t="s">
        <v>873</v>
      </c>
      <c r="Z44" s="38" t="s">
        <v>874</v>
      </c>
      <c r="AA44" s="38" t="s">
        <v>875</v>
      </c>
      <c r="AB44" s="38" t="s">
        <v>876</v>
      </c>
      <c r="AC44" s="38" t="s">
        <v>877</v>
      </c>
      <c r="AD44" s="38" t="s">
        <v>878</v>
      </c>
      <c r="AE44" s="38" t="s">
        <v>879</v>
      </c>
      <c r="AF44" s="38" t="s">
        <v>880</v>
      </c>
      <c r="AG44" s="38" t="s">
        <v>881</v>
      </c>
      <c r="AH44" s="38" t="s">
        <v>882</v>
      </c>
      <c r="AI44" s="38" t="s">
        <v>883</v>
      </c>
      <c r="AJ44" s="38" t="s">
        <v>884</v>
      </c>
    </row>
    <row r="45" spans="2:36" x14ac:dyDescent="0.15">
      <c r="B45" s="96" t="s">
        <v>1002</v>
      </c>
      <c r="C45" s="167" t="str">
        <f>IFERROR(SUM(SUMIFS('caseload data'!E:E,'caseload data'!$C:$C,'community %'!$B$43,'caseload data'!$D:$D,"PO",'caseload data'!$B:$B,{"licence","community"}))/SUM(SUMIFS('caseload data'!E:E,'caseload data'!$B:$B,{"licence","community"},'caseload data'!$C:$C,'community %'!$B$43)),"")</f>
        <v/>
      </c>
      <c r="D45" s="167" t="str">
        <f>IFERROR(SUM(SUMIFS('caseload data'!F:F,'caseload data'!$C:$C,'community %'!$B$43,'caseload data'!$D:$D,"PO",'caseload data'!$B:$B,{"licence","community"}))/SUM(SUMIFS('caseload data'!F:F,'caseload data'!$B:$B,{"licence","community"},'caseload data'!$C:$C,'community %'!$B$43)),"")</f>
        <v/>
      </c>
      <c r="E45" s="167" t="str">
        <f>IFERROR(SUM(SUMIFS('caseload data'!G:G,'caseload data'!$C:$C,'community %'!$B$43,'caseload data'!$D:$D,"PO",'caseload data'!$B:$B,{"licence","community"}))/SUM(SUMIFS('caseload data'!G:G,'caseload data'!$B:$B,{"licence","community"},'caseload data'!$C:$C,'community %'!$B$43)),"")</f>
        <v/>
      </c>
      <c r="F45" s="167" t="str">
        <f>IFERROR(SUM(SUMIFS('caseload data'!H:H,'caseload data'!$C:$C,'community %'!$B$43,'caseload data'!$D:$D,"PO",'caseload data'!$B:$B,{"licence","community"}))/SUM(SUMIFS('caseload data'!H:H,'caseload data'!$B:$B,{"licence","community"},'caseload data'!$C:$C,'community %'!$B$43)),"")</f>
        <v/>
      </c>
      <c r="G45" s="167" t="str">
        <f>IFERROR(SUM(SUMIFS('caseload data'!I:I,'caseload data'!$C:$C,'community %'!$B$43,'caseload data'!$D:$D,"PO",'caseload data'!$B:$B,{"licence","community"}))/SUM(SUMIFS('caseload data'!I:I,'caseload data'!$B:$B,{"licence","community"},'caseload data'!$C:$C,'community %'!$B$43)),"")</f>
        <v/>
      </c>
      <c r="H45" s="167" t="str">
        <f>IFERROR(SUM(SUMIFS('caseload data'!J:J,'caseload data'!$C:$C,'community %'!$B$43,'caseload data'!$D:$D,"PO",'caseload data'!$B:$B,{"licence","community"}))/SUM(SUMIFS('caseload data'!J:J,'caseload data'!$B:$B,{"licence","community"},'caseload data'!$C:$C,'community %'!$B$43)),"")</f>
        <v/>
      </c>
      <c r="I45" s="167" t="str">
        <f>IFERROR(SUM(SUMIFS('caseload data'!K:K,'caseload data'!$C:$C,'community %'!$B$43,'caseload data'!$D:$D,"PO",'caseload data'!$B:$B,{"licence","community"}))/SUM(SUMIFS('caseload data'!K:K,'caseload data'!$B:$B,{"licence","community"},'caseload data'!$C:$C,'community %'!$B$43)),"")</f>
        <v/>
      </c>
      <c r="J45" s="167" t="str">
        <f>IFERROR(SUM(SUMIFS('caseload data'!L:L,'caseload data'!$C:$C,'community %'!$B$43,'caseload data'!$D:$D,"PO",'caseload data'!$B:$B,{"licence","community"}))/SUM(SUMIFS('caseload data'!L:L,'caseload data'!$B:$B,{"licence","community"},'caseload data'!$C:$C,'community %'!$B$43)),"")</f>
        <v/>
      </c>
      <c r="K45" s="167" t="str">
        <f>IFERROR(SUM(SUMIFS('caseload data'!M:M,'caseload data'!$C:$C,'community %'!$B$43,'caseload data'!$D:$D,"PO",'caseload data'!$B:$B,{"licence","community"}))/SUM(SUMIFS('caseload data'!M:M,'caseload data'!$B:$B,{"licence","community"},'caseload data'!$C:$C,'community %'!$B$43)),"")</f>
        <v/>
      </c>
      <c r="L45" s="167" t="str">
        <f>IFERROR(SUM(SUMIFS('caseload data'!N:N,'caseload data'!$C:$C,'community %'!$B$43,'caseload data'!$D:$D,"PO",'caseload data'!$B:$B,{"licence","community"}))/SUM(SUMIFS('caseload data'!N:N,'caseload data'!$B:$B,{"licence","community"},'caseload data'!$C:$C,'community %'!$B$43)),"")</f>
        <v/>
      </c>
      <c r="M45" s="167" t="str">
        <f>IFERROR(SUM(SUMIFS('caseload data'!O:O,'caseload data'!$C:$C,'community %'!$B$43,'caseload data'!$D:$D,"PO",'caseload data'!$B:$B,{"licence","community"}))/SUM(SUMIFS('caseload data'!O:O,'caseload data'!$B:$B,{"licence","community"},'caseload data'!$C:$C,'community %'!$B$43)),"")</f>
        <v/>
      </c>
      <c r="N45" s="167" t="str">
        <f>IFERROR(SUM(SUMIFS('caseload data'!P:P,'caseload data'!$C:$C,'community %'!$B$43,'caseload data'!$D:$D,"PO",'caseload data'!$B:$B,{"licence","community"}))/SUM(SUMIFS('caseload data'!P:P,'caseload data'!$B:$B,{"licence","community"},'caseload data'!$C:$C,'community %'!$B$43)),"")</f>
        <v/>
      </c>
      <c r="O45" s="167" t="str">
        <f>IFERROR(SUM(SUMIFS('caseload data'!Q:Q,'caseload data'!$C:$C,'community %'!$B$43,'caseload data'!$D:$D,"PO",'caseload data'!$B:$B,{"licence","community"}))/SUM(SUMIFS('caseload data'!Q:Q,'caseload data'!$B:$B,{"licence","community"},'caseload data'!$C:$C,'community %'!$B$43)),"")</f>
        <v/>
      </c>
      <c r="P45" s="167" t="str">
        <f>IFERROR(SUM(SUMIFS('caseload data'!R:R,'caseload data'!$C:$C,'community %'!$B$43,'caseload data'!$D:$D,"PO",'caseload data'!$B:$B,{"licence","community"}))/SUM(SUMIFS('caseload data'!R:R,'caseload data'!$B:$B,{"licence","community"},'caseload data'!$C:$C,'community %'!$B$43)),"")</f>
        <v/>
      </c>
      <c r="Q45" s="167" t="str">
        <f>IFERROR(SUM(SUMIFS('caseload data'!S:S,'caseload data'!$C:$C,'community %'!$B$43,'caseload data'!$D:$D,"PO",'caseload data'!$B:$B,{"licence","community"}))/SUM(SUMIFS('caseload data'!S:S,'caseload data'!$B:$B,{"licence","community"},'caseload data'!$C:$C,'community %'!$B$43)),"")</f>
        <v/>
      </c>
      <c r="R45" s="167" t="str">
        <f>IFERROR(SUM(SUMIFS('caseload data'!T:T,'caseload data'!$C:$C,'community %'!$B$43,'caseload data'!$D:$D,"PO",'caseload data'!$B:$B,{"licence","community"}))/SUM(SUMIFS('caseload data'!T:T,'caseload data'!$B:$B,{"licence","community"},'caseload data'!$C:$C,'community %'!$B$43)),"")</f>
        <v/>
      </c>
      <c r="S45" s="64"/>
      <c r="T45" s="96" t="s">
        <v>1002</v>
      </c>
      <c r="U45" s="167" t="str">
        <f>IFERROR(SUM(SUMIFS('caseload data'!E:E,'caseload data'!$C:$C,'community %'!$T$43,'caseload data'!$D:$D,"PO",'caseload data'!$B:$B,{"licence","community"}))/SUM(SUMIFS('caseload data'!E:E,'caseload data'!$B:$B,{"licence","community"},'caseload data'!$C:$C,'community %'!$T$43)),"")</f>
        <v/>
      </c>
      <c r="V45" s="167" t="str">
        <f>IFERROR(SUM(SUMIFS('caseload data'!F:F,'caseload data'!$C:$C,'community %'!$T$43,'caseload data'!$D:$D,"PO",'caseload data'!$B:$B,{"licence","community"}))/SUM(SUMIFS('caseload data'!F:F,'caseload data'!$B:$B,{"licence","community"},'caseload data'!$C:$C,'community %'!$T$43)),"")</f>
        <v/>
      </c>
      <c r="W45" s="167" t="str">
        <f>IFERROR(SUM(SUMIFS('caseload data'!G:G,'caseload data'!$C:$C,'community %'!$T$43,'caseload data'!$D:$D,"PO",'caseload data'!$B:$B,{"licence","community"}))/SUM(SUMIFS('caseload data'!G:G,'caseload data'!$B:$B,{"licence","community"},'caseload data'!$C:$C,'community %'!$T$43)),"")</f>
        <v/>
      </c>
      <c r="X45" s="167" t="str">
        <f>IFERROR(SUM(SUMIFS('caseload data'!H:H,'caseload data'!$C:$C,'community %'!$T$43,'caseload data'!$D:$D,"PO",'caseload data'!$B:$B,{"licence","community"}))/SUM(SUMIFS('caseload data'!H:H,'caseload data'!$B:$B,{"licence","community"},'caseload data'!$C:$C,'community %'!$T$43)),"")</f>
        <v/>
      </c>
      <c r="Y45" s="167" t="str">
        <f>IFERROR(SUM(SUMIFS('caseload data'!I:I,'caseload data'!$C:$C,'community %'!$T$43,'caseload data'!$D:$D,"PO",'caseload data'!$B:$B,{"licence","community"}))/SUM(SUMIFS('caseload data'!I:I,'caseload data'!$B:$B,{"licence","community"},'caseload data'!$C:$C,'community %'!$T$43)),"")</f>
        <v/>
      </c>
      <c r="Z45" s="167" t="str">
        <f>IFERROR(SUM(SUMIFS('caseload data'!J:J,'caseload data'!$C:$C,'community %'!$T$43,'caseload data'!$D:$D,"PO",'caseload data'!$B:$B,{"licence","community"}))/SUM(SUMIFS('caseload data'!J:J,'caseload data'!$B:$B,{"licence","community"},'caseload data'!$C:$C,'community %'!$T$43)),"")</f>
        <v/>
      </c>
      <c r="AA45" s="167" t="str">
        <f>IFERROR(SUM(SUMIFS('caseload data'!K:K,'caseload data'!$C:$C,'community %'!$T$43,'caseload data'!$D:$D,"PO",'caseload data'!$B:$B,{"licence","community"}))/SUM(SUMIFS('caseload data'!K:K,'caseload data'!$B:$B,{"licence","community"},'caseload data'!$C:$C,'community %'!$T$43)),"")</f>
        <v/>
      </c>
      <c r="AB45" s="167" t="str">
        <f>IFERROR(SUM(SUMIFS('caseload data'!L:L,'caseload data'!$C:$C,'community %'!$T$43,'caseload data'!$D:$D,"PO",'caseload data'!$B:$B,{"licence","community"}))/SUM(SUMIFS('caseload data'!L:L,'caseload data'!$B:$B,{"licence","community"},'caseload data'!$C:$C,'community %'!$T$43)),"")</f>
        <v/>
      </c>
      <c r="AC45" s="167" t="str">
        <f>IFERROR(SUM(SUMIFS('caseload data'!M:M,'caseload data'!$C:$C,'community %'!$T$43,'caseload data'!$D:$D,"PO",'caseload data'!$B:$B,{"licence","community"}))/SUM(SUMIFS('caseload data'!M:M,'caseload data'!$B:$B,{"licence","community"},'caseload data'!$C:$C,'community %'!$T$43)),"")</f>
        <v/>
      </c>
      <c r="AD45" s="167" t="str">
        <f>IFERROR(SUM(SUMIFS('caseload data'!N:N,'caseload data'!$C:$C,'community %'!$T$43,'caseload data'!$D:$D,"PO",'caseload data'!$B:$B,{"licence","community"}))/SUM(SUMIFS('caseload data'!N:N,'caseload data'!$B:$B,{"licence","community"},'caseload data'!$C:$C,'community %'!$T$43)),"")</f>
        <v/>
      </c>
      <c r="AE45" s="167" t="str">
        <f>IFERROR(SUM(SUMIFS('caseload data'!O:O,'caseload data'!$C:$C,'community %'!$T$43,'caseload data'!$D:$D,"PO",'caseload data'!$B:$B,{"licence","community"}))/SUM(SUMIFS('caseload data'!O:O,'caseload data'!$B:$B,{"licence","community"},'caseload data'!$C:$C,'community %'!$T$43)),"")</f>
        <v/>
      </c>
      <c r="AF45" s="167" t="str">
        <f>IFERROR(SUM(SUMIFS('caseload data'!P:P,'caseload data'!$C:$C,'community %'!$T$43,'caseload data'!$D:$D,"PO",'caseload data'!$B:$B,{"licence","community"}))/SUM(SUMIFS('caseload data'!P:P,'caseload data'!$B:$B,{"licence","community"},'caseload data'!$C:$C,'community %'!$T$43)),"")</f>
        <v/>
      </c>
      <c r="AG45" s="167" t="str">
        <f>IFERROR(SUM(SUMIFS('caseload data'!Q:Q,'caseload data'!$C:$C,'community %'!$T$43,'caseload data'!$D:$D,"PO",'caseload data'!$B:$B,{"licence","community"}))/SUM(SUMIFS('caseload data'!Q:Q,'caseload data'!$B:$B,{"licence","community"},'caseload data'!$C:$C,'community %'!$T$43)),"")</f>
        <v/>
      </c>
      <c r="AH45" s="167" t="str">
        <f>IFERROR(SUM(SUMIFS('caseload data'!R:R,'caseload data'!$C:$C,'community %'!$T$43,'caseload data'!$D:$D,"PO",'caseload data'!$B:$B,{"licence","community"}))/SUM(SUMIFS('caseload data'!R:R,'caseload data'!$B:$B,{"licence","community"},'caseload data'!$C:$C,'community %'!$T$43)),"")</f>
        <v/>
      </c>
      <c r="AI45" s="167" t="str">
        <f>IFERROR(SUM(SUMIFS('caseload data'!S:S,'caseload data'!$C:$C,'community %'!$T$43,'caseload data'!$D:$D,"PO",'caseload data'!$B:$B,{"licence","community"}))/SUM(SUMIFS('caseload data'!S:S,'caseload data'!$B:$B,{"licence","community"},'caseload data'!$C:$C,'community %'!$T$43)),"")</f>
        <v/>
      </c>
      <c r="AJ45" s="167" t="str">
        <f>IFERROR(SUM(SUMIFS('caseload data'!T:T,'caseload data'!$C:$C,'community %'!$T$43,'caseload data'!$D:$D,"PO",'caseload data'!$B:$B,{"licence","community"}))/SUM(SUMIFS('caseload data'!T:T,'caseload data'!$B:$B,{"licence","community"},'caseload data'!$C:$C,'community %'!$T$43)),"")</f>
        <v/>
      </c>
    </row>
    <row r="46" spans="2:36" x14ac:dyDescent="0.15">
      <c r="B46" s="97" t="s">
        <v>1007</v>
      </c>
      <c r="C46" s="167" t="str">
        <f>IFERROR(SUM(SUMIFS('caseload data'!E:E,'caseload data'!$C:$C,'community %'!$B$43,'caseload data'!$D:$D,"PSO",'caseload data'!$B:$B,{"licence","community"}))/SUM(SUMIFS('caseload data'!E:E,'caseload data'!$B:$B,{"licence","community"},'caseload data'!$C:$C,'community %'!$B$43)),"")</f>
        <v/>
      </c>
      <c r="D46" s="167" t="str">
        <f>IFERROR(SUM(SUMIFS('caseload data'!F:F,'caseload data'!$C:$C,'community %'!$B$43,'caseload data'!$D:$D,"PSO",'caseload data'!$B:$B,{"licence","community"}))/SUM(SUMIFS('caseload data'!F:F,'caseload data'!$B:$B,{"licence","community"},'caseload data'!$C:$C,'community %'!$B$43)),"")</f>
        <v/>
      </c>
      <c r="E46" s="167" t="str">
        <f>IFERROR(SUM(SUMIFS('caseload data'!G:G,'caseload data'!$C:$C,'community %'!$B$43,'caseload data'!$D:$D,"PSO",'caseload data'!$B:$B,{"licence","community"}))/SUM(SUMIFS('caseload data'!G:G,'caseload data'!$B:$B,{"licence","community"},'caseload data'!$C:$C,'community %'!$B$43)),"")</f>
        <v/>
      </c>
      <c r="F46" s="167" t="str">
        <f>IFERROR(SUM(SUMIFS('caseload data'!H:H,'caseload data'!$C:$C,'community %'!$B$43,'caseload data'!$D:$D,"PSO",'caseload data'!$B:$B,{"licence","community"}))/SUM(SUMIFS('caseload data'!H:H,'caseload data'!$B:$B,{"licence","community"},'caseload data'!$C:$C,'community %'!$B$43)),"")</f>
        <v/>
      </c>
      <c r="G46" s="167" t="str">
        <f>IFERROR(SUM(SUMIFS('caseload data'!I:I,'caseload data'!$C:$C,'community %'!$B$43,'caseload data'!$D:$D,"PSO",'caseload data'!$B:$B,{"licence","community"}))/SUM(SUMIFS('caseload data'!I:I,'caseload data'!$B:$B,{"licence","community"},'caseload data'!$C:$C,'community %'!$B$43)),"")</f>
        <v/>
      </c>
      <c r="H46" s="167" t="str">
        <f>IFERROR(SUM(SUMIFS('caseload data'!J:J,'caseload data'!$C:$C,'community %'!$B$43,'caseload data'!$D:$D,"PSO",'caseload data'!$B:$B,{"licence","community"}))/SUM(SUMIFS('caseload data'!J:J,'caseload data'!$B:$B,{"licence","community"},'caseload data'!$C:$C,'community %'!$B$43)),"")</f>
        <v/>
      </c>
      <c r="I46" s="167" t="str">
        <f>IFERROR(SUM(SUMIFS('caseload data'!K:K,'caseload data'!$C:$C,'community %'!$B$43,'caseload data'!$D:$D,"PSO",'caseload data'!$B:$B,{"licence","community"}))/SUM(SUMIFS('caseload data'!K:K,'caseload data'!$B:$B,{"licence","community"},'caseload data'!$C:$C,'community %'!$B$43)),"")</f>
        <v/>
      </c>
      <c r="J46" s="167" t="str">
        <f>IFERROR(SUM(SUMIFS('caseload data'!L:L,'caseload data'!$C:$C,'community %'!$B$43,'caseload data'!$D:$D,"PSO",'caseload data'!$B:$B,{"licence","community"}))/SUM(SUMIFS('caseload data'!L:L,'caseload data'!$B:$B,{"licence","community"},'caseload data'!$C:$C,'community %'!$B$43)),"")</f>
        <v/>
      </c>
      <c r="K46" s="167" t="str">
        <f>IFERROR(SUM(SUMIFS('caseload data'!M:M,'caseload data'!$C:$C,'community %'!$B$43,'caseload data'!$D:$D,"PSO",'caseload data'!$B:$B,{"licence","community"}))/SUM(SUMIFS('caseload data'!M:M,'caseload data'!$B:$B,{"licence","community"},'caseload data'!$C:$C,'community %'!$B$43)),"")</f>
        <v/>
      </c>
      <c r="L46" s="167" t="str">
        <f>IFERROR(SUM(SUMIFS('caseload data'!N:N,'caseload data'!$C:$C,'community %'!$B$43,'caseload data'!$D:$D,"PSO",'caseload data'!$B:$B,{"licence","community"}))/SUM(SUMIFS('caseload data'!N:N,'caseload data'!$B:$B,{"licence","community"},'caseload data'!$C:$C,'community %'!$B$43)),"")</f>
        <v/>
      </c>
      <c r="M46" s="167" t="str">
        <f>IFERROR(SUM(SUMIFS('caseload data'!O:O,'caseload data'!$C:$C,'community %'!$B$43,'caseload data'!$D:$D,"PSO",'caseload data'!$B:$B,{"licence","community"}))/SUM(SUMIFS('caseload data'!O:O,'caseload data'!$B:$B,{"licence","community"},'caseload data'!$C:$C,'community %'!$B$43)),"")</f>
        <v/>
      </c>
      <c r="N46" s="167" t="str">
        <f>IFERROR(SUM(SUMIFS('caseload data'!P:P,'caseload data'!$C:$C,'community %'!$B$43,'caseload data'!$D:$D,"PSO",'caseload data'!$B:$B,{"licence","community"}))/SUM(SUMIFS('caseload data'!P:P,'caseload data'!$B:$B,{"licence","community"},'caseload data'!$C:$C,'community %'!$B$43)),"")</f>
        <v/>
      </c>
      <c r="O46" s="167" t="str">
        <f>IFERROR(SUM(SUMIFS('caseload data'!Q:Q,'caseload data'!$C:$C,'community %'!$B$43,'caseload data'!$D:$D,"PSO",'caseload data'!$B:$B,{"licence","community"}))/SUM(SUMIFS('caseload data'!Q:Q,'caseload data'!$B:$B,{"licence","community"},'caseload data'!$C:$C,'community %'!$B$43)),"")</f>
        <v/>
      </c>
      <c r="P46" s="167" t="str">
        <f>IFERROR(SUM(SUMIFS('caseload data'!R:R,'caseload data'!$C:$C,'community %'!$B$43,'caseload data'!$D:$D,"PSO",'caseload data'!$B:$B,{"licence","community"}))/SUM(SUMIFS('caseload data'!R:R,'caseload data'!$B:$B,{"licence","community"},'caseload data'!$C:$C,'community %'!$B$43)),"")</f>
        <v/>
      </c>
      <c r="Q46" s="167" t="str">
        <f>IFERROR(SUM(SUMIFS('caseload data'!S:S,'caseload data'!$C:$C,'community %'!$B$43,'caseload data'!$D:$D,"PSO",'caseload data'!$B:$B,{"licence","community"}))/SUM(SUMIFS('caseload data'!S:S,'caseload data'!$B:$B,{"licence","community"},'caseload data'!$C:$C,'community %'!$B$43)),"")</f>
        <v/>
      </c>
      <c r="R46" s="167" t="str">
        <f>IFERROR(SUM(SUMIFS('caseload data'!T:T,'caseload data'!$C:$C,'community %'!$B$43,'caseload data'!$D:$D,"PSO",'caseload data'!$B:$B,{"licence","community"}))/SUM(SUMIFS('caseload data'!T:T,'caseload data'!$B:$B,{"licence","community"},'caseload data'!$C:$C,'community %'!$B$43)),"")</f>
        <v/>
      </c>
      <c r="S46" s="64"/>
      <c r="T46" s="97" t="s">
        <v>1007</v>
      </c>
      <c r="U46" s="167" t="str">
        <f>IFERROR(SUM(SUMIFS('caseload data'!E:E,'caseload data'!$C:$C,'community %'!$T$43,'caseload data'!$D:$D,"PSO",'caseload data'!$B:$B,{"licence","community"}))/SUM(SUMIFS('caseload data'!E:E,'caseload data'!$B:$B,{"licence","community"},'caseload data'!$C:$C,'community %'!$T$43)),"")</f>
        <v/>
      </c>
      <c r="V46" s="167" t="str">
        <f>IFERROR(SUM(SUMIFS('caseload data'!F:F,'caseload data'!$C:$C,'community %'!$T$43,'caseload data'!$D:$D,"PSO",'caseload data'!$B:$B,{"licence","community"}))/SUM(SUMIFS('caseload data'!F:F,'caseload data'!$B:$B,{"licence","community"},'caseload data'!$C:$C,'community %'!$T$43)),"")</f>
        <v/>
      </c>
      <c r="W46" s="167" t="str">
        <f>IFERROR(SUM(SUMIFS('caseload data'!G:G,'caseload data'!$C:$C,'community %'!$T$43,'caseload data'!$D:$D,"PSO",'caseload data'!$B:$B,{"licence","community"}))/SUM(SUMIFS('caseload data'!G:G,'caseload data'!$B:$B,{"licence","community"},'caseload data'!$C:$C,'community %'!$T$43)),"")</f>
        <v/>
      </c>
      <c r="X46" s="167" t="str">
        <f>IFERROR(SUM(SUMIFS('caseload data'!H:H,'caseload data'!$C:$C,'community %'!$T$43,'caseload data'!$D:$D,"PSO",'caseload data'!$B:$B,{"licence","community"}))/SUM(SUMIFS('caseload data'!H:H,'caseload data'!$B:$B,{"licence","community"},'caseload data'!$C:$C,'community %'!$T$43)),"")</f>
        <v/>
      </c>
      <c r="Y46" s="167" t="str">
        <f>IFERROR(SUM(SUMIFS('caseload data'!I:I,'caseload data'!$C:$C,'community %'!$T$43,'caseload data'!$D:$D,"PSO",'caseload data'!$B:$B,{"licence","community"}))/SUM(SUMIFS('caseload data'!I:I,'caseload data'!$B:$B,{"licence","community"},'caseload data'!$C:$C,'community %'!$T$43)),"")</f>
        <v/>
      </c>
      <c r="Z46" s="167" t="str">
        <f>IFERROR(SUM(SUMIFS('caseload data'!J:J,'caseload data'!$C:$C,'community %'!$T$43,'caseload data'!$D:$D,"PSO",'caseload data'!$B:$B,{"licence","community"}))/SUM(SUMIFS('caseload data'!J:J,'caseload data'!$B:$B,{"licence","community"},'caseload data'!$C:$C,'community %'!$T$43)),"")</f>
        <v/>
      </c>
      <c r="AA46" s="167" t="str">
        <f>IFERROR(SUM(SUMIFS('caseload data'!K:K,'caseload data'!$C:$C,'community %'!$T$43,'caseload data'!$D:$D,"PSO",'caseload data'!$B:$B,{"licence","community"}))/SUM(SUMIFS('caseload data'!K:K,'caseload data'!$B:$B,{"licence","community"},'caseload data'!$C:$C,'community %'!$T$43)),"")</f>
        <v/>
      </c>
      <c r="AB46" s="167" t="str">
        <f>IFERROR(SUM(SUMIFS('caseload data'!L:L,'caseload data'!$C:$C,'community %'!$T$43,'caseload data'!$D:$D,"PSO",'caseload data'!$B:$B,{"licence","community"}))/SUM(SUMIFS('caseload data'!L:L,'caseload data'!$B:$B,{"licence","community"},'caseload data'!$C:$C,'community %'!$T$43)),"")</f>
        <v/>
      </c>
      <c r="AC46" s="167" t="str">
        <f>IFERROR(SUM(SUMIFS('caseload data'!M:M,'caseload data'!$C:$C,'community %'!$T$43,'caseload data'!$D:$D,"PSO",'caseload data'!$B:$B,{"licence","community"}))/SUM(SUMIFS('caseload data'!M:M,'caseload data'!$B:$B,{"licence","community"},'caseload data'!$C:$C,'community %'!$T$43)),"")</f>
        <v/>
      </c>
      <c r="AD46" s="167" t="str">
        <f>IFERROR(SUM(SUMIFS('caseload data'!N:N,'caseload data'!$C:$C,'community %'!$T$43,'caseload data'!$D:$D,"PSO",'caseload data'!$B:$B,{"licence","community"}))/SUM(SUMIFS('caseload data'!N:N,'caseload data'!$B:$B,{"licence","community"},'caseload data'!$C:$C,'community %'!$T$43)),"")</f>
        <v/>
      </c>
      <c r="AE46" s="167" t="str">
        <f>IFERROR(SUM(SUMIFS('caseload data'!O:O,'caseload data'!$C:$C,'community %'!$T$43,'caseload data'!$D:$D,"PSO",'caseload data'!$B:$B,{"licence","community"}))/SUM(SUMIFS('caseload data'!O:O,'caseload data'!$B:$B,{"licence","community"},'caseload data'!$C:$C,'community %'!$T$43)),"")</f>
        <v/>
      </c>
      <c r="AF46" s="167" t="str">
        <f>IFERROR(SUM(SUMIFS('caseload data'!P:P,'caseload data'!$C:$C,'community %'!$T$43,'caseload data'!$D:$D,"PSO",'caseload data'!$B:$B,{"licence","community"}))/SUM(SUMIFS('caseload data'!P:P,'caseload data'!$B:$B,{"licence","community"},'caseload data'!$C:$C,'community %'!$T$43)),"")</f>
        <v/>
      </c>
      <c r="AG46" s="167" t="str">
        <f>IFERROR(SUM(SUMIFS('caseload data'!Q:Q,'caseload data'!$C:$C,'community %'!$T$43,'caseload data'!$D:$D,"PSO",'caseload data'!$B:$B,{"licence","community"}))/SUM(SUMIFS('caseload data'!Q:Q,'caseload data'!$B:$B,{"licence","community"},'caseload data'!$C:$C,'community %'!$T$43)),"")</f>
        <v/>
      </c>
      <c r="AH46" s="167" t="str">
        <f>IFERROR(SUM(SUMIFS('caseload data'!R:R,'caseload data'!$C:$C,'community %'!$T$43,'caseload data'!$D:$D,"PSO",'caseload data'!$B:$B,{"licence","community"}))/SUM(SUMIFS('caseload data'!R:R,'caseload data'!$B:$B,{"licence","community"},'caseload data'!$C:$C,'community %'!$T$43)),"")</f>
        <v/>
      </c>
      <c r="AI46" s="167" t="str">
        <f>IFERROR(SUM(SUMIFS('caseload data'!S:S,'caseload data'!$C:$C,'community %'!$T$43,'caseload data'!$D:$D,"PSO",'caseload data'!$B:$B,{"licence","community"}))/SUM(SUMIFS('caseload data'!S:S,'caseload data'!$B:$B,{"licence","community"},'caseload data'!$C:$C,'community %'!$T$43)),"")</f>
        <v/>
      </c>
      <c r="AJ46" s="167" t="str">
        <f>IFERROR(SUM(SUMIFS('caseload data'!T:T,'caseload data'!$C:$C,'community %'!$T$43,'caseload data'!$D:$D,"PSO",'caseload data'!$B:$B,{"licence","community"}))/SUM(SUMIFS('caseload data'!T:T,'caseload data'!$B:$B,{"licence","community"},'caseload data'!$C:$C,'community %'!$T$43)),"")</f>
        <v/>
      </c>
    </row>
    <row r="47" spans="2:36" x14ac:dyDescent="0.15">
      <c r="B47" s="97" t="s">
        <v>1008</v>
      </c>
      <c r="C47" s="167" t="str">
        <f>IFERROR(SUM(SUMIFS('caseload data'!E:E,'caseload data'!$C:$C,'community %'!$B$43,'caseload data'!$D:$D,"TPO",'caseload data'!$B:$B,{"licence","community"}))/SUM(SUMIFS('caseload data'!E:E,'caseload data'!$B:$B,{"licence","community"},'caseload data'!$C:$C,'community %'!$B$43)),"")</f>
        <v/>
      </c>
      <c r="D47" s="167" t="str">
        <f>IFERROR(SUM(SUMIFS('caseload data'!F:F,'caseload data'!$C:$C,'community %'!$B$43,'caseload data'!$D:$D,"TPO",'caseload data'!$B:$B,{"licence","community"}))/SUM(SUMIFS('caseload data'!F:F,'caseload data'!$B:$B,{"licence","community"},'caseload data'!$C:$C,'community %'!$B$43)),"")</f>
        <v/>
      </c>
      <c r="E47" s="167" t="str">
        <f>IFERROR(SUM(SUMIFS('caseload data'!G:G,'caseload data'!$C:$C,'community %'!$B$43,'caseload data'!$D:$D,"TPO",'caseload data'!$B:$B,{"licence","community"}))/SUM(SUMIFS('caseload data'!G:G,'caseload data'!$B:$B,{"licence","community"},'caseload data'!$C:$C,'community %'!$B$43)),"")</f>
        <v/>
      </c>
      <c r="F47" s="167" t="str">
        <f>IFERROR(SUM(SUMIFS('caseload data'!H:H,'caseload data'!$C:$C,'community %'!$B$43,'caseload data'!$D:$D,"TPO",'caseload data'!$B:$B,{"licence","community"}))/SUM(SUMIFS('caseload data'!H:H,'caseload data'!$B:$B,{"licence","community"},'caseload data'!$C:$C,'community %'!$B$43)),"")</f>
        <v/>
      </c>
      <c r="G47" s="167" t="str">
        <f>IFERROR(SUM(SUMIFS('caseload data'!I:I,'caseload data'!$C:$C,'community %'!$B$43,'caseload data'!$D:$D,"TPO",'caseload data'!$B:$B,{"licence","community"}))/SUM(SUMIFS('caseload data'!I:I,'caseload data'!$B:$B,{"licence","community"},'caseload data'!$C:$C,'community %'!$B$43)),"")</f>
        <v/>
      </c>
      <c r="H47" s="167" t="str">
        <f>IFERROR(SUM(SUMIFS('caseload data'!J:J,'caseload data'!$C:$C,'community %'!$B$43,'caseload data'!$D:$D,"TPO",'caseload data'!$B:$B,{"licence","community"}))/SUM(SUMIFS('caseload data'!J:J,'caseload data'!$B:$B,{"licence","community"},'caseload data'!$C:$C,'community %'!$B$43)),"")</f>
        <v/>
      </c>
      <c r="I47" s="167" t="str">
        <f>IFERROR(SUM(SUMIFS('caseload data'!K:K,'caseload data'!$C:$C,'community %'!$B$43,'caseload data'!$D:$D,"TPO",'caseload data'!$B:$B,{"licence","community"}))/SUM(SUMIFS('caseload data'!K:K,'caseload data'!$B:$B,{"licence","community"},'caseload data'!$C:$C,'community %'!$B$43)),"")</f>
        <v/>
      </c>
      <c r="J47" s="167" t="str">
        <f>IFERROR(SUM(SUMIFS('caseload data'!L:L,'caseload data'!$C:$C,'community %'!$B$43,'caseload data'!$D:$D,"TPO",'caseload data'!$B:$B,{"licence","community"}))/SUM(SUMIFS('caseload data'!L:L,'caseload data'!$B:$B,{"licence","community"},'caseload data'!$C:$C,'community %'!$B$43)),"")</f>
        <v/>
      </c>
      <c r="K47" s="167" t="str">
        <f>IFERROR(SUM(SUMIFS('caseload data'!M:M,'caseload data'!$C:$C,'community %'!$B$43,'caseload data'!$D:$D,"TPO",'caseload data'!$B:$B,{"licence","community"}))/SUM(SUMIFS('caseload data'!M:M,'caseload data'!$B:$B,{"licence","community"},'caseload data'!$C:$C,'community %'!$B$43)),"")</f>
        <v/>
      </c>
      <c r="L47" s="167" t="str">
        <f>IFERROR(SUM(SUMIFS('caseload data'!N:N,'caseload data'!$C:$C,'community %'!$B$43,'caseload data'!$D:$D,"TPO",'caseload data'!$B:$B,{"licence","community"}))/SUM(SUMIFS('caseload data'!N:N,'caseload data'!$B:$B,{"licence","community"},'caseload data'!$C:$C,'community %'!$B$43)),"")</f>
        <v/>
      </c>
      <c r="M47" s="167" t="str">
        <f>IFERROR(SUM(SUMIFS('caseload data'!O:O,'caseload data'!$C:$C,'community %'!$B$43,'caseload data'!$D:$D,"TPO",'caseload data'!$B:$B,{"licence","community"}))/SUM(SUMIFS('caseload data'!O:O,'caseload data'!$B:$B,{"licence","community"},'caseload data'!$C:$C,'community %'!$B$43)),"")</f>
        <v/>
      </c>
      <c r="N47" s="167" t="str">
        <f>IFERROR(SUM(SUMIFS('caseload data'!P:P,'caseload data'!$C:$C,'community %'!$B$43,'caseload data'!$D:$D,"TPO",'caseload data'!$B:$B,{"licence","community"}))/SUM(SUMIFS('caseload data'!P:P,'caseload data'!$B:$B,{"licence","community"},'caseload data'!$C:$C,'community %'!$B$43)),"")</f>
        <v/>
      </c>
      <c r="O47" s="167" t="str">
        <f>IFERROR(SUM(SUMIFS('caseload data'!Q:Q,'caseload data'!$C:$C,'community %'!$B$43,'caseload data'!$D:$D,"TPO",'caseload data'!$B:$B,{"licence","community"}))/SUM(SUMIFS('caseload data'!Q:Q,'caseload data'!$B:$B,{"licence","community"},'caseload data'!$C:$C,'community %'!$B$43)),"")</f>
        <v/>
      </c>
      <c r="P47" s="167" t="str">
        <f>IFERROR(SUM(SUMIFS('caseload data'!R:R,'caseload data'!$C:$C,'community %'!$B$43,'caseload data'!$D:$D,"TPO",'caseload data'!$B:$B,{"licence","community"}))/SUM(SUMIFS('caseload data'!R:R,'caseload data'!$B:$B,{"licence","community"},'caseload data'!$C:$C,'community %'!$B$43)),"")</f>
        <v/>
      </c>
      <c r="Q47" s="167" t="str">
        <f>IFERROR(SUM(SUMIFS('caseload data'!S:S,'caseload data'!$C:$C,'community %'!$B$43,'caseload data'!$D:$D,"TPO",'caseload data'!$B:$B,{"licence","community"}))/SUM(SUMIFS('caseload data'!S:S,'caseload data'!$B:$B,{"licence","community"},'caseload data'!$C:$C,'community %'!$B$43)),"")</f>
        <v/>
      </c>
      <c r="R47" s="167" t="str">
        <f>IFERROR(SUM(SUMIFS('caseload data'!T:T,'caseload data'!$C:$C,'community %'!$B$43,'caseload data'!$D:$D,"TPO",'caseload data'!$B:$B,{"licence","community"}))/SUM(SUMIFS('caseload data'!T:T,'caseload data'!$B:$B,{"licence","community"},'caseload data'!$C:$C,'community %'!$B$43)),"")</f>
        <v/>
      </c>
      <c r="S47" s="64"/>
      <c r="T47" s="97" t="s">
        <v>1008</v>
      </c>
      <c r="U47" s="167" t="str">
        <f>IFERROR(SUM(SUMIFS('caseload data'!E:E,'caseload data'!$C:$C,'community %'!$T$43,'caseload data'!$D:$D,"TPO",'caseload data'!$B:$B,{"licence","community"}))/SUM(SUMIFS('caseload data'!E:E,'caseload data'!$B:$B,{"licence","community"},'caseload data'!$C:$C,'community %'!$T$43)),"")</f>
        <v/>
      </c>
      <c r="V47" s="167" t="str">
        <f>IFERROR(SUM(SUMIFS('caseload data'!F:F,'caseload data'!$C:$C,'community %'!$T$43,'caseload data'!$D:$D,"TPO",'caseload data'!$B:$B,{"licence","community"}))/SUM(SUMIFS('caseload data'!F:F,'caseload data'!$B:$B,{"licence","community"},'caseload data'!$C:$C,'community %'!$T$43)),"")</f>
        <v/>
      </c>
      <c r="W47" s="167" t="str">
        <f>IFERROR(SUM(SUMIFS('caseload data'!G:G,'caseload data'!$C:$C,'community %'!$T$43,'caseload data'!$D:$D,"TPO",'caseload data'!$B:$B,{"licence","community"}))/SUM(SUMIFS('caseload data'!G:G,'caseload data'!$B:$B,{"licence","community"},'caseload data'!$C:$C,'community %'!$T$43)),"")</f>
        <v/>
      </c>
      <c r="X47" s="167" t="str">
        <f>IFERROR(SUM(SUMIFS('caseload data'!H:H,'caseload data'!$C:$C,'community %'!$T$43,'caseload data'!$D:$D,"TPO",'caseload data'!$B:$B,{"licence","community"}))/SUM(SUMIFS('caseload data'!H:H,'caseload data'!$B:$B,{"licence","community"},'caseload data'!$C:$C,'community %'!$T$43)),"")</f>
        <v/>
      </c>
      <c r="Y47" s="167" t="str">
        <f>IFERROR(SUM(SUMIFS('caseload data'!I:I,'caseload data'!$C:$C,'community %'!$T$43,'caseload data'!$D:$D,"TPO",'caseload data'!$B:$B,{"licence","community"}))/SUM(SUMIFS('caseload data'!I:I,'caseload data'!$B:$B,{"licence","community"},'caseload data'!$C:$C,'community %'!$T$43)),"")</f>
        <v/>
      </c>
      <c r="Z47" s="167" t="str">
        <f>IFERROR(SUM(SUMIFS('caseload data'!J:J,'caseload data'!$C:$C,'community %'!$T$43,'caseload data'!$D:$D,"TPO",'caseload data'!$B:$B,{"licence","community"}))/SUM(SUMIFS('caseload data'!J:J,'caseload data'!$B:$B,{"licence","community"},'caseload data'!$C:$C,'community %'!$T$43)),"")</f>
        <v/>
      </c>
      <c r="AA47" s="167" t="str">
        <f>IFERROR(SUM(SUMIFS('caseload data'!K:K,'caseload data'!$C:$C,'community %'!$T$43,'caseload data'!$D:$D,"TPO",'caseload data'!$B:$B,{"licence","community"}))/SUM(SUMIFS('caseload data'!K:K,'caseload data'!$B:$B,{"licence","community"},'caseload data'!$C:$C,'community %'!$T$43)),"")</f>
        <v/>
      </c>
      <c r="AB47" s="167" t="str">
        <f>IFERROR(SUM(SUMIFS('caseload data'!L:L,'caseload data'!$C:$C,'community %'!$T$43,'caseload data'!$D:$D,"TPO",'caseload data'!$B:$B,{"licence","community"}))/SUM(SUMIFS('caseload data'!L:L,'caseload data'!$B:$B,{"licence","community"},'caseload data'!$C:$C,'community %'!$T$43)),"")</f>
        <v/>
      </c>
      <c r="AC47" s="167" t="str">
        <f>IFERROR(SUM(SUMIFS('caseload data'!M:M,'caseload data'!$C:$C,'community %'!$T$43,'caseload data'!$D:$D,"TPO",'caseload data'!$B:$B,{"licence","community"}))/SUM(SUMIFS('caseload data'!M:M,'caseload data'!$B:$B,{"licence","community"},'caseload data'!$C:$C,'community %'!$T$43)),"")</f>
        <v/>
      </c>
      <c r="AD47" s="167" t="str">
        <f>IFERROR(SUM(SUMIFS('caseload data'!N:N,'caseload data'!$C:$C,'community %'!$T$43,'caseload data'!$D:$D,"TPO",'caseload data'!$B:$B,{"licence","community"}))/SUM(SUMIFS('caseload data'!N:N,'caseload data'!$B:$B,{"licence","community"},'caseload data'!$C:$C,'community %'!$T$43)),"")</f>
        <v/>
      </c>
      <c r="AE47" s="167" t="str">
        <f>IFERROR(SUM(SUMIFS('caseload data'!O:O,'caseload data'!$C:$C,'community %'!$T$43,'caseload data'!$D:$D,"TPO",'caseload data'!$B:$B,{"licence","community"}))/SUM(SUMIFS('caseload data'!O:O,'caseload data'!$B:$B,{"licence","community"},'caseload data'!$C:$C,'community %'!$T$43)),"")</f>
        <v/>
      </c>
      <c r="AF47" s="167" t="str">
        <f>IFERROR(SUM(SUMIFS('caseload data'!P:P,'caseload data'!$C:$C,'community %'!$T$43,'caseload data'!$D:$D,"TPO",'caseload data'!$B:$B,{"licence","community"}))/SUM(SUMIFS('caseload data'!P:P,'caseload data'!$B:$B,{"licence","community"},'caseload data'!$C:$C,'community %'!$T$43)),"")</f>
        <v/>
      </c>
      <c r="AG47" s="167" t="str">
        <f>IFERROR(SUM(SUMIFS('caseload data'!Q:Q,'caseload data'!$C:$C,'community %'!$T$43,'caseload data'!$D:$D,"TPO",'caseload data'!$B:$B,{"licence","community"}))/SUM(SUMIFS('caseload data'!Q:Q,'caseload data'!$B:$B,{"licence","community"},'caseload data'!$C:$C,'community %'!$T$43)),"")</f>
        <v/>
      </c>
      <c r="AH47" s="167" t="str">
        <f>IFERROR(SUM(SUMIFS('caseload data'!R:R,'caseload data'!$C:$C,'community %'!$T$43,'caseload data'!$D:$D,"TPO",'caseload data'!$B:$B,{"licence","community"}))/SUM(SUMIFS('caseload data'!R:R,'caseload data'!$B:$B,{"licence","community"},'caseload data'!$C:$C,'community %'!$T$43)),"")</f>
        <v/>
      </c>
      <c r="AI47" s="167" t="str">
        <f>IFERROR(SUM(SUMIFS('caseload data'!S:S,'caseload data'!$C:$C,'community %'!$T$43,'caseload data'!$D:$D,"TPO",'caseload data'!$B:$B,{"licence","community"}))/SUM(SUMIFS('caseload data'!S:S,'caseload data'!$B:$B,{"licence","community"},'caseload data'!$C:$C,'community %'!$T$43)),"")</f>
        <v/>
      </c>
      <c r="AJ47" s="167" t="str">
        <f>IFERROR(SUM(SUMIFS('caseload data'!T:T,'caseload data'!$C:$C,'community %'!$T$43,'caseload data'!$D:$D,"TPO",'caseload data'!$B:$B,{"licence","community"}))/SUM(SUMIFS('caseload data'!T:T,'caseload data'!$B:$B,{"licence","community"},'caseload data'!$C:$C,'community %'!$T$43)),"")</f>
        <v/>
      </c>
    </row>
    <row r="48" spans="2:36" x14ac:dyDescent="0.15">
      <c r="B48" s="98" t="s">
        <v>1009</v>
      </c>
      <c r="C48" s="167" t="str">
        <f>IFERROR(SUM(SUMIFS('caseload data'!E:E,'caseload data'!$C:$C,'community %'!$B$43,'caseload data'!$D:$D,"SPO",'caseload data'!$B:$B,{"licence","community"}))/SUM(SUMIFS('caseload data'!E:E,'caseload data'!$B:$B,{"licence","community"},'caseload data'!$C:$C,'community %'!$B$43)),"")</f>
        <v/>
      </c>
      <c r="D48" s="167" t="str">
        <f>IFERROR(SUM(SUMIFS('caseload data'!F:F,'caseload data'!$C:$C,'community %'!$B$43,'caseload data'!$D:$D,"SPO",'caseload data'!$B:$B,{"licence","community"}))/SUM(SUMIFS('caseload data'!F:F,'caseload data'!$B:$B,{"licence","community"},'caseload data'!$C:$C,'community %'!$B$43)),"")</f>
        <v/>
      </c>
      <c r="E48" s="167" t="str">
        <f>IFERROR(SUM(SUMIFS('caseload data'!G:G,'caseload data'!$C:$C,'community %'!$B$43,'caseload data'!$D:$D,"SPO",'caseload data'!$B:$B,{"licence","community"}))/SUM(SUMIFS('caseload data'!G:G,'caseload data'!$B:$B,{"licence","community"},'caseload data'!$C:$C,'community %'!$B$43)),"")</f>
        <v/>
      </c>
      <c r="F48" s="167" t="str">
        <f>IFERROR(SUM(SUMIFS('caseload data'!H:H,'caseload data'!$C:$C,'community %'!$B$43,'caseload data'!$D:$D,"SPO",'caseload data'!$B:$B,{"licence","community"}))/SUM(SUMIFS('caseload data'!H:H,'caseload data'!$B:$B,{"licence","community"},'caseload data'!$C:$C,'community %'!$B$43)),"")</f>
        <v/>
      </c>
      <c r="G48" s="167" t="str">
        <f>IFERROR(SUM(SUMIFS('caseload data'!I:I,'caseload data'!$C:$C,'community %'!$B$43,'caseload data'!$D:$D,"SPO",'caseload data'!$B:$B,{"licence","community"}))/SUM(SUMIFS('caseload data'!I:I,'caseload data'!$B:$B,{"licence","community"},'caseload data'!$C:$C,'community %'!$B$43)),"")</f>
        <v/>
      </c>
      <c r="H48" s="167" t="str">
        <f>IFERROR(SUM(SUMIFS('caseload data'!J:J,'caseload data'!$C:$C,'community %'!$B$43,'caseload data'!$D:$D,"SPO",'caseload data'!$B:$B,{"licence","community"}))/SUM(SUMIFS('caseload data'!J:J,'caseload data'!$B:$B,{"licence","community"},'caseload data'!$C:$C,'community %'!$B$43)),"")</f>
        <v/>
      </c>
      <c r="I48" s="167" t="str">
        <f>IFERROR(SUM(SUMIFS('caseload data'!K:K,'caseload data'!$C:$C,'community %'!$B$43,'caseload data'!$D:$D,"SPO",'caseload data'!$B:$B,{"licence","community"}))/SUM(SUMIFS('caseload data'!K:K,'caseload data'!$B:$B,{"licence","community"},'caseload data'!$C:$C,'community %'!$B$43)),"")</f>
        <v/>
      </c>
      <c r="J48" s="167" t="str">
        <f>IFERROR(SUM(SUMIFS('caseload data'!L:L,'caseload data'!$C:$C,'community %'!$B$43,'caseload data'!$D:$D,"SPO",'caseload data'!$B:$B,{"licence","community"}))/SUM(SUMIFS('caseload data'!L:L,'caseload data'!$B:$B,{"licence","community"},'caseload data'!$C:$C,'community %'!$B$43)),"")</f>
        <v/>
      </c>
      <c r="K48" s="167" t="str">
        <f>IFERROR(SUM(SUMIFS('caseload data'!M:M,'caseload data'!$C:$C,'community %'!$B$43,'caseload data'!$D:$D,"SPO",'caseload data'!$B:$B,{"licence","community"}))/SUM(SUMIFS('caseload data'!M:M,'caseload data'!$B:$B,{"licence","community"},'caseload data'!$C:$C,'community %'!$B$43)),"")</f>
        <v/>
      </c>
      <c r="L48" s="167" t="str">
        <f>IFERROR(SUM(SUMIFS('caseload data'!N:N,'caseload data'!$C:$C,'community %'!$B$43,'caseload data'!$D:$D,"SPO",'caseload data'!$B:$B,{"licence","community"}))/SUM(SUMIFS('caseload data'!N:N,'caseload data'!$B:$B,{"licence","community"},'caseload data'!$C:$C,'community %'!$B$43)),"")</f>
        <v/>
      </c>
      <c r="M48" s="167" t="str">
        <f>IFERROR(SUM(SUMIFS('caseload data'!O:O,'caseload data'!$C:$C,'community %'!$B$43,'caseload data'!$D:$D,"SPO",'caseload data'!$B:$B,{"licence","community"}))/SUM(SUMIFS('caseload data'!O:O,'caseload data'!$B:$B,{"licence","community"},'caseload data'!$C:$C,'community %'!$B$43)),"")</f>
        <v/>
      </c>
      <c r="N48" s="167" t="str">
        <f>IFERROR(SUM(SUMIFS('caseload data'!P:P,'caseload data'!$C:$C,'community %'!$B$43,'caseload data'!$D:$D,"SPO",'caseload data'!$B:$B,{"licence","community"}))/SUM(SUMIFS('caseload data'!P:P,'caseload data'!$B:$B,{"licence","community"},'caseload data'!$C:$C,'community %'!$B$43)),"")</f>
        <v/>
      </c>
      <c r="O48" s="167" t="str">
        <f>IFERROR(SUM(SUMIFS('caseload data'!Q:Q,'caseload data'!$C:$C,'community %'!$B$43,'caseload data'!$D:$D,"SPO",'caseload data'!$B:$B,{"licence","community"}))/SUM(SUMIFS('caseload data'!Q:Q,'caseload data'!$B:$B,{"licence","community"},'caseload data'!$C:$C,'community %'!$B$43)),"")</f>
        <v/>
      </c>
      <c r="P48" s="167" t="str">
        <f>IFERROR(SUM(SUMIFS('caseload data'!R:R,'caseload data'!$C:$C,'community %'!$B$43,'caseload data'!$D:$D,"SPO",'caseload data'!$B:$B,{"licence","community"}))/SUM(SUMIFS('caseload data'!R:R,'caseload data'!$B:$B,{"licence","community"},'caseload data'!$C:$C,'community %'!$B$43)),"")</f>
        <v/>
      </c>
      <c r="Q48" s="167" t="str">
        <f>IFERROR(SUM(SUMIFS('caseload data'!S:S,'caseload data'!$C:$C,'community %'!$B$43,'caseload data'!$D:$D,"SPO",'caseload data'!$B:$B,{"licence","community"}))/SUM(SUMIFS('caseload data'!S:S,'caseload data'!$B:$B,{"licence","community"},'caseload data'!$C:$C,'community %'!$B$43)),"")</f>
        <v/>
      </c>
      <c r="R48" s="167" t="str">
        <f>IFERROR(SUM(SUMIFS('caseload data'!T:T,'caseload data'!$C:$C,'community %'!$B$43,'caseload data'!$D:$D,"SPO",'caseload data'!$B:$B,{"licence","community"}))/SUM(SUMIFS('caseload data'!T:T,'caseload data'!$B:$B,{"licence","community"},'caseload data'!$C:$C,'community %'!$B$43)),"")</f>
        <v/>
      </c>
      <c r="S48" s="64"/>
      <c r="T48" s="98" t="s">
        <v>1009</v>
      </c>
      <c r="U48" s="167" t="str">
        <f>IFERROR(SUM(SUMIFS('caseload data'!E:E,'caseload data'!$C:$C,'community %'!$T$43,'caseload data'!$D:$D,"SPO",'caseload data'!$B:$B,{"licence","community"}))/SUM(SUMIFS('caseload data'!E:E,'caseload data'!$B:$B,{"licence","community"},'caseload data'!$C:$C,'community %'!$T$43)),"")</f>
        <v/>
      </c>
      <c r="V48" s="167" t="str">
        <f>IFERROR(SUM(SUMIFS('caseload data'!F:F,'caseload data'!$C:$C,'community %'!$T$43,'caseload data'!$D:$D,"SPO",'caseload data'!$B:$B,{"licence","community"}))/SUM(SUMIFS('caseload data'!F:F,'caseload data'!$B:$B,{"licence","community"},'caseload data'!$C:$C,'community %'!$T$43)),"")</f>
        <v/>
      </c>
      <c r="W48" s="167" t="str">
        <f>IFERROR(SUM(SUMIFS('caseload data'!G:G,'caseload data'!$C:$C,'community %'!$T$43,'caseload data'!$D:$D,"SPO",'caseload data'!$B:$B,{"licence","community"}))/SUM(SUMIFS('caseload data'!G:G,'caseload data'!$B:$B,{"licence","community"},'caseload data'!$C:$C,'community %'!$T$43)),"")</f>
        <v/>
      </c>
      <c r="X48" s="167" t="str">
        <f>IFERROR(SUM(SUMIFS('caseload data'!H:H,'caseload data'!$C:$C,'community %'!$T$43,'caseload data'!$D:$D,"SPO",'caseload data'!$B:$B,{"licence","community"}))/SUM(SUMIFS('caseload data'!H:H,'caseload data'!$B:$B,{"licence","community"},'caseload data'!$C:$C,'community %'!$T$43)),"")</f>
        <v/>
      </c>
      <c r="Y48" s="167" t="str">
        <f>IFERROR(SUM(SUMIFS('caseload data'!I:I,'caseload data'!$C:$C,'community %'!$T$43,'caseload data'!$D:$D,"SPO",'caseload data'!$B:$B,{"licence","community"}))/SUM(SUMIFS('caseload data'!I:I,'caseload data'!$B:$B,{"licence","community"},'caseload data'!$C:$C,'community %'!$T$43)),"")</f>
        <v/>
      </c>
      <c r="Z48" s="167" t="str">
        <f>IFERROR(SUM(SUMIFS('caseload data'!J:J,'caseload data'!$C:$C,'community %'!$T$43,'caseload data'!$D:$D,"SPO",'caseload data'!$B:$B,{"licence","community"}))/SUM(SUMIFS('caseload data'!J:J,'caseload data'!$B:$B,{"licence","community"},'caseload data'!$C:$C,'community %'!$T$43)),"")</f>
        <v/>
      </c>
      <c r="AA48" s="167" t="str">
        <f>IFERROR(SUM(SUMIFS('caseload data'!K:K,'caseload data'!$C:$C,'community %'!$T$43,'caseload data'!$D:$D,"SPO",'caseload data'!$B:$B,{"licence","community"}))/SUM(SUMIFS('caseload data'!K:K,'caseload data'!$B:$B,{"licence","community"},'caseload data'!$C:$C,'community %'!$T$43)),"")</f>
        <v/>
      </c>
      <c r="AB48" s="167" t="str">
        <f>IFERROR(SUM(SUMIFS('caseload data'!L:L,'caseload data'!$C:$C,'community %'!$T$43,'caseload data'!$D:$D,"SPO",'caseload data'!$B:$B,{"licence","community"}))/SUM(SUMIFS('caseload data'!L:L,'caseload data'!$B:$B,{"licence","community"},'caseload data'!$C:$C,'community %'!$T$43)),"")</f>
        <v/>
      </c>
      <c r="AC48" s="167" t="str">
        <f>IFERROR(SUM(SUMIFS('caseload data'!M:M,'caseload data'!$C:$C,'community %'!$T$43,'caseload data'!$D:$D,"SPO",'caseload data'!$B:$B,{"licence","community"}))/SUM(SUMIFS('caseload data'!M:M,'caseload data'!$B:$B,{"licence","community"},'caseload data'!$C:$C,'community %'!$T$43)),"")</f>
        <v/>
      </c>
      <c r="AD48" s="167" t="str">
        <f>IFERROR(SUM(SUMIFS('caseload data'!N:N,'caseload data'!$C:$C,'community %'!$T$43,'caseload data'!$D:$D,"SPO",'caseload data'!$B:$B,{"licence","community"}))/SUM(SUMIFS('caseload data'!N:N,'caseload data'!$B:$B,{"licence","community"},'caseload data'!$C:$C,'community %'!$T$43)),"")</f>
        <v/>
      </c>
      <c r="AE48" s="167" t="str">
        <f>IFERROR(SUM(SUMIFS('caseload data'!O:O,'caseload data'!$C:$C,'community %'!$T$43,'caseload data'!$D:$D,"SPO",'caseload data'!$B:$B,{"licence","community"}))/SUM(SUMIFS('caseload data'!O:O,'caseload data'!$B:$B,{"licence","community"},'caseload data'!$C:$C,'community %'!$T$43)),"")</f>
        <v/>
      </c>
      <c r="AF48" s="167" t="str">
        <f>IFERROR(SUM(SUMIFS('caseload data'!P:P,'caseload data'!$C:$C,'community %'!$T$43,'caseload data'!$D:$D,"SPO",'caseload data'!$B:$B,{"licence","community"}))/SUM(SUMIFS('caseload data'!P:P,'caseload data'!$B:$B,{"licence","community"},'caseload data'!$C:$C,'community %'!$T$43)),"")</f>
        <v/>
      </c>
      <c r="AG48" s="167" t="str">
        <f>IFERROR(SUM(SUMIFS('caseload data'!Q:Q,'caseload data'!$C:$C,'community %'!$T$43,'caseload data'!$D:$D,"SPO",'caseload data'!$B:$B,{"licence","community"}))/SUM(SUMIFS('caseload data'!Q:Q,'caseload data'!$B:$B,{"licence","community"},'caseload data'!$C:$C,'community %'!$T$43)),"")</f>
        <v/>
      </c>
      <c r="AH48" s="167" t="str">
        <f>IFERROR(SUM(SUMIFS('caseload data'!R:R,'caseload data'!$C:$C,'community %'!$T$43,'caseload data'!$D:$D,"SPO",'caseload data'!$B:$B,{"licence","community"}))/SUM(SUMIFS('caseload data'!R:R,'caseload data'!$B:$B,{"licence","community"},'caseload data'!$C:$C,'community %'!$T$43)),"")</f>
        <v/>
      </c>
      <c r="AI48" s="167" t="str">
        <f>IFERROR(SUM(SUMIFS('caseload data'!S:S,'caseload data'!$C:$C,'community %'!$T$43,'caseload data'!$D:$D,"SPO",'caseload data'!$B:$B,{"licence","community"}))/SUM(SUMIFS('caseload data'!S:S,'caseload data'!$B:$B,{"licence","community"},'caseload data'!$C:$C,'community %'!$T$43)),"")</f>
        <v/>
      </c>
      <c r="AJ48" s="167" t="str">
        <f>IFERROR(SUM(SUMIFS('caseload data'!T:T,'caseload data'!$C:$C,'community %'!$T$43,'caseload data'!$D:$D,"SPO",'caseload data'!$B:$B,{"licence","community"}))/SUM(SUMIFS('caseload data'!T:T,'caseload data'!$B:$B,{"licence","community"},'caseload data'!$C:$C,'community %'!$T$43)),"")</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4.75" customHeight="1" x14ac:dyDescent="0.15">
      <c r="B50" s="289">
        <f>HLOOKUP($B$5,Region_Table,14,0)</f>
        <v>0</v>
      </c>
      <c r="C50" s="507" t="s">
        <v>1139</v>
      </c>
      <c r="D50" s="508"/>
      <c r="E50" s="508"/>
      <c r="F50" s="508"/>
      <c r="G50" s="508"/>
      <c r="H50" s="508"/>
      <c r="I50" s="508"/>
      <c r="J50" s="508"/>
      <c r="K50" s="508"/>
      <c r="L50" s="508"/>
      <c r="M50" s="537"/>
      <c r="N50" s="537"/>
      <c r="O50" s="538"/>
      <c r="P50" s="510" cm="1">
        <f t="array" ref="P50">SUM(SUMIFS('caseload data'!V:V,'caseload data'!B:B,{"licence","community"},'caseload data'!$C:$C,B50))</f>
        <v>0</v>
      </c>
      <c r="Q50" s="527"/>
      <c r="R50" s="528"/>
      <c r="S50" s="64"/>
      <c r="T50" s="289">
        <f>HLOOKUP($B$5,Region_Table,15,0)</f>
        <v>0</v>
      </c>
      <c r="U50" s="507" t="s">
        <v>1139</v>
      </c>
      <c r="V50" s="508"/>
      <c r="W50" s="508"/>
      <c r="X50" s="508"/>
      <c r="Y50" s="508"/>
      <c r="Z50" s="508"/>
      <c r="AA50" s="508"/>
      <c r="AB50" s="508"/>
      <c r="AC50" s="508"/>
      <c r="AD50" s="508"/>
      <c r="AE50" s="537"/>
      <c r="AF50" s="537"/>
      <c r="AG50" s="538"/>
      <c r="AH50" s="510" cm="1">
        <f t="array" ref="AH50">SUM(SUMIFS('caseload data'!V:V,'caseload data'!B:B,{"licence","community"},'caseload data'!$C:$C,T50))</f>
        <v>0</v>
      </c>
      <c r="AI50" s="527"/>
      <c r="AJ50" s="528"/>
    </row>
    <row r="51" spans="2:36" x14ac:dyDescent="0.15">
      <c r="B51" s="95" t="s">
        <v>1005</v>
      </c>
      <c r="C51" s="38" t="s">
        <v>869</v>
      </c>
      <c r="D51" s="38" t="s">
        <v>870</v>
      </c>
      <c r="E51" s="38" t="s">
        <v>871</v>
      </c>
      <c r="F51" s="38" t="s">
        <v>872</v>
      </c>
      <c r="G51" s="38" t="s">
        <v>873</v>
      </c>
      <c r="H51" s="38" t="s">
        <v>874</v>
      </c>
      <c r="I51" s="38" t="s">
        <v>875</v>
      </c>
      <c r="J51" s="38" t="s">
        <v>876</v>
      </c>
      <c r="K51" s="38" t="s">
        <v>877</v>
      </c>
      <c r="L51" s="38" t="s">
        <v>878</v>
      </c>
      <c r="M51" s="38" t="s">
        <v>879</v>
      </c>
      <c r="N51" s="38" t="s">
        <v>880</v>
      </c>
      <c r="O51" s="38" t="s">
        <v>881</v>
      </c>
      <c r="P51" s="38" t="s">
        <v>882</v>
      </c>
      <c r="Q51" s="38" t="s">
        <v>883</v>
      </c>
      <c r="R51" s="38" t="s">
        <v>884</v>
      </c>
      <c r="S51" s="64"/>
      <c r="T51" s="95" t="s">
        <v>1005</v>
      </c>
      <c r="U51" s="38" t="s">
        <v>869</v>
      </c>
      <c r="V51" s="38" t="s">
        <v>870</v>
      </c>
      <c r="W51" s="38" t="s">
        <v>871</v>
      </c>
      <c r="X51" s="38" t="s">
        <v>872</v>
      </c>
      <c r="Y51" s="38" t="s">
        <v>873</v>
      </c>
      <c r="Z51" s="38" t="s">
        <v>874</v>
      </c>
      <c r="AA51" s="38" t="s">
        <v>875</v>
      </c>
      <c r="AB51" s="38" t="s">
        <v>876</v>
      </c>
      <c r="AC51" s="38" t="s">
        <v>877</v>
      </c>
      <c r="AD51" s="38" t="s">
        <v>878</v>
      </c>
      <c r="AE51" s="38" t="s">
        <v>879</v>
      </c>
      <c r="AF51" s="38" t="s">
        <v>880</v>
      </c>
      <c r="AG51" s="38" t="s">
        <v>881</v>
      </c>
      <c r="AH51" s="38" t="s">
        <v>882</v>
      </c>
      <c r="AI51" s="38" t="s">
        <v>883</v>
      </c>
      <c r="AJ51" s="38" t="s">
        <v>884</v>
      </c>
    </row>
    <row r="52" spans="2:36" x14ac:dyDescent="0.15">
      <c r="B52" s="96" t="s">
        <v>1002</v>
      </c>
      <c r="C52" s="167" t="str">
        <f>IFERROR(SUM(SUMIFS('caseload data'!E:E,'caseload data'!$C:$C,'community %'!$B$50,'caseload data'!$D:$D,"PO",'caseload data'!$B:$B,{"licence","community"}))/SUM(SUMIFS('caseload data'!E:E,'caseload data'!$B:$B,{"licence","community"},'caseload data'!$C:$C,'community %'!$B$50)),"")</f>
        <v/>
      </c>
      <c r="D52" s="167" t="str">
        <f>IFERROR(SUM(SUMIFS('caseload data'!F:F,'caseload data'!$C:$C,'community %'!$B$50,'caseload data'!$D:$D,"PO",'caseload data'!$B:$B,{"licence","community"}))/SUM(SUMIFS('caseload data'!F:F,'caseload data'!$B:$B,{"licence","community"},'caseload data'!$C:$C,'community %'!$B$50)),"")</f>
        <v/>
      </c>
      <c r="E52" s="167" t="str">
        <f>IFERROR(SUM(SUMIFS('caseload data'!G:G,'caseload data'!$C:$C,'community %'!$B$50,'caseload data'!$D:$D,"PO",'caseload data'!$B:$B,{"licence","community"}))/SUM(SUMIFS('caseload data'!G:G,'caseload data'!$B:$B,{"licence","community"},'caseload data'!$C:$C,'community %'!$B$50)),"")</f>
        <v/>
      </c>
      <c r="F52" s="167" t="str">
        <f>IFERROR(SUM(SUMIFS('caseload data'!H:H,'caseload data'!$C:$C,'community %'!$B$50,'caseload data'!$D:$D,"PO",'caseload data'!$B:$B,{"licence","community"}))/SUM(SUMIFS('caseload data'!H:H,'caseload data'!$B:$B,{"licence","community"},'caseload data'!$C:$C,'community %'!$B$50)),"")</f>
        <v/>
      </c>
      <c r="G52" s="167" t="str">
        <f>IFERROR(SUM(SUMIFS('caseload data'!I:I,'caseload data'!$C:$C,'community %'!$B$50,'caseload data'!$D:$D,"PO",'caseload data'!$B:$B,{"licence","community"}))/SUM(SUMIFS('caseload data'!I:I,'caseload data'!$B:$B,{"licence","community"},'caseload data'!$C:$C,'community %'!$B$50)),"")</f>
        <v/>
      </c>
      <c r="H52" s="167" t="str">
        <f>IFERROR(SUM(SUMIFS('caseload data'!J:J,'caseload data'!$C:$C,'community %'!$B$50,'caseload data'!$D:$D,"PO",'caseload data'!$B:$B,{"licence","community"}))/SUM(SUMIFS('caseload data'!J:J,'caseload data'!$B:$B,{"licence","community"},'caseload data'!$C:$C,'community %'!$B$50)),"")</f>
        <v/>
      </c>
      <c r="I52" s="167" t="str">
        <f>IFERROR(SUM(SUMIFS('caseload data'!K:K,'caseload data'!$C:$C,'community %'!$B$50,'caseload data'!$D:$D,"PO",'caseload data'!$B:$B,{"licence","community"}))/SUM(SUMIFS('caseload data'!K:K,'caseload data'!$B:$B,{"licence","community"},'caseload data'!$C:$C,'community %'!$B$50)),"")</f>
        <v/>
      </c>
      <c r="J52" s="167" t="str">
        <f>IFERROR(SUM(SUMIFS('caseload data'!L:L,'caseload data'!$C:$C,'community %'!$B$50,'caseload data'!$D:$D,"PO",'caseload data'!$B:$B,{"licence","community"}))/SUM(SUMIFS('caseload data'!L:L,'caseload data'!$B:$B,{"licence","community"},'caseload data'!$C:$C,'community %'!$B$50)),"")</f>
        <v/>
      </c>
      <c r="K52" s="167" t="str">
        <f>IFERROR(SUM(SUMIFS('caseload data'!M:M,'caseload data'!$C:$C,'community %'!$B$50,'caseload data'!$D:$D,"PO",'caseload data'!$B:$B,{"licence","community"}))/SUM(SUMIFS('caseload data'!M:M,'caseload data'!$B:$B,{"licence","community"},'caseload data'!$C:$C,'community %'!$B$50)),"")</f>
        <v/>
      </c>
      <c r="L52" s="167" t="str">
        <f>IFERROR(SUM(SUMIFS('caseload data'!N:N,'caseload data'!$C:$C,'community %'!$B$50,'caseload data'!$D:$D,"PO",'caseload data'!$B:$B,{"licence","community"}))/SUM(SUMIFS('caseload data'!N:N,'caseload data'!$B:$B,{"licence","community"},'caseload data'!$C:$C,'community %'!$B$50)),"")</f>
        <v/>
      </c>
      <c r="M52" s="167" t="str">
        <f>IFERROR(SUM(SUMIFS('caseload data'!O:O,'caseload data'!$C:$C,'community %'!$B$50,'caseload data'!$D:$D,"PO",'caseload data'!$B:$B,{"licence","community"}))/SUM(SUMIFS('caseload data'!O:O,'caseload data'!$B:$B,{"licence","community"},'caseload data'!$C:$C,'community %'!$B$50)),"")</f>
        <v/>
      </c>
      <c r="N52" s="167" t="str">
        <f>IFERROR(SUM(SUMIFS('caseload data'!P:P,'caseload data'!$C:$C,'community %'!$B$50,'caseload data'!$D:$D,"PO",'caseload data'!$B:$B,{"licence","community"}))/SUM(SUMIFS('caseload data'!P:P,'caseload data'!$B:$B,{"licence","community"},'caseload data'!$C:$C,'community %'!$B$50)),"")</f>
        <v/>
      </c>
      <c r="O52" s="167" t="str">
        <f>IFERROR(SUM(SUMIFS('caseload data'!Q:Q,'caseload data'!$C:$C,'community %'!$B$50,'caseload data'!$D:$D,"PO",'caseload data'!$B:$B,{"licence","community"}))/SUM(SUMIFS('caseload data'!Q:Q,'caseload data'!$B:$B,{"licence","community"},'caseload data'!$C:$C,'community %'!$B$50)),"")</f>
        <v/>
      </c>
      <c r="P52" s="167" t="str">
        <f>IFERROR(SUM(SUMIFS('caseload data'!R:R,'caseload data'!$C:$C,'community %'!$B$50,'caseload data'!$D:$D,"PO",'caseload data'!$B:$B,{"licence","community"}))/SUM(SUMIFS('caseload data'!R:R,'caseload data'!$B:$B,{"licence","community"},'caseload data'!$C:$C,'community %'!$B$50)),"")</f>
        <v/>
      </c>
      <c r="Q52" s="167" t="str">
        <f>IFERROR(SUM(SUMIFS('caseload data'!S:S,'caseload data'!$C:$C,'community %'!$B$50,'caseload data'!$D:$D,"PO",'caseload data'!$B:$B,{"licence","community"}))/SUM(SUMIFS('caseload data'!S:S,'caseload data'!$B:$B,{"licence","community"},'caseload data'!$C:$C,'community %'!$B$50)),"")</f>
        <v/>
      </c>
      <c r="R52" s="167" t="str">
        <f>IFERROR(SUM(SUMIFS('caseload data'!T:T,'caseload data'!$C:$C,'community %'!$B$50,'caseload data'!$D:$D,"PO",'caseload data'!$B:$B,{"licence","community"}))/SUM(SUMIFS('caseload data'!T:T,'caseload data'!$B:$B,{"licence","community"},'caseload data'!$C:$C,'community %'!$B$50)),"")</f>
        <v/>
      </c>
      <c r="S52" s="64"/>
      <c r="T52" s="96" t="s">
        <v>1002</v>
      </c>
      <c r="U52" s="167" t="str">
        <f>IFERROR(SUM(SUMIFS('caseload data'!E:E,'caseload data'!$C:$C,'community %'!$T$50,'caseload data'!$D:$D,"PO",'caseload data'!$B:$B,{"licence","community"}))/SUM(SUMIFS('caseload data'!E:E,'caseload data'!$B:$B,{"licence","community"},'caseload data'!$C:$C,'community %'!$T$50)),"")</f>
        <v/>
      </c>
      <c r="V52" s="167" t="str">
        <f>IFERROR(SUM(SUMIFS('caseload data'!F:F,'caseload data'!$C:$C,'community %'!$T$50,'caseload data'!$D:$D,"PO",'caseload data'!$B:$B,{"licence","community"}))/SUM(SUMIFS('caseload data'!F:F,'caseload data'!$B:$B,{"licence","community"},'caseload data'!$C:$C,'community %'!$T$50)),"")</f>
        <v/>
      </c>
      <c r="W52" s="167" t="str">
        <f>IFERROR(SUM(SUMIFS('caseload data'!G:G,'caseload data'!$C:$C,'community %'!$T$50,'caseload data'!$D:$D,"PO",'caseload data'!$B:$B,{"licence","community"}))/SUM(SUMIFS('caseload data'!G:G,'caseload data'!$B:$B,{"licence","community"},'caseload data'!$C:$C,'community %'!$T$50)),"")</f>
        <v/>
      </c>
      <c r="X52" s="167" t="str">
        <f>IFERROR(SUM(SUMIFS('caseload data'!H:H,'caseload data'!$C:$C,'community %'!$T$50,'caseload data'!$D:$D,"PO",'caseload data'!$B:$B,{"licence","community"}))/SUM(SUMIFS('caseload data'!H:H,'caseload data'!$B:$B,{"licence","community"},'caseload data'!$C:$C,'community %'!$T$50)),"")</f>
        <v/>
      </c>
      <c r="Y52" s="167" t="str">
        <f>IFERROR(SUM(SUMIFS('caseload data'!I:I,'caseload data'!$C:$C,'community %'!$T$50,'caseload data'!$D:$D,"PO",'caseload data'!$B:$B,{"licence","community"}))/SUM(SUMIFS('caseload data'!I:I,'caseload data'!$B:$B,{"licence","community"},'caseload data'!$C:$C,'community %'!$T$50)),"")</f>
        <v/>
      </c>
      <c r="Z52" s="167" t="str">
        <f>IFERROR(SUM(SUMIFS('caseload data'!J:J,'caseload data'!$C:$C,'community %'!$T$50,'caseload data'!$D:$D,"PO",'caseload data'!$B:$B,{"licence","community"}))/SUM(SUMIFS('caseload data'!J:J,'caseload data'!$B:$B,{"licence","community"},'caseload data'!$C:$C,'community %'!$T$50)),"")</f>
        <v/>
      </c>
      <c r="AA52" s="167" t="str">
        <f>IFERROR(SUM(SUMIFS('caseload data'!K:K,'caseload data'!$C:$C,'community %'!$T$50,'caseload data'!$D:$D,"PO",'caseload data'!$B:$B,{"licence","community"}))/SUM(SUMIFS('caseload data'!K:K,'caseload data'!$B:$B,{"licence","community"},'caseload data'!$C:$C,'community %'!$T$50)),"")</f>
        <v/>
      </c>
      <c r="AB52" s="167" t="str">
        <f>IFERROR(SUM(SUMIFS('caseload data'!L:L,'caseload data'!$C:$C,'community %'!$T$50,'caseload data'!$D:$D,"PO",'caseload data'!$B:$B,{"licence","community"}))/SUM(SUMIFS('caseload data'!L:L,'caseload data'!$B:$B,{"licence","community"},'caseload data'!$C:$C,'community %'!$T$50)),"")</f>
        <v/>
      </c>
      <c r="AC52" s="167" t="str">
        <f>IFERROR(SUM(SUMIFS('caseload data'!M:M,'caseload data'!$C:$C,'community %'!$T$50,'caseload data'!$D:$D,"PO",'caseload data'!$B:$B,{"licence","community"}))/SUM(SUMIFS('caseload data'!M:M,'caseload data'!$B:$B,{"licence","community"},'caseload data'!$C:$C,'community %'!$T$50)),"")</f>
        <v/>
      </c>
      <c r="AD52" s="167" t="str">
        <f>IFERROR(SUM(SUMIFS('caseload data'!N:N,'caseload data'!$C:$C,'community %'!$T$50,'caseload data'!$D:$D,"PO",'caseload data'!$B:$B,{"licence","community"}))/SUM(SUMIFS('caseload data'!N:N,'caseload data'!$B:$B,{"licence","community"},'caseload data'!$C:$C,'community %'!$T$50)),"")</f>
        <v/>
      </c>
      <c r="AE52" s="167" t="str">
        <f>IFERROR(SUM(SUMIFS('caseload data'!O:O,'caseload data'!$C:$C,'community %'!$T$50,'caseload data'!$D:$D,"PO",'caseload data'!$B:$B,{"licence","community"}))/SUM(SUMIFS('caseload data'!O:O,'caseload data'!$B:$B,{"licence","community"},'caseload data'!$C:$C,'community %'!$T$50)),"")</f>
        <v/>
      </c>
      <c r="AF52" s="167" t="str">
        <f>IFERROR(SUM(SUMIFS('caseload data'!P:P,'caseload data'!$C:$C,'community %'!$T$50,'caseload data'!$D:$D,"PO",'caseload data'!$B:$B,{"licence","community"}))/SUM(SUMIFS('caseload data'!P:P,'caseload data'!$B:$B,{"licence","community"},'caseload data'!$C:$C,'community %'!$T$50)),"")</f>
        <v/>
      </c>
      <c r="AG52" s="167" t="str">
        <f>IFERROR(SUM(SUMIFS('caseload data'!Q:Q,'caseload data'!$C:$C,'community %'!$T$50,'caseload data'!$D:$D,"PO",'caseload data'!$B:$B,{"licence","community"}))/SUM(SUMIFS('caseload data'!Q:Q,'caseload data'!$B:$B,{"licence","community"},'caseload data'!$C:$C,'community %'!$T$50)),"")</f>
        <v/>
      </c>
      <c r="AH52" s="167" t="str">
        <f>IFERROR(SUM(SUMIFS('caseload data'!R:R,'caseload data'!$C:$C,'community %'!$T$50,'caseload data'!$D:$D,"PO",'caseload data'!$B:$B,{"licence","community"}))/SUM(SUMIFS('caseload data'!R:R,'caseload data'!$B:$B,{"licence","community"},'caseload data'!$C:$C,'community %'!$T$50)),"")</f>
        <v/>
      </c>
      <c r="AI52" s="167" t="str">
        <f>IFERROR(SUM(SUMIFS('caseload data'!S:S,'caseload data'!$C:$C,'community %'!$T$50,'caseload data'!$D:$D,"PO",'caseload data'!$B:$B,{"licence","community"}))/SUM(SUMIFS('caseload data'!S:S,'caseload data'!$B:$B,{"licence","community"},'caseload data'!$C:$C,'community %'!$T$50)),"")</f>
        <v/>
      </c>
      <c r="AJ52" s="167" t="str">
        <f>IFERROR(SUM(SUMIFS('caseload data'!T:T,'caseload data'!$C:$C,'community %'!$T$50,'caseload data'!$D:$D,"PO",'caseload data'!$B:$B,{"licence","community"}))/SUM(SUMIFS('caseload data'!T:T,'caseload data'!$B:$B,{"licence","community"},'caseload data'!$C:$C,'community %'!$T$50)),"")</f>
        <v/>
      </c>
    </row>
    <row r="53" spans="2:36" x14ac:dyDescent="0.15">
      <c r="B53" s="97" t="s">
        <v>1007</v>
      </c>
      <c r="C53" s="167" t="str">
        <f>IFERROR(SUM(SUMIFS('caseload data'!E:E,'caseload data'!$C:$C,'community %'!$B$50,'caseload data'!$D:$D,"PSO",'caseload data'!$B:$B,{"licence","community"}))/SUM(SUMIFS('caseload data'!E:E,'caseload data'!$B:$B,{"licence","community"},'caseload data'!$C:$C,'community %'!$B$50)),"")</f>
        <v/>
      </c>
      <c r="D53" s="167" t="str">
        <f>IFERROR(SUM(SUMIFS('caseload data'!F:F,'caseload data'!$C:$C,'community %'!$B$50,'caseload data'!$D:$D,"PSO",'caseload data'!$B:$B,{"licence","community"}))/SUM(SUMIFS('caseload data'!F:F,'caseload data'!$B:$B,{"licence","community"},'caseload data'!$C:$C,'community %'!$B$50)),"")</f>
        <v/>
      </c>
      <c r="E53" s="167" t="str">
        <f>IFERROR(SUM(SUMIFS('caseload data'!G:G,'caseload data'!$C:$C,'community %'!$B$50,'caseload data'!$D:$D,"PSO",'caseload data'!$B:$B,{"licence","community"}))/SUM(SUMIFS('caseload data'!G:G,'caseload data'!$B:$B,{"licence","community"},'caseload data'!$C:$C,'community %'!$B$50)),"")</f>
        <v/>
      </c>
      <c r="F53" s="167" t="str">
        <f>IFERROR(SUM(SUMIFS('caseload data'!H:H,'caseload data'!$C:$C,'community %'!$B$50,'caseload data'!$D:$D,"PSO",'caseload data'!$B:$B,{"licence","community"}))/SUM(SUMIFS('caseload data'!H:H,'caseload data'!$B:$B,{"licence","community"},'caseload data'!$C:$C,'community %'!$B$50)),"")</f>
        <v/>
      </c>
      <c r="G53" s="167" t="str">
        <f>IFERROR(SUM(SUMIFS('caseload data'!I:I,'caseload data'!$C:$C,'community %'!$B$50,'caseload data'!$D:$D,"PSO",'caseload data'!$B:$B,{"licence","community"}))/SUM(SUMIFS('caseload data'!I:I,'caseload data'!$B:$B,{"licence","community"},'caseload data'!$C:$C,'community %'!$B$50)),"")</f>
        <v/>
      </c>
      <c r="H53" s="167" t="str">
        <f>IFERROR(SUM(SUMIFS('caseload data'!J:J,'caseload data'!$C:$C,'community %'!$B$50,'caseload data'!$D:$D,"PSO",'caseload data'!$B:$B,{"licence","community"}))/SUM(SUMIFS('caseload data'!J:J,'caseload data'!$B:$B,{"licence","community"},'caseload data'!$C:$C,'community %'!$B$50)),"")</f>
        <v/>
      </c>
      <c r="I53" s="167" t="str">
        <f>IFERROR(SUM(SUMIFS('caseload data'!K:K,'caseload data'!$C:$C,'community %'!$B$50,'caseload data'!$D:$D,"PSO",'caseload data'!$B:$B,{"licence","community"}))/SUM(SUMIFS('caseload data'!K:K,'caseload data'!$B:$B,{"licence","community"},'caseload data'!$C:$C,'community %'!$B$50)),"")</f>
        <v/>
      </c>
      <c r="J53" s="167" t="str">
        <f>IFERROR(SUM(SUMIFS('caseload data'!L:L,'caseload data'!$C:$C,'community %'!$B$50,'caseload data'!$D:$D,"PSO",'caseload data'!$B:$B,{"licence","community"}))/SUM(SUMIFS('caseload data'!L:L,'caseload data'!$B:$B,{"licence","community"},'caseload data'!$C:$C,'community %'!$B$50)),"")</f>
        <v/>
      </c>
      <c r="K53" s="167" t="str">
        <f>IFERROR(SUM(SUMIFS('caseload data'!M:M,'caseload data'!$C:$C,'community %'!$B$50,'caseload data'!$D:$D,"PSO",'caseload data'!$B:$B,{"licence","community"}))/SUM(SUMIFS('caseload data'!M:M,'caseload data'!$B:$B,{"licence","community"},'caseload data'!$C:$C,'community %'!$B$50)),"")</f>
        <v/>
      </c>
      <c r="L53" s="167" t="str">
        <f>IFERROR(SUM(SUMIFS('caseload data'!N:N,'caseload data'!$C:$C,'community %'!$B$50,'caseload data'!$D:$D,"PSO",'caseload data'!$B:$B,{"licence","community"}))/SUM(SUMIFS('caseload data'!N:N,'caseload data'!$B:$B,{"licence","community"},'caseload data'!$C:$C,'community %'!$B$50)),"")</f>
        <v/>
      </c>
      <c r="M53" s="167" t="str">
        <f>IFERROR(SUM(SUMIFS('caseload data'!O:O,'caseload data'!$C:$C,'community %'!$B$50,'caseload data'!$D:$D,"PSO",'caseload data'!$B:$B,{"licence","community"}))/SUM(SUMIFS('caseload data'!O:O,'caseload data'!$B:$B,{"licence","community"},'caseload data'!$C:$C,'community %'!$B$50)),"")</f>
        <v/>
      </c>
      <c r="N53" s="167" t="str">
        <f>IFERROR(SUM(SUMIFS('caseload data'!P:P,'caseload data'!$C:$C,'community %'!$B$50,'caseload data'!$D:$D,"PSO",'caseload data'!$B:$B,{"licence","community"}))/SUM(SUMIFS('caseload data'!P:P,'caseload data'!$B:$B,{"licence","community"},'caseload data'!$C:$C,'community %'!$B$50)),"")</f>
        <v/>
      </c>
      <c r="O53" s="167" t="str">
        <f>IFERROR(SUM(SUMIFS('caseload data'!Q:Q,'caseload data'!$C:$C,'community %'!$B$50,'caseload data'!$D:$D,"PSO",'caseload data'!$B:$B,{"licence","community"}))/SUM(SUMIFS('caseload data'!Q:Q,'caseload data'!$B:$B,{"licence","community"},'caseload data'!$C:$C,'community %'!$B$50)),"")</f>
        <v/>
      </c>
      <c r="P53" s="167" t="str">
        <f>IFERROR(SUM(SUMIFS('caseload data'!R:R,'caseload data'!$C:$C,'community %'!$B$50,'caseload data'!$D:$D,"PSO",'caseload data'!$B:$B,{"licence","community"}))/SUM(SUMIFS('caseload data'!R:R,'caseload data'!$B:$B,{"licence","community"},'caseload data'!$C:$C,'community %'!$B$50)),"")</f>
        <v/>
      </c>
      <c r="Q53" s="167" t="str">
        <f>IFERROR(SUM(SUMIFS('caseload data'!S:S,'caseload data'!$C:$C,'community %'!$B$50,'caseload data'!$D:$D,"PSO",'caseload data'!$B:$B,{"licence","community"}))/SUM(SUMIFS('caseload data'!S:S,'caseload data'!$B:$B,{"licence","community"},'caseload data'!$C:$C,'community %'!$B$50)),"")</f>
        <v/>
      </c>
      <c r="R53" s="167" t="str">
        <f>IFERROR(SUM(SUMIFS('caseload data'!T:T,'caseload data'!$C:$C,'community %'!$B$50,'caseload data'!$D:$D,"PSO",'caseload data'!$B:$B,{"licence","community"}))/SUM(SUMIFS('caseload data'!T:T,'caseload data'!$B:$B,{"licence","community"},'caseload data'!$C:$C,'community %'!$B$50)),"")</f>
        <v/>
      </c>
      <c r="S53" s="64"/>
      <c r="T53" s="97" t="s">
        <v>1007</v>
      </c>
      <c r="U53" s="167" t="str">
        <f>IFERROR(SUM(SUMIFS('caseload data'!E:E,'caseload data'!$C:$C,'community %'!$T$50,'caseload data'!$D:$D,"PSO",'caseload data'!$B:$B,{"licence","community"}))/SUM(SUMIFS('caseload data'!E:E,'caseload data'!$B:$B,{"licence","community"},'caseload data'!$C:$C,'community %'!$T$50)),"")</f>
        <v/>
      </c>
      <c r="V53" s="167" t="str">
        <f>IFERROR(SUM(SUMIFS('caseload data'!F:F,'caseload data'!$C:$C,'community %'!$T$50,'caseload data'!$D:$D,"PSO",'caseload data'!$B:$B,{"licence","community"}))/SUM(SUMIFS('caseload data'!F:F,'caseload data'!$B:$B,{"licence","community"},'caseload data'!$C:$C,'community %'!$T$50)),"")</f>
        <v/>
      </c>
      <c r="W53" s="167" t="str">
        <f>IFERROR(SUM(SUMIFS('caseload data'!G:G,'caseload data'!$C:$C,'community %'!$T$50,'caseload data'!$D:$D,"PSO",'caseload data'!$B:$B,{"licence","community"}))/SUM(SUMIFS('caseload data'!G:G,'caseload data'!$B:$B,{"licence","community"},'caseload data'!$C:$C,'community %'!$T$50)),"")</f>
        <v/>
      </c>
      <c r="X53" s="167" t="str">
        <f>IFERROR(SUM(SUMIFS('caseload data'!H:H,'caseload data'!$C:$C,'community %'!$T$50,'caseload data'!$D:$D,"PSO",'caseload data'!$B:$B,{"licence","community"}))/SUM(SUMIFS('caseload data'!H:H,'caseload data'!$B:$B,{"licence","community"},'caseload data'!$C:$C,'community %'!$T$50)),"")</f>
        <v/>
      </c>
      <c r="Y53" s="167" t="str">
        <f>IFERROR(SUM(SUMIFS('caseload data'!I:I,'caseload data'!$C:$C,'community %'!$T$50,'caseload data'!$D:$D,"PSO",'caseload data'!$B:$B,{"licence","community"}))/SUM(SUMIFS('caseload data'!I:I,'caseload data'!$B:$B,{"licence","community"},'caseload data'!$C:$C,'community %'!$T$50)),"")</f>
        <v/>
      </c>
      <c r="Z53" s="167" t="str">
        <f>IFERROR(SUM(SUMIFS('caseload data'!J:J,'caseload data'!$C:$C,'community %'!$T$50,'caseload data'!$D:$D,"PSO",'caseload data'!$B:$B,{"licence","community"}))/SUM(SUMIFS('caseload data'!J:J,'caseload data'!$B:$B,{"licence","community"},'caseload data'!$C:$C,'community %'!$T$50)),"")</f>
        <v/>
      </c>
      <c r="AA53" s="167" t="str">
        <f>IFERROR(SUM(SUMIFS('caseload data'!K:K,'caseload data'!$C:$C,'community %'!$T$50,'caseload data'!$D:$D,"PSO",'caseload data'!$B:$B,{"licence","community"}))/SUM(SUMIFS('caseload data'!K:K,'caseload data'!$B:$B,{"licence","community"},'caseload data'!$C:$C,'community %'!$T$50)),"")</f>
        <v/>
      </c>
      <c r="AB53" s="167" t="str">
        <f>IFERROR(SUM(SUMIFS('caseload data'!L:L,'caseload data'!$C:$C,'community %'!$T$50,'caseload data'!$D:$D,"PSO",'caseload data'!$B:$B,{"licence","community"}))/SUM(SUMIFS('caseload data'!L:L,'caseload data'!$B:$B,{"licence","community"},'caseload data'!$C:$C,'community %'!$T$50)),"")</f>
        <v/>
      </c>
      <c r="AC53" s="167" t="str">
        <f>IFERROR(SUM(SUMIFS('caseload data'!M:M,'caseload data'!$C:$C,'community %'!$T$50,'caseload data'!$D:$D,"PSO",'caseload data'!$B:$B,{"licence","community"}))/SUM(SUMIFS('caseload data'!M:M,'caseload data'!$B:$B,{"licence","community"},'caseload data'!$C:$C,'community %'!$T$50)),"")</f>
        <v/>
      </c>
      <c r="AD53" s="167" t="str">
        <f>IFERROR(SUM(SUMIFS('caseload data'!N:N,'caseload data'!$C:$C,'community %'!$T$50,'caseload data'!$D:$D,"PSO",'caseload data'!$B:$B,{"licence","community"}))/SUM(SUMIFS('caseload data'!N:N,'caseload data'!$B:$B,{"licence","community"},'caseload data'!$C:$C,'community %'!$T$50)),"")</f>
        <v/>
      </c>
      <c r="AE53" s="167" t="str">
        <f>IFERROR(SUM(SUMIFS('caseload data'!O:O,'caseload data'!$C:$C,'community %'!$T$50,'caseload data'!$D:$D,"PSO",'caseload data'!$B:$B,{"licence","community"}))/SUM(SUMIFS('caseload data'!O:O,'caseload data'!$B:$B,{"licence","community"},'caseload data'!$C:$C,'community %'!$T$50)),"")</f>
        <v/>
      </c>
      <c r="AF53" s="167" t="str">
        <f>IFERROR(SUM(SUMIFS('caseload data'!P:P,'caseload data'!$C:$C,'community %'!$T$50,'caseload data'!$D:$D,"PSO",'caseload data'!$B:$B,{"licence","community"}))/SUM(SUMIFS('caseload data'!P:P,'caseload data'!$B:$B,{"licence","community"},'caseload data'!$C:$C,'community %'!$T$50)),"")</f>
        <v/>
      </c>
      <c r="AG53" s="167" t="str">
        <f>IFERROR(SUM(SUMIFS('caseload data'!Q:Q,'caseload data'!$C:$C,'community %'!$T$50,'caseload data'!$D:$D,"PSO",'caseload data'!$B:$B,{"licence","community"}))/SUM(SUMIFS('caseload data'!Q:Q,'caseload data'!$B:$B,{"licence","community"},'caseload data'!$C:$C,'community %'!$T$50)),"")</f>
        <v/>
      </c>
      <c r="AH53" s="167" t="str">
        <f>IFERROR(SUM(SUMIFS('caseload data'!R:R,'caseload data'!$C:$C,'community %'!$T$50,'caseload data'!$D:$D,"PSO",'caseload data'!$B:$B,{"licence","community"}))/SUM(SUMIFS('caseload data'!R:R,'caseload data'!$B:$B,{"licence","community"},'caseload data'!$C:$C,'community %'!$T$50)),"")</f>
        <v/>
      </c>
      <c r="AI53" s="167" t="str">
        <f>IFERROR(SUM(SUMIFS('caseload data'!S:S,'caseload data'!$C:$C,'community %'!$T$50,'caseload data'!$D:$D,"PSO",'caseload data'!$B:$B,{"licence","community"}))/SUM(SUMIFS('caseload data'!S:S,'caseload data'!$B:$B,{"licence","community"},'caseload data'!$C:$C,'community %'!$T$50)),"")</f>
        <v/>
      </c>
      <c r="AJ53" s="167" t="str">
        <f>IFERROR(SUM(SUMIFS('caseload data'!T:T,'caseload data'!$C:$C,'community %'!$T$50,'caseload data'!$D:$D,"PSO",'caseload data'!$B:$B,{"licence","community"}))/SUM(SUMIFS('caseload data'!T:T,'caseload data'!$B:$B,{"licence","community"},'caseload data'!$C:$C,'community %'!$T$50)),"")</f>
        <v/>
      </c>
    </row>
    <row r="54" spans="2:36" x14ac:dyDescent="0.15">
      <c r="B54" s="97" t="s">
        <v>1008</v>
      </c>
      <c r="C54" s="167" t="str">
        <f>IFERROR(SUM(SUMIFS('caseload data'!E:E,'caseload data'!$C:$C,'community %'!$B$50,'caseload data'!$D:$D,"TPO",'caseload data'!$B:$B,{"licence","community"}))/SUM(SUMIFS('caseload data'!E:E,'caseload data'!$B:$B,{"licence","community"},'caseload data'!$C:$C,'community %'!$B$50)),"")</f>
        <v/>
      </c>
      <c r="D54" s="167" t="str">
        <f>IFERROR(SUM(SUMIFS('caseload data'!F:F,'caseload data'!$C:$C,'community %'!$B$50,'caseload data'!$D:$D,"TPO",'caseload data'!$B:$B,{"licence","community"}))/SUM(SUMIFS('caseload data'!F:F,'caseload data'!$B:$B,{"licence","community"},'caseload data'!$C:$C,'community %'!$B$50)),"")</f>
        <v/>
      </c>
      <c r="E54" s="167" t="str">
        <f>IFERROR(SUM(SUMIFS('caseload data'!G:G,'caseload data'!$C:$C,'community %'!$B$50,'caseload data'!$D:$D,"TPO",'caseload data'!$B:$B,{"licence","community"}))/SUM(SUMIFS('caseload data'!G:G,'caseload data'!$B:$B,{"licence","community"},'caseload data'!$C:$C,'community %'!$B$50)),"")</f>
        <v/>
      </c>
      <c r="F54" s="167" t="str">
        <f>IFERROR(SUM(SUMIFS('caseload data'!H:H,'caseload data'!$C:$C,'community %'!$B$50,'caseload data'!$D:$D,"TPO",'caseload data'!$B:$B,{"licence","community"}))/SUM(SUMIFS('caseload data'!H:H,'caseload data'!$B:$B,{"licence","community"},'caseload data'!$C:$C,'community %'!$B$50)),"")</f>
        <v/>
      </c>
      <c r="G54" s="167" t="str">
        <f>IFERROR(SUM(SUMIFS('caseload data'!I:I,'caseload data'!$C:$C,'community %'!$B$50,'caseload data'!$D:$D,"TPO",'caseload data'!$B:$B,{"licence","community"}))/SUM(SUMIFS('caseload data'!I:I,'caseload data'!$B:$B,{"licence","community"},'caseload data'!$C:$C,'community %'!$B$50)),"")</f>
        <v/>
      </c>
      <c r="H54" s="167" t="str">
        <f>IFERROR(SUM(SUMIFS('caseload data'!J:J,'caseload data'!$C:$C,'community %'!$B$50,'caseload data'!$D:$D,"TPO",'caseload data'!$B:$B,{"licence","community"}))/SUM(SUMIFS('caseload data'!J:J,'caseload data'!$B:$B,{"licence","community"},'caseload data'!$C:$C,'community %'!$B$50)),"")</f>
        <v/>
      </c>
      <c r="I54" s="167" t="str">
        <f>IFERROR(SUM(SUMIFS('caseload data'!K:K,'caseload data'!$C:$C,'community %'!$B$50,'caseload data'!$D:$D,"TPO",'caseload data'!$B:$B,{"licence","community"}))/SUM(SUMIFS('caseload data'!K:K,'caseload data'!$B:$B,{"licence","community"},'caseload data'!$C:$C,'community %'!$B$50)),"")</f>
        <v/>
      </c>
      <c r="J54" s="167" t="str">
        <f>IFERROR(SUM(SUMIFS('caseload data'!L:L,'caseload data'!$C:$C,'community %'!$B$50,'caseload data'!$D:$D,"TPO",'caseload data'!$B:$B,{"licence","community"}))/SUM(SUMIFS('caseload data'!L:L,'caseload data'!$B:$B,{"licence","community"},'caseload data'!$C:$C,'community %'!$B$50)),"")</f>
        <v/>
      </c>
      <c r="K54" s="167" t="str">
        <f>IFERROR(SUM(SUMIFS('caseload data'!M:M,'caseload data'!$C:$C,'community %'!$B$50,'caseload data'!$D:$D,"TPO",'caseload data'!$B:$B,{"licence","community"}))/SUM(SUMIFS('caseload data'!M:M,'caseload data'!$B:$B,{"licence","community"},'caseload data'!$C:$C,'community %'!$B$50)),"")</f>
        <v/>
      </c>
      <c r="L54" s="167" t="str">
        <f>IFERROR(SUM(SUMIFS('caseload data'!N:N,'caseload data'!$C:$C,'community %'!$B$50,'caseload data'!$D:$D,"TPO",'caseload data'!$B:$B,{"licence","community"}))/SUM(SUMIFS('caseload data'!N:N,'caseload data'!$B:$B,{"licence","community"},'caseload data'!$C:$C,'community %'!$B$50)),"")</f>
        <v/>
      </c>
      <c r="M54" s="167" t="str">
        <f>IFERROR(SUM(SUMIFS('caseload data'!O:O,'caseload data'!$C:$C,'community %'!$B$50,'caseload data'!$D:$D,"TPO",'caseload data'!$B:$B,{"licence","community"}))/SUM(SUMIFS('caseload data'!O:O,'caseload data'!$B:$B,{"licence","community"},'caseload data'!$C:$C,'community %'!$B$50)),"")</f>
        <v/>
      </c>
      <c r="N54" s="167" t="str">
        <f>IFERROR(SUM(SUMIFS('caseload data'!P:P,'caseload data'!$C:$C,'community %'!$B$50,'caseload data'!$D:$D,"TPO",'caseload data'!$B:$B,{"licence","community"}))/SUM(SUMIFS('caseload data'!P:P,'caseload data'!$B:$B,{"licence","community"},'caseload data'!$C:$C,'community %'!$B$50)),"")</f>
        <v/>
      </c>
      <c r="O54" s="167" t="str">
        <f>IFERROR(SUM(SUMIFS('caseload data'!Q:Q,'caseload data'!$C:$C,'community %'!$B$50,'caseload data'!$D:$D,"TPO",'caseload data'!$B:$B,{"licence","community"}))/SUM(SUMIFS('caseload data'!Q:Q,'caseload data'!$B:$B,{"licence","community"},'caseload data'!$C:$C,'community %'!$B$50)),"")</f>
        <v/>
      </c>
      <c r="P54" s="167" t="str">
        <f>IFERROR(SUM(SUMIFS('caseload data'!R:R,'caseload data'!$C:$C,'community %'!$B$50,'caseload data'!$D:$D,"TPO",'caseload data'!$B:$B,{"licence","community"}))/SUM(SUMIFS('caseload data'!R:R,'caseload data'!$B:$B,{"licence","community"},'caseload data'!$C:$C,'community %'!$B$50)),"")</f>
        <v/>
      </c>
      <c r="Q54" s="167" t="str">
        <f>IFERROR(SUM(SUMIFS('caseload data'!S:S,'caseload data'!$C:$C,'community %'!$B$50,'caseload data'!$D:$D,"TPO",'caseload data'!$B:$B,{"licence","community"}))/SUM(SUMIFS('caseload data'!S:S,'caseload data'!$B:$B,{"licence","community"},'caseload data'!$C:$C,'community %'!$B$50)),"")</f>
        <v/>
      </c>
      <c r="R54" s="167" t="str">
        <f>IFERROR(SUM(SUMIFS('caseload data'!T:T,'caseload data'!$C:$C,'community %'!$B$50,'caseload data'!$D:$D,"TPO",'caseload data'!$B:$B,{"licence","community"}))/SUM(SUMIFS('caseload data'!T:T,'caseload data'!$B:$B,{"licence","community"},'caseload data'!$C:$C,'community %'!$B$50)),"")</f>
        <v/>
      </c>
      <c r="S54" s="64"/>
      <c r="T54" s="97" t="s">
        <v>1008</v>
      </c>
      <c r="U54" s="167" t="str">
        <f>IFERROR(SUM(SUMIFS('caseload data'!E:E,'caseload data'!$C:$C,'community %'!$T$50,'caseload data'!$D:$D,"TPO",'caseload data'!$B:$B,{"licence","community"}))/SUM(SUMIFS('caseload data'!E:E,'caseload data'!$B:$B,{"licence","community"},'caseload data'!$C:$C,'community %'!$T$50)),"")</f>
        <v/>
      </c>
      <c r="V54" s="167" t="str">
        <f>IFERROR(SUM(SUMIFS('caseload data'!F:F,'caseload data'!$C:$C,'community %'!$T$50,'caseload data'!$D:$D,"TPO",'caseload data'!$B:$B,{"licence","community"}))/SUM(SUMIFS('caseload data'!F:F,'caseload data'!$B:$B,{"licence","community"},'caseload data'!$C:$C,'community %'!$T$50)),"")</f>
        <v/>
      </c>
      <c r="W54" s="167" t="str">
        <f>IFERROR(SUM(SUMIFS('caseload data'!G:G,'caseload data'!$C:$C,'community %'!$T$50,'caseload data'!$D:$D,"TPO",'caseload data'!$B:$B,{"licence","community"}))/SUM(SUMIFS('caseload data'!G:G,'caseload data'!$B:$B,{"licence","community"},'caseload data'!$C:$C,'community %'!$T$50)),"")</f>
        <v/>
      </c>
      <c r="X54" s="167" t="str">
        <f>IFERROR(SUM(SUMIFS('caseload data'!H:H,'caseload data'!$C:$C,'community %'!$T$50,'caseload data'!$D:$D,"TPO",'caseload data'!$B:$B,{"licence","community"}))/SUM(SUMIFS('caseload data'!H:H,'caseload data'!$B:$B,{"licence","community"},'caseload data'!$C:$C,'community %'!$T$50)),"")</f>
        <v/>
      </c>
      <c r="Y54" s="167" t="str">
        <f>IFERROR(SUM(SUMIFS('caseload data'!I:I,'caseload data'!$C:$C,'community %'!$T$50,'caseload data'!$D:$D,"TPO",'caseload data'!$B:$B,{"licence","community"}))/SUM(SUMIFS('caseload data'!I:I,'caseload data'!$B:$B,{"licence","community"},'caseload data'!$C:$C,'community %'!$T$50)),"")</f>
        <v/>
      </c>
      <c r="Z54" s="167" t="str">
        <f>IFERROR(SUM(SUMIFS('caseload data'!J:J,'caseload data'!$C:$C,'community %'!$T$50,'caseload data'!$D:$D,"TPO",'caseload data'!$B:$B,{"licence","community"}))/SUM(SUMIFS('caseload data'!J:J,'caseload data'!$B:$B,{"licence","community"},'caseload data'!$C:$C,'community %'!$T$50)),"")</f>
        <v/>
      </c>
      <c r="AA54" s="167" t="str">
        <f>IFERROR(SUM(SUMIFS('caseload data'!K:K,'caseload data'!$C:$C,'community %'!$T$50,'caseload data'!$D:$D,"TPO",'caseload data'!$B:$B,{"licence","community"}))/SUM(SUMIFS('caseload data'!K:K,'caseload data'!$B:$B,{"licence","community"},'caseload data'!$C:$C,'community %'!$T$50)),"")</f>
        <v/>
      </c>
      <c r="AB54" s="167" t="str">
        <f>IFERROR(SUM(SUMIFS('caseload data'!L:L,'caseload data'!$C:$C,'community %'!$T$50,'caseload data'!$D:$D,"TPO",'caseload data'!$B:$B,{"licence","community"}))/SUM(SUMIFS('caseload data'!L:L,'caseload data'!$B:$B,{"licence","community"},'caseload data'!$C:$C,'community %'!$T$50)),"")</f>
        <v/>
      </c>
      <c r="AC54" s="167" t="str">
        <f>IFERROR(SUM(SUMIFS('caseload data'!M:M,'caseload data'!$C:$C,'community %'!$T$50,'caseload data'!$D:$D,"TPO",'caseload data'!$B:$B,{"licence","community"}))/SUM(SUMIFS('caseload data'!M:M,'caseload data'!$B:$B,{"licence","community"},'caseload data'!$C:$C,'community %'!$T$50)),"")</f>
        <v/>
      </c>
      <c r="AD54" s="167" t="str">
        <f>IFERROR(SUM(SUMIFS('caseload data'!N:N,'caseload data'!$C:$C,'community %'!$T$50,'caseload data'!$D:$D,"TPO",'caseload data'!$B:$B,{"licence","community"}))/SUM(SUMIFS('caseload data'!N:N,'caseload data'!$B:$B,{"licence","community"},'caseload data'!$C:$C,'community %'!$T$50)),"")</f>
        <v/>
      </c>
      <c r="AE54" s="167" t="str">
        <f>IFERROR(SUM(SUMIFS('caseload data'!O:O,'caseload data'!$C:$C,'community %'!$T$50,'caseload data'!$D:$D,"TPO",'caseload data'!$B:$B,{"licence","community"}))/SUM(SUMIFS('caseload data'!O:O,'caseload data'!$B:$B,{"licence","community"},'caseload data'!$C:$C,'community %'!$T$50)),"")</f>
        <v/>
      </c>
      <c r="AF54" s="167" t="str">
        <f>IFERROR(SUM(SUMIFS('caseload data'!P:P,'caseload data'!$C:$C,'community %'!$T$50,'caseload data'!$D:$D,"TPO",'caseload data'!$B:$B,{"licence","community"}))/SUM(SUMIFS('caseload data'!P:P,'caseload data'!$B:$B,{"licence","community"},'caseload data'!$C:$C,'community %'!$T$50)),"")</f>
        <v/>
      </c>
      <c r="AG54" s="167" t="str">
        <f>IFERROR(SUM(SUMIFS('caseload data'!Q:Q,'caseload data'!$C:$C,'community %'!$T$50,'caseload data'!$D:$D,"TPO",'caseload data'!$B:$B,{"licence","community"}))/SUM(SUMIFS('caseload data'!Q:Q,'caseload data'!$B:$B,{"licence","community"},'caseload data'!$C:$C,'community %'!$T$50)),"")</f>
        <v/>
      </c>
      <c r="AH54" s="167" t="str">
        <f>IFERROR(SUM(SUMIFS('caseload data'!R:R,'caseload data'!$C:$C,'community %'!$T$50,'caseload data'!$D:$D,"TPO",'caseload data'!$B:$B,{"licence","community"}))/SUM(SUMIFS('caseload data'!R:R,'caseload data'!$B:$B,{"licence","community"},'caseload data'!$C:$C,'community %'!$T$50)),"")</f>
        <v/>
      </c>
      <c r="AI54" s="167" t="str">
        <f>IFERROR(SUM(SUMIFS('caseload data'!S:S,'caseload data'!$C:$C,'community %'!$T$50,'caseload data'!$D:$D,"TPO",'caseload data'!$B:$B,{"licence","community"}))/SUM(SUMIFS('caseload data'!S:S,'caseload data'!$B:$B,{"licence","community"},'caseload data'!$C:$C,'community %'!$T$50)),"")</f>
        <v/>
      </c>
      <c r="AJ54" s="167" t="str">
        <f>IFERROR(SUM(SUMIFS('caseload data'!T:T,'caseload data'!$C:$C,'community %'!$T$50,'caseload data'!$D:$D,"TPO",'caseload data'!$B:$B,{"licence","community"}))/SUM(SUMIFS('caseload data'!T:T,'caseload data'!$B:$B,{"licence","community"},'caseload data'!$C:$C,'community %'!$T$50)),"")</f>
        <v/>
      </c>
    </row>
    <row r="55" spans="2:36" x14ac:dyDescent="0.15">
      <c r="B55" s="98" t="s">
        <v>1009</v>
      </c>
      <c r="C55" s="167" t="str">
        <f>IFERROR(SUM(SUMIFS('caseload data'!E:E,'caseload data'!$C:$C,'community %'!$B$50,'caseload data'!$D:$D,"SPO",'caseload data'!$B:$B,{"licence","community"}))/SUM(SUMIFS('caseload data'!E:E,'caseload data'!$B:$B,{"licence","community"},'caseload data'!$C:$C,'community %'!$B$50)),"")</f>
        <v/>
      </c>
      <c r="D55" s="167" t="str">
        <f>IFERROR(SUM(SUMIFS('caseload data'!F:F,'caseload data'!$C:$C,'community %'!$B$50,'caseload data'!$D:$D,"SPO",'caseload data'!$B:$B,{"licence","community"}))/SUM(SUMIFS('caseload data'!F:F,'caseload data'!$B:$B,{"licence","community"},'caseload data'!$C:$C,'community %'!$B$50)),"")</f>
        <v/>
      </c>
      <c r="E55" s="167" t="str">
        <f>IFERROR(SUM(SUMIFS('caseload data'!G:G,'caseload data'!$C:$C,'community %'!$B$50,'caseload data'!$D:$D,"SPO",'caseload data'!$B:$B,{"licence","community"}))/SUM(SUMIFS('caseload data'!G:G,'caseload data'!$B:$B,{"licence","community"},'caseload data'!$C:$C,'community %'!$B$50)),"")</f>
        <v/>
      </c>
      <c r="F55" s="167" t="str">
        <f>IFERROR(SUM(SUMIFS('caseload data'!H:H,'caseload data'!$C:$C,'community %'!$B$50,'caseload data'!$D:$D,"SPO",'caseload data'!$B:$B,{"licence","community"}))/SUM(SUMIFS('caseload data'!H:H,'caseload data'!$B:$B,{"licence","community"},'caseload data'!$C:$C,'community %'!$B$50)),"")</f>
        <v/>
      </c>
      <c r="G55" s="167" t="str">
        <f>IFERROR(SUM(SUMIFS('caseload data'!I:I,'caseload data'!$C:$C,'community %'!$B$50,'caseload data'!$D:$D,"SPO",'caseload data'!$B:$B,{"licence","community"}))/SUM(SUMIFS('caseload data'!I:I,'caseload data'!$B:$B,{"licence","community"},'caseload data'!$C:$C,'community %'!$B$50)),"")</f>
        <v/>
      </c>
      <c r="H55" s="167" t="str">
        <f>IFERROR(SUM(SUMIFS('caseload data'!J:J,'caseload data'!$C:$C,'community %'!$B$50,'caseload data'!$D:$D,"SPO",'caseload data'!$B:$B,{"licence","community"}))/SUM(SUMIFS('caseload data'!J:J,'caseload data'!$B:$B,{"licence","community"},'caseload data'!$C:$C,'community %'!$B$50)),"")</f>
        <v/>
      </c>
      <c r="I55" s="167" t="str">
        <f>IFERROR(SUM(SUMIFS('caseload data'!K:K,'caseload data'!$C:$C,'community %'!$B$50,'caseload data'!$D:$D,"SPO",'caseload data'!$B:$B,{"licence","community"}))/SUM(SUMIFS('caseload data'!K:K,'caseload data'!$B:$B,{"licence","community"},'caseload data'!$C:$C,'community %'!$B$50)),"")</f>
        <v/>
      </c>
      <c r="J55" s="167" t="str">
        <f>IFERROR(SUM(SUMIFS('caseload data'!L:L,'caseload data'!$C:$C,'community %'!$B$50,'caseload data'!$D:$D,"SPO",'caseload data'!$B:$B,{"licence","community"}))/SUM(SUMIFS('caseload data'!L:L,'caseload data'!$B:$B,{"licence","community"},'caseload data'!$C:$C,'community %'!$B$50)),"")</f>
        <v/>
      </c>
      <c r="K55" s="167" t="str">
        <f>IFERROR(SUM(SUMIFS('caseload data'!M:M,'caseload data'!$C:$C,'community %'!$B$50,'caseload data'!$D:$D,"SPO",'caseload data'!$B:$B,{"licence","community"}))/SUM(SUMIFS('caseload data'!M:M,'caseload data'!$B:$B,{"licence","community"},'caseload data'!$C:$C,'community %'!$B$50)),"")</f>
        <v/>
      </c>
      <c r="L55" s="167" t="str">
        <f>IFERROR(SUM(SUMIFS('caseload data'!N:N,'caseload data'!$C:$C,'community %'!$B$50,'caseload data'!$D:$D,"SPO",'caseload data'!$B:$B,{"licence","community"}))/SUM(SUMIFS('caseload data'!N:N,'caseload data'!$B:$B,{"licence","community"},'caseload data'!$C:$C,'community %'!$B$50)),"")</f>
        <v/>
      </c>
      <c r="M55" s="167" t="str">
        <f>IFERROR(SUM(SUMIFS('caseload data'!O:O,'caseload data'!$C:$C,'community %'!$B$50,'caseload data'!$D:$D,"SPO",'caseload data'!$B:$B,{"licence","community"}))/SUM(SUMIFS('caseload data'!O:O,'caseload data'!$B:$B,{"licence","community"},'caseload data'!$C:$C,'community %'!$B$50)),"")</f>
        <v/>
      </c>
      <c r="N55" s="167" t="str">
        <f>IFERROR(SUM(SUMIFS('caseload data'!P:P,'caseload data'!$C:$C,'community %'!$B$50,'caseload data'!$D:$D,"SPO",'caseload data'!$B:$B,{"licence","community"}))/SUM(SUMIFS('caseload data'!P:P,'caseload data'!$B:$B,{"licence","community"},'caseload data'!$C:$C,'community %'!$B$50)),"")</f>
        <v/>
      </c>
      <c r="O55" s="167" t="str">
        <f>IFERROR(SUM(SUMIFS('caseload data'!Q:Q,'caseload data'!$C:$C,'community %'!$B$50,'caseload data'!$D:$D,"SPO",'caseload data'!$B:$B,{"licence","community"}))/SUM(SUMIFS('caseload data'!Q:Q,'caseload data'!$B:$B,{"licence","community"},'caseload data'!$C:$C,'community %'!$B$50)),"")</f>
        <v/>
      </c>
      <c r="P55" s="167" t="str">
        <f>IFERROR(SUM(SUMIFS('caseload data'!R:R,'caseload data'!$C:$C,'community %'!$B$50,'caseload data'!$D:$D,"SPO",'caseload data'!$B:$B,{"licence","community"}))/SUM(SUMIFS('caseload data'!R:R,'caseload data'!$B:$B,{"licence","community"},'caseload data'!$C:$C,'community %'!$B$50)),"")</f>
        <v/>
      </c>
      <c r="Q55" s="167" t="str">
        <f>IFERROR(SUM(SUMIFS('caseload data'!S:S,'caseload data'!$C:$C,'community %'!$B$50,'caseload data'!$D:$D,"SPO",'caseload data'!$B:$B,{"licence","community"}))/SUM(SUMIFS('caseload data'!S:S,'caseload data'!$B:$B,{"licence","community"},'caseload data'!$C:$C,'community %'!$B$50)),"")</f>
        <v/>
      </c>
      <c r="R55" s="167" t="str">
        <f>IFERROR(SUM(SUMIFS('caseload data'!T:T,'caseload data'!$C:$C,'community %'!$B$50,'caseload data'!$D:$D,"SPO",'caseload data'!$B:$B,{"licence","community"}))/SUM(SUMIFS('caseload data'!T:T,'caseload data'!$B:$B,{"licence","community"},'caseload data'!$C:$C,'community %'!$B$50)),"")</f>
        <v/>
      </c>
      <c r="S55" s="64"/>
      <c r="T55" s="98" t="s">
        <v>1009</v>
      </c>
      <c r="U55" s="167" t="str">
        <f>IFERROR(SUM(SUMIFS('caseload data'!E:E,'caseload data'!$C:$C,'community %'!$T$50,'caseload data'!$D:$D,"SPO",'caseload data'!$B:$B,{"licence","community"}))/SUM(SUMIFS('caseload data'!E:E,'caseload data'!$B:$B,{"licence","community"},'caseload data'!$C:$C,'community %'!$T$50)),"")</f>
        <v/>
      </c>
      <c r="V55" s="167" t="str">
        <f>IFERROR(SUM(SUMIFS('caseload data'!F:F,'caseload data'!$C:$C,'community %'!$T$50,'caseload data'!$D:$D,"SPO",'caseload data'!$B:$B,{"licence","community"}))/SUM(SUMIFS('caseload data'!F:F,'caseload data'!$B:$B,{"licence","community"},'caseload data'!$C:$C,'community %'!$T$50)),"")</f>
        <v/>
      </c>
      <c r="W55" s="167" t="str">
        <f>IFERROR(SUM(SUMIFS('caseload data'!G:G,'caseload data'!$C:$C,'community %'!$T$50,'caseload data'!$D:$D,"SPO",'caseload data'!$B:$B,{"licence","community"}))/SUM(SUMIFS('caseload data'!G:G,'caseload data'!$B:$B,{"licence","community"},'caseload data'!$C:$C,'community %'!$T$50)),"")</f>
        <v/>
      </c>
      <c r="X55" s="167" t="str">
        <f>IFERROR(SUM(SUMIFS('caseload data'!H:H,'caseload data'!$C:$C,'community %'!$T$50,'caseload data'!$D:$D,"SPO",'caseload data'!$B:$B,{"licence","community"}))/SUM(SUMIFS('caseload data'!H:H,'caseload data'!$B:$B,{"licence","community"},'caseload data'!$C:$C,'community %'!$T$50)),"")</f>
        <v/>
      </c>
      <c r="Y55" s="167" t="str">
        <f>IFERROR(SUM(SUMIFS('caseload data'!I:I,'caseload data'!$C:$C,'community %'!$T$50,'caseload data'!$D:$D,"SPO",'caseload data'!$B:$B,{"licence","community"}))/SUM(SUMIFS('caseload data'!I:I,'caseload data'!$B:$B,{"licence","community"},'caseload data'!$C:$C,'community %'!$T$50)),"")</f>
        <v/>
      </c>
      <c r="Z55" s="167" t="str">
        <f>IFERROR(SUM(SUMIFS('caseload data'!J:J,'caseload data'!$C:$C,'community %'!$T$50,'caseload data'!$D:$D,"SPO",'caseload data'!$B:$B,{"licence","community"}))/SUM(SUMIFS('caseload data'!J:J,'caseload data'!$B:$B,{"licence","community"},'caseload data'!$C:$C,'community %'!$T$50)),"")</f>
        <v/>
      </c>
      <c r="AA55" s="167" t="str">
        <f>IFERROR(SUM(SUMIFS('caseload data'!K:K,'caseload data'!$C:$C,'community %'!$T$50,'caseload data'!$D:$D,"SPO",'caseload data'!$B:$B,{"licence","community"}))/SUM(SUMIFS('caseload data'!K:K,'caseload data'!$B:$B,{"licence","community"},'caseload data'!$C:$C,'community %'!$T$50)),"")</f>
        <v/>
      </c>
      <c r="AB55" s="167" t="str">
        <f>IFERROR(SUM(SUMIFS('caseload data'!L:L,'caseload data'!$C:$C,'community %'!$T$50,'caseload data'!$D:$D,"SPO",'caseload data'!$B:$B,{"licence","community"}))/SUM(SUMIFS('caseload data'!L:L,'caseload data'!$B:$B,{"licence","community"},'caseload data'!$C:$C,'community %'!$T$50)),"")</f>
        <v/>
      </c>
      <c r="AC55" s="167" t="str">
        <f>IFERROR(SUM(SUMIFS('caseload data'!M:M,'caseload data'!$C:$C,'community %'!$T$50,'caseload data'!$D:$D,"SPO",'caseload data'!$B:$B,{"licence","community"}))/SUM(SUMIFS('caseload data'!M:M,'caseload data'!$B:$B,{"licence","community"},'caseload data'!$C:$C,'community %'!$T$50)),"")</f>
        <v/>
      </c>
      <c r="AD55" s="167" t="str">
        <f>IFERROR(SUM(SUMIFS('caseload data'!N:N,'caseload data'!$C:$C,'community %'!$T$50,'caseload data'!$D:$D,"SPO",'caseload data'!$B:$B,{"licence","community"}))/SUM(SUMIFS('caseload data'!N:N,'caseload data'!$B:$B,{"licence","community"},'caseload data'!$C:$C,'community %'!$T$50)),"")</f>
        <v/>
      </c>
      <c r="AE55" s="167" t="str">
        <f>IFERROR(SUM(SUMIFS('caseload data'!O:O,'caseload data'!$C:$C,'community %'!$T$50,'caseload data'!$D:$D,"SPO",'caseload data'!$B:$B,{"licence","community"}))/SUM(SUMIFS('caseload data'!O:O,'caseload data'!$B:$B,{"licence","community"},'caseload data'!$C:$C,'community %'!$T$50)),"")</f>
        <v/>
      </c>
      <c r="AF55" s="167" t="str">
        <f>IFERROR(SUM(SUMIFS('caseload data'!P:P,'caseload data'!$C:$C,'community %'!$T$50,'caseload data'!$D:$D,"SPO",'caseload data'!$B:$B,{"licence","community"}))/SUM(SUMIFS('caseload data'!P:P,'caseload data'!$B:$B,{"licence","community"},'caseload data'!$C:$C,'community %'!$T$50)),"")</f>
        <v/>
      </c>
      <c r="AG55" s="167" t="str">
        <f>IFERROR(SUM(SUMIFS('caseload data'!Q:Q,'caseload data'!$C:$C,'community %'!$T$50,'caseload data'!$D:$D,"SPO",'caseload data'!$B:$B,{"licence","community"}))/SUM(SUMIFS('caseload data'!Q:Q,'caseload data'!$B:$B,{"licence","community"},'caseload data'!$C:$C,'community %'!$T$50)),"")</f>
        <v/>
      </c>
      <c r="AH55" s="167" t="str">
        <f>IFERROR(SUM(SUMIFS('caseload data'!R:R,'caseload data'!$C:$C,'community %'!$T$50,'caseload data'!$D:$D,"SPO",'caseload data'!$B:$B,{"licence","community"}))/SUM(SUMIFS('caseload data'!R:R,'caseload data'!$B:$B,{"licence","community"},'caseload data'!$C:$C,'community %'!$T$50)),"")</f>
        <v/>
      </c>
      <c r="AI55" s="167" t="str">
        <f>IFERROR(SUM(SUMIFS('caseload data'!S:S,'caseload data'!$C:$C,'community %'!$T$50,'caseload data'!$D:$D,"SPO",'caseload data'!$B:$B,{"licence","community"}))/SUM(SUMIFS('caseload data'!S:S,'caseload data'!$B:$B,{"licence","community"},'caseload data'!$C:$C,'community %'!$T$50)),"")</f>
        <v/>
      </c>
      <c r="AJ55" s="167" t="str">
        <f>IFERROR(SUM(SUMIFS('caseload data'!T:T,'caseload data'!$C:$C,'community %'!$T$50,'caseload data'!$D:$D,"SPO",'caseload data'!$B:$B,{"licence","community"}))/SUM(SUMIFS('caseload data'!T:T,'caseload data'!$B:$B,{"licence","community"},'caseload data'!$C:$C,'community %'!$T$50)),"")</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1" customHeight="1" x14ac:dyDescent="0.15">
      <c r="B57" s="289">
        <f>HLOOKUP($B$5,Region_Table,16,0)</f>
        <v>0</v>
      </c>
      <c r="C57" s="507" t="s">
        <v>1139</v>
      </c>
      <c r="D57" s="508"/>
      <c r="E57" s="508"/>
      <c r="F57" s="508"/>
      <c r="G57" s="508"/>
      <c r="H57" s="508"/>
      <c r="I57" s="508"/>
      <c r="J57" s="508"/>
      <c r="K57" s="508"/>
      <c r="L57" s="508"/>
      <c r="M57" s="537"/>
      <c r="N57" s="537"/>
      <c r="O57" s="538"/>
      <c r="P57" s="510" cm="1">
        <f t="array" ref="P57">SUM(SUMIFS('caseload data'!V:V,'caseload data'!B:B,{"licence","community"},'caseload data'!$C:$C,B57))</f>
        <v>0</v>
      </c>
      <c r="Q57" s="527"/>
      <c r="R57" s="528"/>
      <c r="S57" s="64"/>
      <c r="T57" s="289">
        <f>HLOOKUP($B$5,Region_Table,17,0)</f>
        <v>0</v>
      </c>
      <c r="U57" s="507" t="s">
        <v>1139</v>
      </c>
      <c r="V57" s="508"/>
      <c r="W57" s="508"/>
      <c r="X57" s="508"/>
      <c r="Y57" s="508"/>
      <c r="Z57" s="508"/>
      <c r="AA57" s="508"/>
      <c r="AB57" s="508"/>
      <c r="AC57" s="508"/>
      <c r="AD57" s="508"/>
      <c r="AE57" s="537"/>
      <c r="AF57" s="537"/>
      <c r="AG57" s="538"/>
      <c r="AH57" s="510" cm="1">
        <f t="array" ref="AH57">SUM(SUMIFS('caseload data'!V:V,'caseload data'!B:B,{"licence","community"},'caseload data'!$C:$C,T57))</f>
        <v>0</v>
      </c>
      <c r="AI57" s="527"/>
      <c r="AJ57" s="528"/>
    </row>
    <row r="58" spans="2:36" x14ac:dyDescent="0.15">
      <c r="B58" s="95" t="s">
        <v>1005</v>
      </c>
      <c r="C58" s="38" t="s">
        <v>869</v>
      </c>
      <c r="D58" s="38" t="s">
        <v>870</v>
      </c>
      <c r="E58" s="38" t="s">
        <v>871</v>
      </c>
      <c r="F58" s="38" t="s">
        <v>872</v>
      </c>
      <c r="G58" s="38" t="s">
        <v>873</v>
      </c>
      <c r="H58" s="38" t="s">
        <v>874</v>
      </c>
      <c r="I58" s="38" t="s">
        <v>875</v>
      </c>
      <c r="J58" s="38" t="s">
        <v>876</v>
      </c>
      <c r="K58" s="38" t="s">
        <v>877</v>
      </c>
      <c r="L58" s="38" t="s">
        <v>878</v>
      </c>
      <c r="M58" s="38" t="s">
        <v>879</v>
      </c>
      <c r="N58" s="38" t="s">
        <v>880</v>
      </c>
      <c r="O58" s="38" t="s">
        <v>881</v>
      </c>
      <c r="P58" s="38" t="s">
        <v>882</v>
      </c>
      <c r="Q58" s="38" t="s">
        <v>883</v>
      </c>
      <c r="R58" s="38" t="s">
        <v>884</v>
      </c>
      <c r="S58" s="64"/>
      <c r="T58" s="95" t="s">
        <v>1005</v>
      </c>
      <c r="U58" s="38" t="s">
        <v>869</v>
      </c>
      <c r="V58" s="38" t="s">
        <v>870</v>
      </c>
      <c r="W58" s="38" t="s">
        <v>871</v>
      </c>
      <c r="X58" s="38" t="s">
        <v>872</v>
      </c>
      <c r="Y58" s="38" t="s">
        <v>873</v>
      </c>
      <c r="Z58" s="38" t="s">
        <v>874</v>
      </c>
      <c r="AA58" s="38" t="s">
        <v>875</v>
      </c>
      <c r="AB58" s="38" t="s">
        <v>876</v>
      </c>
      <c r="AC58" s="38" t="s">
        <v>877</v>
      </c>
      <c r="AD58" s="38" t="s">
        <v>878</v>
      </c>
      <c r="AE58" s="38" t="s">
        <v>879</v>
      </c>
      <c r="AF58" s="38" t="s">
        <v>880</v>
      </c>
      <c r="AG58" s="38" t="s">
        <v>881</v>
      </c>
      <c r="AH58" s="38" t="s">
        <v>882</v>
      </c>
      <c r="AI58" s="38" t="s">
        <v>883</v>
      </c>
      <c r="AJ58" s="38" t="s">
        <v>884</v>
      </c>
    </row>
    <row r="59" spans="2:36" x14ac:dyDescent="0.15">
      <c r="B59" s="96" t="s">
        <v>1002</v>
      </c>
      <c r="C59" s="167" t="str">
        <f>IFERROR(SUM(SUMIFS('caseload data'!E:E,'caseload data'!$C:$C,'community %'!$B$57,'caseload data'!$D:$D,"PO",'caseload data'!$B:$B,{"licence","community"}))/SUM(SUMIFS('caseload data'!E:E,'caseload data'!$B:$B,{"licence","community"},'caseload data'!$C:$C,'community %'!$B$57)),"")</f>
        <v/>
      </c>
      <c r="D59" s="167" t="str">
        <f>IFERROR(SUM(SUMIFS('caseload data'!F:F,'caseload data'!$C:$C,'community %'!$B$57,'caseload data'!$D:$D,"PO",'caseload data'!$B:$B,{"licence","community"}))/SUM(SUMIFS('caseload data'!F:F,'caseload data'!$B:$B,{"licence","community"},'caseload data'!$C:$C,'community %'!$B$57)),"")</f>
        <v/>
      </c>
      <c r="E59" s="167" t="str">
        <f>IFERROR(SUM(SUMIFS('caseload data'!G:G,'caseload data'!$C:$C,'community %'!$B$57,'caseload data'!$D:$D,"PO",'caseload data'!$B:$B,{"licence","community"}))/SUM(SUMIFS('caseload data'!G:G,'caseload data'!$B:$B,{"licence","community"},'caseload data'!$C:$C,'community %'!$B$57)),"")</f>
        <v/>
      </c>
      <c r="F59" s="167" t="str">
        <f>IFERROR(SUM(SUMIFS('caseload data'!H:H,'caseload data'!$C:$C,'community %'!$B$57,'caseload data'!$D:$D,"PO",'caseload data'!$B:$B,{"licence","community"}))/SUM(SUMIFS('caseload data'!H:H,'caseload data'!$B:$B,{"licence","community"},'caseload data'!$C:$C,'community %'!$B$57)),"")</f>
        <v/>
      </c>
      <c r="G59" s="167" t="str">
        <f>IFERROR(SUM(SUMIFS('caseload data'!I:I,'caseload data'!$C:$C,'community %'!$B$57,'caseload data'!$D:$D,"PO",'caseload data'!$B:$B,{"licence","community"}))/SUM(SUMIFS('caseload data'!I:I,'caseload data'!$B:$B,{"licence","community"},'caseload data'!$C:$C,'community %'!$B$57)),"")</f>
        <v/>
      </c>
      <c r="H59" s="167" t="str">
        <f>IFERROR(SUM(SUMIFS('caseload data'!J:J,'caseload data'!$C:$C,'community %'!$B$57,'caseload data'!$D:$D,"PO",'caseload data'!$B:$B,{"licence","community"}))/SUM(SUMIFS('caseload data'!J:J,'caseload data'!$B:$B,{"licence","community"},'caseload data'!$C:$C,'community %'!$B$57)),"")</f>
        <v/>
      </c>
      <c r="I59" s="167" t="str">
        <f>IFERROR(SUM(SUMIFS('caseload data'!K:K,'caseload data'!$C:$C,'community %'!$B$57,'caseload data'!$D:$D,"PO",'caseload data'!$B:$B,{"licence","community"}))/SUM(SUMIFS('caseload data'!K:K,'caseload data'!$B:$B,{"licence","community"},'caseload data'!$C:$C,'community %'!$B$57)),"")</f>
        <v/>
      </c>
      <c r="J59" s="167" t="str">
        <f>IFERROR(SUM(SUMIFS('caseload data'!L:L,'caseload data'!$C:$C,'community %'!$B$57,'caseload data'!$D:$D,"PO",'caseload data'!$B:$B,{"licence","community"}))/SUM(SUMIFS('caseload data'!L:L,'caseload data'!$B:$B,{"licence","community"},'caseload data'!$C:$C,'community %'!$B$57)),"")</f>
        <v/>
      </c>
      <c r="K59" s="167" t="str">
        <f>IFERROR(SUM(SUMIFS('caseload data'!M:M,'caseload data'!$C:$C,'community %'!$B$57,'caseload data'!$D:$D,"PO",'caseload data'!$B:$B,{"licence","community"}))/SUM(SUMIFS('caseload data'!M:M,'caseload data'!$B:$B,{"licence","community"},'caseload data'!$C:$C,'community %'!$B$57)),"")</f>
        <v/>
      </c>
      <c r="L59" s="167" t="str">
        <f>IFERROR(SUM(SUMIFS('caseload data'!N:N,'caseload data'!$C:$C,'community %'!$B$57,'caseload data'!$D:$D,"PO",'caseload data'!$B:$B,{"licence","community"}))/SUM(SUMIFS('caseload data'!N:N,'caseload data'!$B:$B,{"licence","community"},'caseload data'!$C:$C,'community %'!$B$57)),"")</f>
        <v/>
      </c>
      <c r="M59" s="167" t="str">
        <f>IFERROR(SUM(SUMIFS('caseload data'!O:O,'caseload data'!$C:$C,'community %'!$B$57,'caseload data'!$D:$D,"PO",'caseload data'!$B:$B,{"licence","community"}))/SUM(SUMIFS('caseload data'!O:O,'caseload data'!$B:$B,{"licence","community"},'caseload data'!$C:$C,'community %'!$B$57)),"")</f>
        <v/>
      </c>
      <c r="N59" s="167" t="str">
        <f>IFERROR(SUM(SUMIFS('caseload data'!P:P,'caseload data'!$C:$C,'community %'!$B$57,'caseload data'!$D:$D,"PO",'caseload data'!$B:$B,{"licence","community"}))/SUM(SUMIFS('caseload data'!P:P,'caseload data'!$B:$B,{"licence","community"},'caseload data'!$C:$C,'community %'!$B$57)),"")</f>
        <v/>
      </c>
      <c r="O59" s="167" t="str">
        <f>IFERROR(SUM(SUMIFS('caseload data'!Q:Q,'caseload data'!$C:$C,'community %'!$B$57,'caseload data'!$D:$D,"PO",'caseload data'!$B:$B,{"licence","community"}))/SUM(SUMIFS('caseload data'!Q:Q,'caseload data'!$B:$B,{"licence","community"},'caseload data'!$C:$C,'community %'!$B$57)),"")</f>
        <v/>
      </c>
      <c r="P59" s="167" t="str">
        <f>IFERROR(SUM(SUMIFS('caseload data'!R:R,'caseload data'!$C:$C,'community %'!$B$57,'caseload data'!$D:$D,"PO",'caseload data'!$B:$B,{"licence","community"}))/SUM(SUMIFS('caseload data'!R:R,'caseload data'!$B:$B,{"licence","community"},'caseload data'!$C:$C,'community %'!$B$57)),"")</f>
        <v/>
      </c>
      <c r="Q59" s="167" t="str">
        <f>IFERROR(SUM(SUMIFS('caseload data'!S:S,'caseload data'!$C:$C,'community %'!$B$57,'caseload data'!$D:$D,"PO",'caseload data'!$B:$B,{"licence","community"}))/SUM(SUMIFS('caseload data'!S:S,'caseload data'!$B:$B,{"licence","community"},'caseload data'!$C:$C,'community %'!$B$57)),"")</f>
        <v/>
      </c>
      <c r="R59" s="167" t="str">
        <f>IFERROR(SUM(SUMIFS('caseload data'!T:T,'caseload data'!$C:$C,'community %'!$B$57,'caseload data'!$D:$D,"PO",'caseload data'!$B:$B,{"licence","community"}))/SUM(SUMIFS('caseload data'!T:T,'caseload data'!$B:$B,{"licence","community"},'caseload data'!$C:$C,'community %'!$B$57)),"")</f>
        <v/>
      </c>
      <c r="S59" s="64"/>
      <c r="T59" s="96" t="s">
        <v>1002</v>
      </c>
      <c r="U59" s="167" t="str">
        <f>IFERROR(SUM(SUMIFS('caseload data'!E:E,'caseload data'!$C:$C,'community %'!$T$57,'caseload data'!$D:$D,"PO",'caseload data'!$B:$B,{"licence","community"}))/SUM(SUMIFS('caseload data'!E:E,'caseload data'!$B:$B,{"licence","community"},'caseload data'!$C:$C,'community %'!$T$57)),"")</f>
        <v/>
      </c>
      <c r="V59" s="167" t="str">
        <f>IFERROR(SUM(SUMIFS('caseload data'!F:F,'caseload data'!$C:$C,'community %'!$T$57,'caseload data'!$D:$D,"PO",'caseload data'!$B:$B,{"licence","community"}))/SUM(SUMIFS('caseload data'!F:F,'caseload data'!$B:$B,{"licence","community"},'caseload data'!$C:$C,'community %'!$T$57)),"")</f>
        <v/>
      </c>
      <c r="W59" s="167" t="str">
        <f>IFERROR(SUM(SUMIFS('caseload data'!G:G,'caseload data'!$C:$C,'community %'!$T$57,'caseload data'!$D:$D,"PO",'caseload data'!$B:$B,{"licence","community"}))/SUM(SUMIFS('caseload data'!G:G,'caseload data'!$B:$B,{"licence","community"},'caseload data'!$C:$C,'community %'!$T$57)),"")</f>
        <v/>
      </c>
      <c r="X59" s="167" t="str">
        <f>IFERROR(SUM(SUMIFS('caseload data'!H:H,'caseload data'!$C:$C,'community %'!$T$57,'caseload data'!$D:$D,"PO",'caseload data'!$B:$B,{"licence","community"}))/SUM(SUMIFS('caseload data'!H:H,'caseload data'!$B:$B,{"licence","community"},'caseload data'!$C:$C,'community %'!$T$57)),"")</f>
        <v/>
      </c>
      <c r="Y59" s="167" t="str">
        <f>IFERROR(SUM(SUMIFS('caseload data'!I:I,'caseload data'!$C:$C,'community %'!$T$57,'caseload data'!$D:$D,"PO",'caseload data'!$B:$B,{"licence","community"}))/SUM(SUMIFS('caseload data'!I:I,'caseload data'!$B:$B,{"licence","community"},'caseload data'!$C:$C,'community %'!$T$57)),"")</f>
        <v/>
      </c>
      <c r="Z59" s="167" t="str">
        <f>IFERROR(SUM(SUMIFS('caseload data'!J:J,'caseload data'!$C:$C,'community %'!$T$57,'caseload data'!$D:$D,"PO",'caseload data'!$B:$B,{"licence","community"}))/SUM(SUMIFS('caseload data'!J:J,'caseload data'!$B:$B,{"licence","community"},'caseload data'!$C:$C,'community %'!$T$57)),"")</f>
        <v/>
      </c>
      <c r="AA59" s="167" t="str">
        <f>IFERROR(SUM(SUMIFS('caseload data'!K:K,'caseload data'!$C:$C,'community %'!$T$57,'caseload data'!$D:$D,"PO",'caseload data'!$B:$B,{"licence","community"}))/SUM(SUMIFS('caseload data'!K:K,'caseload data'!$B:$B,{"licence","community"},'caseload data'!$C:$C,'community %'!$T$57)),"")</f>
        <v/>
      </c>
      <c r="AB59" s="167" t="str">
        <f>IFERROR(SUM(SUMIFS('caseload data'!L:L,'caseload data'!$C:$C,'community %'!$T$57,'caseload data'!$D:$D,"PO",'caseload data'!$B:$B,{"licence","community"}))/SUM(SUMIFS('caseload data'!L:L,'caseload data'!$B:$B,{"licence","community"},'caseload data'!$C:$C,'community %'!$T$57)),"")</f>
        <v/>
      </c>
      <c r="AC59" s="167" t="str">
        <f>IFERROR(SUM(SUMIFS('caseload data'!M:M,'caseload data'!$C:$C,'community %'!$T$57,'caseload data'!$D:$D,"PO",'caseload data'!$B:$B,{"licence","community"}))/SUM(SUMIFS('caseload data'!M:M,'caseload data'!$B:$B,{"licence","community"},'caseload data'!$C:$C,'community %'!$T$57)),"")</f>
        <v/>
      </c>
      <c r="AD59" s="167" t="str">
        <f>IFERROR(SUM(SUMIFS('caseload data'!N:N,'caseload data'!$C:$C,'community %'!$T$57,'caseload data'!$D:$D,"PO",'caseload data'!$B:$B,{"licence","community"}))/SUM(SUMIFS('caseload data'!N:N,'caseload data'!$B:$B,{"licence","community"},'caseload data'!$C:$C,'community %'!$T$57)),"")</f>
        <v/>
      </c>
      <c r="AE59" s="167" t="str">
        <f>IFERROR(SUM(SUMIFS('caseload data'!O:O,'caseload data'!$C:$C,'community %'!$T$57,'caseload data'!$D:$D,"PO",'caseload data'!$B:$B,{"licence","community"}))/SUM(SUMIFS('caseload data'!O:O,'caseload data'!$B:$B,{"licence","community"},'caseload data'!$C:$C,'community %'!$T$57)),"")</f>
        <v/>
      </c>
      <c r="AF59" s="167" t="str">
        <f>IFERROR(SUM(SUMIFS('caseload data'!P:P,'caseload data'!$C:$C,'community %'!$T$57,'caseload data'!$D:$D,"PO",'caseload data'!$B:$B,{"licence","community"}))/SUM(SUMIFS('caseload data'!P:P,'caseload data'!$B:$B,{"licence","community"},'caseload data'!$C:$C,'community %'!$T$57)),"")</f>
        <v/>
      </c>
      <c r="AG59" s="167" t="str">
        <f>IFERROR(SUM(SUMIFS('caseload data'!Q:Q,'caseload data'!$C:$C,'community %'!$T$57,'caseload data'!$D:$D,"PO",'caseload data'!$B:$B,{"licence","community"}))/SUM(SUMIFS('caseload data'!Q:Q,'caseload data'!$B:$B,{"licence","community"},'caseload data'!$C:$C,'community %'!$T$57)),"")</f>
        <v/>
      </c>
      <c r="AH59" s="167" t="str">
        <f>IFERROR(SUM(SUMIFS('caseload data'!R:R,'caseload data'!$C:$C,'community %'!$T$57,'caseload data'!$D:$D,"PO",'caseload data'!$B:$B,{"licence","community"}))/SUM(SUMIFS('caseload data'!R:R,'caseload data'!$B:$B,{"licence","community"},'caseload data'!$C:$C,'community %'!$T$57)),"")</f>
        <v/>
      </c>
      <c r="AI59" s="167" t="str">
        <f>IFERROR(SUM(SUMIFS('caseload data'!S:S,'caseload data'!$C:$C,'community %'!$T$57,'caseload data'!$D:$D,"PO",'caseload data'!$B:$B,{"licence","community"}))/SUM(SUMIFS('caseload data'!S:S,'caseload data'!$B:$B,{"licence","community"},'caseload data'!$C:$C,'community %'!$T$57)),"")</f>
        <v/>
      </c>
      <c r="AJ59" s="167" t="str">
        <f>IFERROR(SUM(SUMIFS('caseload data'!T:T,'caseload data'!$C:$C,'community %'!$T$57,'caseload data'!$D:$D,"PO",'caseload data'!$B:$B,{"licence","community"}))/SUM(SUMIFS('caseload data'!T:T,'caseload data'!$B:$B,{"licence","community"},'caseload data'!$C:$C,'community %'!$T$57)),"")</f>
        <v/>
      </c>
    </row>
    <row r="60" spans="2:36" x14ac:dyDescent="0.15">
      <c r="B60" s="97" t="s">
        <v>1007</v>
      </c>
      <c r="C60" s="167" t="str">
        <f>IFERROR(SUM(SUMIFS('caseload data'!E:E,'caseload data'!$C:$C,'community %'!$B$57,'caseload data'!$D:$D,"PSO",'caseload data'!$B:$B,{"licence","community"}))/SUM(SUMIFS('caseload data'!E:E,'caseload data'!$B:$B,{"licence","community"},'caseload data'!$C:$C,'community %'!$B$57)),"")</f>
        <v/>
      </c>
      <c r="D60" s="167" t="str">
        <f>IFERROR(SUM(SUMIFS('caseload data'!F:F,'caseload data'!$C:$C,'community %'!$B$57,'caseload data'!$D:$D,"PSO",'caseload data'!$B:$B,{"licence","community"}))/SUM(SUMIFS('caseload data'!F:F,'caseload data'!$B:$B,{"licence","community"},'caseload data'!$C:$C,'community %'!$B$57)),"")</f>
        <v/>
      </c>
      <c r="E60" s="167" t="str">
        <f>IFERROR(SUM(SUMIFS('caseload data'!G:G,'caseload data'!$C:$C,'community %'!$B$57,'caseload data'!$D:$D,"PSO",'caseload data'!$B:$B,{"licence","community"}))/SUM(SUMIFS('caseload data'!G:G,'caseload data'!$B:$B,{"licence","community"},'caseload data'!$C:$C,'community %'!$B$57)),"")</f>
        <v/>
      </c>
      <c r="F60" s="167" t="str">
        <f>IFERROR(SUM(SUMIFS('caseload data'!H:H,'caseload data'!$C:$C,'community %'!$B$57,'caseload data'!$D:$D,"PSO",'caseload data'!$B:$B,{"licence","community"}))/SUM(SUMIFS('caseload data'!H:H,'caseload data'!$B:$B,{"licence","community"},'caseload data'!$C:$C,'community %'!$B$57)),"")</f>
        <v/>
      </c>
      <c r="G60" s="167" t="str">
        <f>IFERROR(SUM(SUMIFS('caseload data'!I:I,'caseload data'!$C:$C,'community %'!$B$57,'caseload data'!$D:$D,"PSO",'caseload data'!$B:$B,{"licence","community"}))/SUM(SUMIFS('caseload data'!I:I,'caseload data'!$B:$B,{"licence","community"},'caseload data'!$C:$C,'community %'!$B$57)),"")</f>
        <v/>
      </c>
      <c r="H60" s="167" t="str">
        <f>IFERROR(SUM(SUMIFS('caseload data'!J:J,'caseload data'!$C:$C,'community %'!$B$57,'caseload data'!$D:$D,"PSO",'caseload data'!$B:$B,{"licence","community"}))/SUM(SUMIFS('caseload data'!J:J,'caseload data'!$B:$B,{"licence","community"},'caseload data'!$C:$C,'community %'!$B$57)),"")</f>
        <v/>
      </c>
      <c r="I60" s="167" t="str">
        <f>IFERROR(SUM(SUMIFS('caseload data'!K:K,'caseload data'!$C:$C,'community %'!$B$57,'caseload data'!$D:$D,"PSO",'caseload data'!$B:$B,{"licence","community"}))/SUM(SUMIFS('caseload data'!K:K,'caseload data'!$B:$B,{"licence","community"},'caseload data'!$C:$C,'community %'!$B$57)),"")</f>
        <v/>
      </c>
      <c r="J60" s="167" t="str">
        <f>IFERROR(SUM(SUMIFS('caseload data'!L:L,'caseload data'!$C:$C,'community %'!$B$57,'caseload data'!$D:$D,"PSO",'caseload data'!$B:$B,{"licence","community"}))/SUM(SUMIFS('caseload data'!L:L,'caseload data'!$B:$B,{"licence","community"},'caseload data'!$C:$C,'community %'!$B$57)),"")</f>
        <v/>
      </c>
      <c r="K60" s="167" t="str">
        <f>IFERROR(SUM(SUMIFS('caseload data'!M:M,'caseload data'!$C:$C,'community %'!$B$57,'caseload data'!$D:$D,"PSO",'caseload data'!$B:$B,{"licence","community"}))/SUM(SUMIFS('caseload data'!M:M,'caseload data'!$B:$B,{"licence","community"},'caseload data'!$C:$C,'community %'!$B$57)),"")</f>
        <v/>
      </c>
      <c r="L60" s="167" t="str">
        <f>IFERROR(SUM(SUMIFS('caseload data'!N:N,'caseload data'!$C:$C,'community %'!$B$57,'caseload data'!$D:$D,"PSO",'caseload data'!$B:$B,{"licence","community"}))/SUM(SUMIFS('caseload data'!N:N,'caseload data'!$B:$B,{"licence","community"},'caseload data'!$C:$C,'community %'!$B$57)),"")</f>
        <v/>
      </c>
      <c r="M60" s="167" t="str">
        <f>IFERROR(SUM(SUMIFS('caseload data'!O:O,'caseload data'!$C:$C,'community %'!$B$57,'caseload data'!$D:$D,"PSO",'caseload data'!$B:$B,{"licence","community"}))/SUM(SUMIFS('caseload data'!O:O,'caseload data'!$B:$B,{"licence","community"},'caseload data'!$C:$C,'community %'!$B$57)),"")</f>
        <v/>
      </c>
      <c r="N60" s="167" t="str">
        <f>IFERROR(SUM(SUMIFS('caseload data'!P:P,'caseload data'!$C:$C,'community %'!$B$57,'caseload data'!$D:$D,"PSO",'caseload data'!$B:$B,{"licence","community"}))/SUM(SUMIFS('caseload data'!P:P,'caseload data'!$B:$B,{"licence","community"},'caseload data'!$C:$C,'community %'!$B$57)),"")</f>
        <v/>
      </c>
      <c r="O60" s="167" t="str">
        <f>IFERROR(SUM(SUMIFS('caseload data'!Q:Q,'caseload data'!$C:$C,'community %'!$B$57,'caseload data'!$D:$D,"PSO",'caseload data'!$B:$B,{"licence","community"}))/SUM(SUMIFS('caseload data'!Q:Q,'caseload data'!$B:$B,{"licence","community"},'caseload data'!$C:$C,'community %'!$B$57)),"")</f>
        <v/>
      </c>
      <c r="P60" s="167" t="str">
        <f>IFERROR(SUM(SUMIFS('caseload data'!R:R,'caseload data'!$C:$C,'community %'!$B$57,'caseload data'!$D:$D,"PSO",'caseload data'!$B:$B,{"licence","community"}))/SUM(SUMIFS('caseload data'!R:R,'caseload data'!$B:$B,{"licence","community"},'caseload data'!$C:$C,'community %'!$B$57)),"")</f>
        <v/>
      </c>
      <c r="Q60" s="167" t="str">
        <f>IFERROR(SUM(SUMIFS('caseload data'!S:S,'caseload data'!$C:$C,'community %'!$B$57,'caseload data'!$D:$D,"PSO",'caseload data'!$B:$B,{"licence","community"}))/SUM(SUMIFS('caseload data'!S:S,'caseload data'!$B:$B,{"licence","community"},'caseload data'!$C:$C,'community %'!$B$57)),"")</f>
        <v/>
      </c>
      <c r="R60" s="167" t="str">
        <f>IFERROR(SUM(SUMIFS('caseload data'!T:T,'caseload data'!$C:$C,'community %'!$B$57,'caseload data'!$D:$D,"PSO",'caseload data'!$B:$B,{"licence","community"}))/SUM(SUMIFS('caseload data'!T:T,'caseload data'!$B:$B,{"licence","community"},'caseload data'!$C:$C,'community %'!$B$57)),"")</f>
        <v/>
      </c>
      <c r="S60" s="64"/>
      <c r="T60" s="97" t="s">
        <v>1007</v>
      </c>
      <c r="U60" s="167" t="str">
        <f>IFERROR(SUM(SUMIFS('caseload data'!E:E,'caseload data'!$C:$C,'community %'!$T$57,'caseload data'!$D:$D,"PSO",'caseload data'!$B:$B,{"licence","community"}))/SUM(SUMIFS('caseload data'!E:E,'caseload data'!$B:$B,{"licence","community"},'caseload data'!$C:$C,'community %'!$T$57)),"")</f>
        <v/>
      </c>
      <c r="V60" s="167" t="str">
        <f>IFERROR(SUM(SUMIFS('caseload data'!F:F,'caseload data'!$C:$C,'community %'!$T$57,'caseload data'!$D:$D,"PSO",'caseload data'!$B:$B,{"licence","community"}))/SUM(SUMIFS('caseload data'!F:F,'caseload data'!$B:$B,{"licence","community"},'caseload data'!$C:$C,'community %'!$T$57)),"")</f>
        <v/>
      </c>
      <c r="W60" s="167" t="str">
        <f>IFERROR(SUM(SUMIFS('caseload data'!G:G,'caseload data'!$C:$C,'community %'!$T$57,'caseload data'!$D:$D,"PSO",'caseload data'!$B:$B,{"licence","community"}))/SUM(SUMIFS('caseload data'!G:G,'caseload data'!$B:$B,{"licence","community"},'caseload data'!$C:$C,'community %'!$T$57)),"")</f>
        <v/>
      </c>
      <c r="X60" s="167" t="str">
        <f>IFERROR(SUM(SUMIFS('caseload data'!H:H,'caseload data'!$C:$C,'community %'!$T$57,'caseload data'!$D:$D,"PSO",'caseload data'!$B:$B,{"licence","community"}))/SUM(SUMIFS('caseload data'!H:H,'caseload data'!$B:$B,{"licence","community"},'caseload data'!$C:$C,'community %'!$T$57)),"")</f>
        <v/>
      </c>
      <c r="Y60" s="167" t="str">
        <f>IFERROR(SUM(SUMIFS('caseload data'!I:I,'caseload data'!$C:$C,'community %'!$T$57,'caseload data'!$D:$D,"PSO",'caseload data'!$B:$B,{"licence","community"}))/SUM(SUMIFS('caseload data'!I:I,'caseload data'!$B:$B,{"licence","community"},'caseload data'!$C:$C,'community %'!$T$57)),"")</f>
        <v/>
      </c>
      <c r="Z60" s="167" t="str">
        <f>IFERROR(SUM(SUMIFS('caseload data'!J:J,'caseload data'!$C:$C,'community %'!$T$57,'caseload data'!$D:$D,"PSO",'caseload data'!$B:$B,{"licence","community"}))/SUM(SUMIFS('caseload data'!J:J,'caseload data'!$B:$B,{"licence","community"},'caseload data'!$C:$C,'community %'!$T$57)),"")</f>
        <v/>
      </c>
      <c r="AA60" s="167" t="str">
        <f>IFERROR(SUM(SUMIFS('caseload data'!K:K,'caseload data'!$C:$C,'community %'!$T$57,'caseload data'!$D:$D,"PSO",'caseload data'!$B:$B,{"licence","community"}))/SUM(SUMIFS('caseload data'!K:K,'caseload data'!$B:$B,{"licence","community"},'caseload data'!$C:$C,'community %'!$T$57)),"")</f>
        <v/>
      </c>
      <c r="AB60" s="167" t="str">
        <f>IFERROR(SUM(SUMIFS('caseload data'!L:L,'caseload data'!$C:$C,'community %'!$T$57,'caseload data'!$D:$D,"PSO",'caseload data'!$B:$B,{"licence","community"}))/SUM(SUMIFS('caseload data'!L:L,'caseload data'!$B:$B,{"licence","community"},'caseload data'!$C:$C,'community %'!$T$57)),"")</f>
        <v/>
      </c>
      <c r="AC60" s="167" t="str">
        <f>IFERROR(SUM(SUMIFS('caseload data'!M:M,'caseload data'!$C:$C,'community %'!$T$57,'caseload data'!$D:$D,"PSO",'caseload data'!$B:$B,{"licence","community"}))/SUM(SUMIFS('caseload data'!M:M,'caseload data'!$B:$B,{"licence","community"},'caseload data'!$C:$C,'community %'!$T$57)),"")</f>
        <v/>
      </c>
      <c r="AD60" s="167" t="str">
        <f>IFERROR(SUM(SUMIFS('caseload data'!N:N,'caseload data'!$C:$C,'community %'!$T$57,'caseload data'!$D:$D,"PSO",'caseload data'!$B:$B,{"licence","community"}))/SUM(SUMIFS('caseload data'!N:N,'caseload data'!$B:$B,{"licence","community"},'caseload data'!$C:$C,'community %'!$T$57)),"")</f>
        <v/>
      </c>
      <c r="AE60" s="167" t="str">
        <f>IFERROR(SUM(SUMIFS('caseload data'!O:O,'caseload data'!$C:$C,'community %'!$T$57,'caseload data'!$D:$D,"PSO",'caseload data'!$B:$B,{"licence","community"}))/SUM(SUMIFS('caseload data'!O:O,'caseload data'!$B:$B,{"licence","community"},'caseload data'!$C:$C,'community %'!$T$57)),"")</f>
        <v/>
      </c>
      <c r="AF60" s="167" t="str">
        <f>IFERROR(SUM(SUMIFS('caseload data'!P:P,'caseload data'!$C:$C,'community %'!$T$57,'caseload data'!$D:$D,"PSO",'caseload data'!$B:$B,{"licence","community"}))/SUM(SUMIFS('caseload data'!P:P,'caseload data'!$B:$B,{"licence","community"},'caseload data'!$C:$C,'community %'!$T$57)),"")</f>
        <v/>
      </c>
      <c r="AG60" s="167" t="str">
        <f>IFERROR(SUM(SUMIFS('caseload data'!Q:Q,'caseload data'!$C:$C,'community %'!$T$57,'caseload data'!$D:$D,"PSO",'caseload data'!$B:$B,{"licence","community"}))/SUM(SUMIFS('caseload data'!Q:Q,'caseload data'!$B:$B,{"licence","community"},'caseload data'!$C:$C,'community %'!$T$57)),"")</f>
        <v/>
      </c>
      <c r="AH60" s="167" t="str">
        <f>IFERROR(SUM(SUMIFS('caseload data'!R:R,'caseload data'!$C:$C,'community %'!$T$57,'caseload data'!$D:$D,"PSO",'caseload data'!$B:$B,{"licence","community"}))/SUM(SUMIFS('caseload data'!R:R,'caseload data'!$B:$B,{"licence","community"},'caseload data'!$C:$C,'community %'!$T$57)),"")</f>
        <v/>
      </c>
      <c r="AI60" s="167" t="str">
        <f>IFERROR(SUM(SUMIFS('caseload data'!S:S,'caseload data'!$C:$C,'community %'!$T$57,'caseload data'!$D:$D,"PSO",'caseload data'!$B:$B,{"licence","community"}))/SUM(SUMIFS('caseload data'!S:S,'caseload data'!$B:$B,{"licence","community"},'caseload data'!$C:$C,'community %'!$T$57)),"")</f>
        <v/>
      </c>
      <c r="AJ60" s="167" t="str">
        <f>IFERROR(SUM(SUMIFS('caseload data'!T:T,'caseload data'!$C:$C,'community %'!$T$57,'caseload data'!$D:$D,"PSO",'caseload data'!$B:$B,{"licence","community"}))/SUM(SUMIFS('caseload data'!T:T,'caseload data'!$B:$B,{"licence","community"},'caseload data'!$C:$C,'community %'!$T$57)),"")</f>
        <v/>
      </c>
    </row>
    <row r="61" spans="2:36" x14ac:dyDescent="0.15">
      <c r="B61" s="97" t="s">
        <v>1008</v>
      </c>
      <c r="C61" s="167" t="str">
        <f>IFERROR(SUM(SUMIFS('caseload data'!E:E,'caseload data'!$C:$C,'community %'!$B$57,'caseload data'!$D:$D,"TPO",'caseload data'!$B:$B,{"licence","community"}))/SUM(SUMIFS('caseload data'!E:E,'caseload data'!$B:$B,{"licence","community"},'caseload data'!$C:$C,'community %'!$B$57)),"")</f>
        <v/>
      </c>
      <c r="D61" s="167" t="str">
        <f>IFERROR(SUM(SUMIFS('caseload data'!F:F,'caseload data'!$C:$C,'community %'!$B$57,'caseload data'!$D:$D,"TPO",'caseload data'!$B:$B,{"licence","community"}))/SUM(SUMIFS('caseload data'!F:F,'caseload data'!$B:$B,{"licence","community"},'caseload data'!$C:$C,'community %'!$B$57)),"")</f>
        <v/>
      </c>
      <c r="E61" s="167" t="str">
        <f>IFERROR(SUM(SUMIFS('caseload data'!G:G,'caseload data'!$C:$C,'community %'!$B$57,'caseload data'!$D:$D,"TPO",'caseload data'!$B:$B,{"licence","community"}))/SUM(SUMIFS('caseload data'!G:G,'caseload data'!$B:$B,{"licence","community"},'caseload data'!$C:$C,'community %'!$B$57)),"")</f>
        <v/>
      </c>
      <c r="F61" s="167" t="str">
        <f>IFERROR(SUM(SUMIFS('caseload data'!H:H,'caseload data'!$C:$C,'community %'!$B$57,'caseload data'!$D:$D,"TPO",'caseload data'!$B:$B,{"licence","community"}))/SUM(SUMIFS('caseload data'!H:H,'caseload data'!$B:$B,{"licence","community"},'caseload data'!$C:$C,'community %'!$B$57)),"")</f>
        <v/>
      </c>
      <c r="G61" s="167" t="str">
        <f>IFERROR(SUM(SUMIFS('caseload data'!I:I,'caseload data'!$C:$C,'community %'!$B$57,'caseload data'!$D:$D,"TPO",'caseload data'!$B:$B,{"licence","community"}))/SUM(SUMIFS('caseload data'!I:I,'caseload data'!$B:$B,{"licence","community"},'caseload data'!$C:$C,'community %'!$B$57)),"")</f>
        <v/>
      </c>
      <c r="H61" s="167" t="str">
        <f>IFERROR(SUM(SUMIFS('caseload data'!J:J,'caseload data'!$C:$C,'community %'!$B$57,'caseload data'!$D:$D,"TPO",'caseload data'!$B:$B,{"licence","community"}))/SUM(SUMIFS('caseload data'!J:J,'caseload data'!$B:$B,{"licence","community"},'caseload data'!$C:$C,'community %'!$B$57)),"")</f>
        <v/>
      </c>
      <c r="I61" s="167" t="str">
        <f>IFERROR(SUM(SUMIFS('caseload data'!K:K,'caseload data'!$C:$C,'community %'!$B$57,'caseload data'!$D:$D,"TPO",'caseload data'!$B:$B,{"licence","community"}))/SUM(SUMIFS('caseload data'!K:K,'caseload data'!$B:$B,{"licence","community"},'caseload data'!$C:$C,'community %'!$B$57)),"")</f>
        <v/>
      </c>
      <c r="J61" s="167" t="str">
        <f>IFERROR(SUM(SUMIFS('caseload data'!L:L,'caseload data'!$C:$C,'community %'!$B$57,'caseload data'!$D:$D,"TPO",'caseload data'!$B:$B,{"licence","community"}))/SUM(SUMIFS('caseload data'!L:L,'caseload data'!$B:$B,{"licence","community"},'caseload data'!$C:$C,'community %'!$B$57)),"")</f>
        <v/>
      </c>
      <c r="K61" s="167" t="str">
        <f>IFERROR(SUM(SUMIFS('caseload data'!M:M,'caseload data'!$C:$C,'community %'!$B$57,'caseload data'!$D:$D,"TPO",'caseload data'!$B:$B,{"licence","community"}))/SUM(SUMIFS('caseload data'!M:M,'caseload data'!$B:$B,{"licence","community"},'caseload data'!$C:$C,'community %'!$B$57)),"")</f>
        <v/>
      </c>
      <c r="L61" s="167" t="str">
        <f>IFERROR(SUM(SUMIFS('caseload data'!N:N,'caseload data'!$C:$C,'community %'!$B$57,'caseload data'!$D:$D,"TPO",'caseload data'!$B:$B,{"licence","community"}))/SUM(SUMIFS('caseload data'!N:N,'caseload data'!$B:$B,{"licence","community"},'caseload data'!$C:$C,'community %'!$B$57)),"")</f>
        <v/>
      </c>
      <c r="M61" s="167" t="str">
        <f>IFERROR(SUM(SUMIFS('caseload data'!O:O,'caseload data'!$C:$C,'community %'!$B$57,'caseload data'!$D:$D,"TPO",'caseload data'!$B:$B,{"licence","community"}))/SUM(SUMIFS('caseload data'!O:O,'caseload data'!$B:$B,{"licence","community"},'caseload data'!$C:$C,'community %'!$B$57)),"")</f>
        <v/>
      </c>
      <c r="N61" s="167" t="str">
        <f>IFERROR(SUM(SUMIFS('caseload data'!P:P,'caseload data'!$C:$C,'community %'!$B$57,'caseload data'!$D:$D,"TPO",'caseload data'!$B:$B,{"licence","community"}))/SUM(SUMIFS('caseload data'!P:P,'caseload data'!$B:$B,{"licence","community"},'caseload data'!$C:$C,'community %'!$B$57)),"")</f>
        <v/>
      </c>
      <c r="O61" s="167" t="str">
        <f>IFERROR(SUM(SUMIFS('caseload data'!Q:Q,'caseload data'!$C:$C,'community %'!$B$57,'caseload data'!$D:$D,"TPO",'caseload data'!$B:$B,{"licence","community"}))/SUM(SUMIFS('caseload data'!Q:Q,'caseload data'!$B:$B,{"licence","community"},'caseload data'!$C:$C,'community %'!$B$57)),"")</f>
        <v/>
      </c>
      <c r="P61" s="167" t="str">
        <f>IFERROR(SUM(SUMIFS('caseload data'!R:R,'caseload data'!$C:$C,'community %'!$B$57,'caseload data'!$D:$D,"TPO",'caseload data'!$B:$B,{"licence","community"}))/SUM(SUMIFS('caseload data'!R:R,'caseload data'!$B:$B,{"licence","community"},'caseload data'!$C:$C,'community %'!$B$57)),"")</f>
        <v/>
      </c>
      <c r="Q61" s="167" t="str">
        <f>IFERROR(SUM(SUMIFS('caseload data'!S:S,'caseload data'!$C:$C,'community %'!$B$57,'caseload data'!$D:$D,"TPO",'caseload data'!$B:$B,{"licence","community"}))/SUM(SUMIFS('caseload data'!S:S,'caseload data'!$B:$B,{"licence","community"},'caseload data'!$C:$C,'community %'!$B$57)),"")</f>
        <v/>
      </c>
      <c r="R61" s="167" t="str">
        <f>IFERROR(SUM(SUMIFS('caseload data'!T:T,'caseload data'!$C:$C,'community %'!$B$57,'caseload data'!$D:$D,"TPO",'caseload data'!$B:$B,{"licence","community"}))/SUM(SUMIFS('caseload data'!T:T,'caseload data'!$B:$B,{"licence","community"},'caseload data'!$C:$C,'community %'!$B$57)),"")</f>
        <v/>
      </c>
      <c r="S61" s="64"/>
      <c r="T61" s="97" t="s">
        <v>1008</v>
      </c>
      <c r="U61" s="167" t="str">
        <f>IFERROR(SUM(SUMIFS('caseload data'!E:E,'caseload data'!$C:$C,'community %'!$T$57,'caseload data'!$D:$D,"TPO",'caseload data'!$B:$B,{"licence","community"}))/SUM(SUMIFS('caseload data'!E:E,'caseload data'!$B:$B,{"licence","community"},'caseload data'!$C:$C,'community %'!$T$57)),"")</f>
        <v/>
      </c>
      <c r="V61" s="167" t="str">
        <f>IFERROR(SUM(SUMIFS('caseload data'!F:F,'caseload data'!$C:$C,'community %'!$T$57,'caseload data'!$D:$D,"TPO",'caseload data'!$B:$B,{"licence","community"}))/SUM(SUMIFS('caseload data'!F:F,'caseload data'!$B:$B,{"licence","community"},'caseload data'!$C:$C,'community %'!$T$57)),"")</f>
        <v/>
      </c>
      <c r="W61" s="167" t="str">
        <f>IFERROR(SUM(SUMIFS('caseload data'!G:G,'caseload data'!$C:$C,'community %'!$T$57,'caseload data'!$D:$D,"TPO",'caseload data'!$B:$B,{"licence","community"}))/SUM(SUMIFS('caseload data'!G:G,'caseload data'!$B:$B,{"licence","community"},'caseload data'!$C:$C,'community %'!$T$57)),"")</f>
        <v/>
      </c>
      <c r="X61" s="167" t="str">
        <f>IFERROR(SUM(SUMIFS('caseload data'!H:H,'caseload data'!$C:$C,'community %'!$T$57,'caseload data'!$D:$D,"TPO",'caseload data'!$B:$B,{"licence","community"}))/SUM(SUMIFS('caseload data'!H:H,'caseload data'!$B:$B,{"licence","community"},'caseload data'!$C:$C,'community %'!$T$57)),"")</f>
        <v/>
      </c>
      <c r="Y61" s="167" t="str">
        <f>IFERROR(SUM(SUMIFS('caseload data'!I:I,'caseload data'!$C:$C,'community %'!$T$57,'caseload data'!$D:$D,"TPO",'caseload data'!$B:$B,{"licence","community"}))/SUM(SUMIFS('caseload data'!I:I,'caseload data'!$B:$B,{"licence","community"},'caseload data'!$C:$C,'community %'!$T$57)),"")</f>
        <v/>
      </c>
      <c r="Z61" s="167" t="str">
        <f>IFERROR(SUM(SUMIFS('caseload data'!J:J,'caseload data'!$C:$C,'community %'!$T$57,'caseload data'!$D:$D,"TPO",'caseload data'!$B:$B,{"licence","community"}))/SUM(SUMIFS('caseload data'!J:J,'caseload data'!$B:$B,{"licence","community"},'caseload data'!$C:$C,'community %'!$T$57)),"")</f>
        <v/>
      </c>
      <c r="AA61" s="167" t="str">
        <f>IFERROR(SUM(SUMIFS('caseload data'!K:K,'caseload data'!$C:$C,'community %'!$T$57,'caseload data'!$D:$D,"TPO",'caseload data'!$B:$B,{"licence","community"}))/SUM(SUMIFS('caseload data'!K:K,'caseload data'!$B:$B,{"licence","community"},'caseload data'!$C:$C,'community %'!$T$57)),"")</f>
        <v/>
      </c>
      <c r="AB61" s="167" t="str">
        <f>IFERROR(SUM(SUMIFS('caseload data'!L:L,'caseload data'!$C:$C,'community %'!$T$57,'caseload data'!$D:$D,"TPO",'caseload data'!$B:$B,{"licence","community"}))/SUM(SUMIFS('caseload data'!L:L,'caseload data'!$B:$B,{"licence","community"},'caseload data'!$C:$C,'community %'!$T$57)),"")</f>
        <v/>
      </c>
      <c r="AC61" s="167" t="str">
        <f>IFERROR(SUM(SUMIFS('caseload data'!M:M,'caseload data'!$C:$C,'community %'!$T$57,'caseload data'!$D:$D,"TPO",'caseload data'!$B:$B,{"licence","community"}))/SUM(SUMIFS('caseload data'!M:M,'caseload data'!$B:$B,{"licence","community"},'caseload data'!$C:$C,'community %'!$T$57)),"")</f>
        <v/>
      </c>
      <c r="AD61" s="167" t="str">
        <f>IFERROR(SUM(SUMIFS('caseload data'!N:N,'caseload data'!$C:$C,'community %'!$T$57,'caseload data'!$D:$D,"TPO",'caseload data'!$B:$B,{"licence","community"}))/SUM(SUMIFS('caseload data'!N:N,'caseload data'!$B:$B,{"licence","community"},'caseload data'!$C:$C,'community %'!$T$57)),"")</f>
        <v/>
      </c>
      <c r="AE61" s="167" t="str">
        <f>IFERROR(SUM(SUMIFS('caseload data'!O:O,'caseload data'!$C:$C,'community %'!$T$57,'caseload data'!$D:$D,"TPO",'caseload data'!$B:$B,{"licence","community"}))/SUM(SUMIFS('caseload data'!O:O,'caseload data'!$B:$B,{"licence","community"},'caseload data'!$C:$C,'community %'!$T$57)),"")</f>
        <v/>
      </c>
      <c r="AF61" s="167" t="str">
        <f>IFERROR(SUM(SUMIFS('caseload data'!P:P,'caseload data'!$C:$C,'community %'!$T$57,'caseload data'!$D:$D,"TPO",'caseload data'!$B:$B,{"licence","community"}))/SUM(SUMIFS('caseload data'!P:P,'caseload data'!$B:$B,{"licence","community"},'caseload data'!$C:$C,'community %'!$T$57)),"")</f>
        <v/>
      </c>
      <c r="AG61" s="167" t="str">
        <f>IFERROR(SUM(SUMIFS('caseload data'!Q:Q,'caseload data'!$C:$C,'community %'!$T$57,'caseload data'!$D:$D,"TPO",'caseload data'!$B:$B,{"licence","community"}))/SUM(SUMIFS('caseload data'!Q:Q,'caseload data'!$B:$B,{"licence","community"},'caseload data'!$C:$C,'community %'!$T$57)),"")</f>
        <v/>
      </c>
      <c r="AH61" s="167" t="str">
        <f>IFERROR(SUM(SUMIFS('caseload data'!R:R,'caseload data'!$C:$C,'community %'!$T$57,'caseload data'!$D:$D,"TPO",'caseload data'!$B:$B,{"licence","community"}))/SUM(SUMIFS('caseload data'!R:R,'caseload data'!$B:$B,{"licence","community"},'caseload data'!$C:$C,'community %'!$T$57)),"")</f>
        <v/>
      </c>
      <c r="AI61" s="167" t="str">
        <f>IFERROR(SUM(SUMIFS('caseload data'!S:S,'caseload data'!$C:$C,'community %'!$T$57,'caseload data'!$D:$D,"TPO",'caseload data'!$B:$B,{"licence","community"}))/SUM(SUMIFS('caseload data'!S:S,'caseload data'!$B:$B,{"licence","community"},'caseload data'!$C:$C,'community %'!$T$57)),"")</f>
        <v/>
      </c>
      <c r="AJ61" s="167" t="str">
        <f>IFERROR(SUM(SUMIFS('caseload data'!T:T,'caseload data'!$C:$C,'community %'!$T$57,'caseload data'!$D:$D,"TPO",'caseload data'!$B:$B,{"licence","community"}))/SUM(SUMIFS('caseload data'!T:T,'caseload data'!$B:$B,{"licence","community"},'caseload data'!$C:$C,'community %'!$T$57)),"")</f>
        <v/>
      </c>
    </row>
    <row r="62" spans="2:36" x14ac:dyDescent="0.15">
      <c r="B62" s="98" t="s">
        <v>1009</v>
      </c>
      <c r="C62" s="167" t="str">
        <f>IFERROR(SUM(SUMIFS('caseload data'!E:E,'caseload data'!$C:$C,'community %'!$B$57,'caseload data'!$D:$D,"SPO",'caseload data'!$B:$B,{"licence","community"}))/SUM(SUMIFS('caseload data'!E:E,'caseload data'!$B:$B,{"licence","community"},'caseload data'!$C:$C,'community %'!$B$57)),"")</f>
        <v/>
      </c>
      <c r="D62" s="167" t="str">
        <f>IFERROR(SUM(SUMIFS('caseload data'!F:F,'caseload data'!$C:$C,'community %'!$B$57,'caseload data'!$D:$D,"SPO",'caseload data'!$B:$B,{"licence","community"}))/SUM(SUMIFS('caseload data'!F:F,'caseload data'!$B:$B,{"licence","community"},'caseload data'!$C:$C,'community %'!$B$57)),"")</f>
        <v/>
      </c>
      <c r="E62" s="167" t="str">
        <f>IFERROR(SUM(SUMIFS('caseload data'!G:G,'caseload data'!$C:$C,'community %'!$B$57,'caseload data'!$D:$D,"SPO",'caseload data'!$B:$B,{"licence","community"}))/SUM(SUMIFS('caseload data'!G:G,'caseload data'!$B:$B,{"licence","community"},'caseload data'!$C:$C,'community %'!$B$57)),"")</f>
        <v/>
      </c>
      <c r="F62" s="167" t="str">
        <f>IFERROR(SUM(SUMIFS('caseload data'!H:H,'caseload data'!$C:$C,'community %'!$B$57,'caseload data'!$D:$D,"SPO",'caseload data'!$B:$B,{"licence","community"}))/SUM(SUMIFS('caseload data'!H:H,'caseload data'!$B:$B,{"licence","community"},'caseload data'!$C:$C,'community %'!$B$57)),"")</f>
        <v/>
      </c>
      <c r="G62" s="167" t="str">
        <f>IFERROR(SUM(SUMIFS('caseload data'!I:I,'caseload data'!$C:$C,'community %'!$B$57,'caseload data'!$D:$D,"SPO",'caseload data'!$B:$B,{"licence","community"}))/SUM(SUMIFS('caseload data'!I:I,'caseload data'!$B:$B,{"licence","community"},'caseload data'!$C:$C,'community %'!$B$57)),"")</f>
        <v/>
      </c>
      <c r="H62" s="167" t="str">
        <f>IFERROR(SUM(SUMIFS('caseload data'!J:J,'caseload data'!$C:$C,'community %'!$B$57,'caseload data'!$D:$D,"SPO",'caseload data'!$B:$B,{"licence","community"}))/SUM(SUMIFS('caseload data'!J:J,'caseload data'!$B:$B,{"licence","community"},'caseload data'!$C:$C,'community %'!$B$57)),"")</f>
        <v/>
      </c>
      <c r="I62" s="167" t="str">
        <f>IFERROR(SUM(SUMIFS('caseload data'!K:K,'caseload data'!$C:$C,'community %'!$B$57,'caseload data'!$D:$D,"SPO",'caseload data'!$B:$B,{"licence","community"}))/SUM(SUMIFS('caseload data'!K:K,'caseload data'!$B:$B,{"licence","community"},'caseload data'!$C:$C,'community %'!$B$57)),"")</f>
        <v/>
      </c>
      <c r="J62" s="167" t="str">
        <f>IFERROR(SUM(SUMIFS('caseload data'!L:L,'caseload data'!$C:$C,'community %'!$B$57,'caseload data'!$D:$D,"SPO",'caseload data'!$B:$B,{"licence","community"}))/SUM(SUMIFS('caseload data'!L:L,'caseload data'!$B:$B,{"licence","community"},'caseload data'!$C:$C,'community %'!$B$57)),"")</f>
        <v/>
      </c>
      <c r="K62" s="167" t="str">
        <f>IFERROR(SUM(SUMIFS('caseload data'!M:M,'caseload data'!$C:$C,'community %'!$B$57,'caseload data'!$D:$D,"SPO",'caseload data'!$B:$B,{"licence","community"}))/SUM(SUMIFS('caseload data'!M:M,'caseload data'!$B:$B,{"licence","community"},'caseload data'!$C:$C,'community %'!$B$57)),"")</f>
        <v/>
      </c>
      <c r="L62" s="167" t="str">
        <f>IFERROR(SUM(SUMIFS('caseload data'!N:N,'caseload data'!$C:$C,'community %'!$B$57,'caseload data'!$D:$D,"SPO",'caseload data'!$B:$B,{"licence","community"}))/SUM(SUMIFS('caseload data'!N:N,'caseload data'!$B:$B,{"licence","community"},'caseload data'!$C:$C,'community %'!$B$57)),"")</f>
        <v/>
      </c>
      <c r="M62" s="167" t="str">
        <f>IFERROR(SUM(SUMIFS('caseload data'!O:O,'caseload data'!$C:$C,'community %'!$B$57,'caseload data'!$D:$D,"SPO",'caseload data'!$B:$B,{"licence","community"}))/SUM(SUMIFS('caseload data'!O:O,'caseload data'!$B:$B,{"licence","community"},'caseload data'!$C:$C,'community %'!$B$57)),"")</f>
        <v/>
      </c>
      <c r="N62" s="167" t="str">
        <f>IFERROR(SUM(SUMIFS('caseload data'!P:P,'caseload data'!$C:$C,'community %'!$B$57,'caseload data'!$D:$D,"SPO",'caseload data'!$B:$B,{"licence","community"}))/SUM(SUMIFS('caseload data'!P:P,'caseload data'!$B:$B,{"licence","community"},'caseload data'!$C:$C,'community %'!$B$57)),"")</f>
        <v/>
      </c>
      <c r="O62" s="167" t="str">
        <f>IFERROR(SUM(SUMIFS('caseload data'!Q:Q,'caseload data'!$C:$C,'community %'!$B$57,'caseload data'!$D:$D,"SPO",'caseload data'!$B:$B,{"licence","community"}))/SUM(SUMIFS('caseload data'!Q:Q,'caseload data'!$B:$B,{"licence","community"},'caseload data'!$C:$C,'community %'!$B$57)),"")</f>
        <v/>
      </c>
      <c r="P62" s="167" t="str">
        <f>IFERROR(SUM(SUMIFS('caseload data'!R:R,'caseload data'!$C:$C,'community %'!$B$57,'caseload data'!$D:$D,"SPO",'caseload data'!$B:$B,{"licence","community"}))/SUM(SUMIFS('caseload data'!R:R,'caseload data'!$B:$B,{"licence","community"},'caseload data'!$C:$C,'community %'!$B$57)),"")</f>
        <v/>
      </c>
      <c r="Q62" s="167" t="str">
        <f>IFERROR(SUM(SUMIFS('caseload data'!S:S,'caseload data'!$C:$C,'community %'!$B$57,'caseload data'!$D:$D,"SPO",'caseload data'!$B:$B,{"licence","community"}))/SUM(SUMIFS('caseload data'!S:S,'caseload data'!$B:$B,{"licence","community"},'caseload data'!$C:$C,'community %'!$B$57)),"")</f>
        <v/>
      </c>
      <c r="R62" s="167" t="str">
        <f>IFERROR(SUM(SUMIFS('caseload data'!T:T,'caseload data'!$C:$C,'community %'!$B$57,'caseload data'!$D:$D,"SPO",'caseload data'!$B:$B,{"licence","community"}))/SUM(SUMIFS('caseload data'!T:T,'caseload data'!$B:$B,{"licence","community"},'caseload data'!$C:$C,'community %'!$B$57)),"")</f>
        <v/>
      </c>
      <c r="S62" s="64"/>
      <c r="T62" s="98" t="s">
        <v>1009</v>
      </c>
      <c r="U62" s="167" t="str">
        <f>IFERROR(SUM(SUMIFS('caseload data'!E:E,'caseload data'!$C:$C,'community %'!$T$57,'caseload data'!$D:$D,"SPO",'caseload data'!$B:$B,{"licence","community"}))/SUM(SUMIFS('caseload data'!E:E,'caseload data'!$B:$B,{"licence","community"},'caseload data'!$C:$C,'community %'!$T$57)),"")</f>
        <v/>
      </c>
      <c r="V62" s="167" t="str">
        <f>IFERROR(SUM(SUMIFS('caseload data'!F:F,'caseload data'!$C:$C,'community %'!$T$57,'caseload data'!$D:$D,"SPO",'caseload data'!$B:$B,{"licence","community"}))/SUM(SUMIFS('caseload data'!F:F,'caseload data'!$B:$B,{"licence","community"},'caseload data'!$C:$C,'community %'!$T$57)),"")</f>
        <v/>
      </c>
      <c r="W62" s="167" t="str">
        <f>IFERROR(SUM(SUMIFS('caseload data'!G:G,'caseload data'!$C:$C,'community %'!$T$57,'caseload data'!$D:$D,"SPO",'caseload data'!$B:$B,{"licence","community"}))/SUM(SUMIFS('caseload data'!G:G,'caseload data'!$B:$B,{"licence","community"},'caseload data'!$C:$C,'community %'!$T$57)),"")</f>
        <v/>
      </c>
      <c r="X62" s="167" t="str">
        <f>IFERROR(SUM(SUMIFS('caseload data'!H:H,'caseload data'!$C:$C,'community %'!$T$57,'caseload data'!$D:$D,"SPO",'caseload data'!$B:$B,{"licence","community"}))/SUM(SUMIFS('caseload data'!H:H,'caseload data'!$B:$B,{"licence","community"},'caseload data'!$C:$C,'community %'!$T$57)),"")</f>
        <v/>
      </c>
      <c r="Y62" s="167" t="str">
        <f>IFERROR(SUM(SUMIFS('caseload data'!I:I,'caseload data'!$C:$C,'community %'!$T$57,'caseload data'!$D:$D,"SPO",'caseload data'!$B:$B,{"licence","community"}))/SUM(SUMIFS('caseload data'!I:I,'caseload data'!$B:$B,{"licence","community"},'caseload data'!$C:$C,'community %'!$T$57)),"")</f>
        <v/>
      </c>
      <c r="Z62" s="167" t="str">
        <f>IFERROR(SUM(SUMIFS('caseload data'!J:J,'caseload data'!$C:$C,'community %'!$T$57,'caseload data'!$D:$D,"SPO",'caseload data'!$B:$B,{"licence","community"}))/SUM(SUMIFS('caseload data'!J:J,'caseload data'!$B:$B,{"licence","community"},'caseload data'!$C:$C,'community %'!$T$57)),"")</f>
        <v/>
      </c>
      <c r="AA62" s="167" t="str">
        <f>IFERROR(SUM(SUMIFS('caseload data'!K:K,'caseload data'!$C:$C,'community %'!$T$57,'caseload data'!$D:$D,"SPO",'caseload data'!$B:$B,{"licence","community"}))/SUM(SUMIFS('caseload data'!K:K,'caseload data'!$B:$B,{"licence","community"},'caseload data'!$C:$C,'community %'!$T$57)),"")</f>
        <v/>
      </c>
      <c r="AB62" s="167" t="str">
        <f>IFERROR(SUM(SUMIFS('caseload data'!L:L,'caseload data'!$C:$C,'community %'!$T$57,'caseload data'!$D:$D,"SPO",'caseload data'!$B:$B,{"licence","community"}))/SUM(SUMIFS('caseload data'!L:L,'caseload data'!$B:$B,{"licence","community"},'caseload data'!$C:$C,'community %'!$T$57)),"")</f>
        <v/>
      </c>
      <c r="AC62" s="167" t="str">
        <f>IFERROR(SUM(SUMIFS('caseload data'!M:M,'caseload data'!$C:$C,'community %'!$T$57,'caseload data'!$D:$D,"SPO",'caseload data'!$B:$B,{"licence","community"}))/SUM(SUMIFS('caseload data'!M:M,'caseload data'!$B:$B,{"licence","community"},'caseload data'!$C:$C,'community %'!$T$57)),"")</f>
        <v/>
      </c>
      <c r="AD62" s="167" t="str">
        <f>IFERROR(SUM(SUMIFS('caseload data'!N:N,'caseload data'!$C:$C,'community %'!$T$57,'caseload data'!$D:$D,"SPO",'caseload data'!$B:$B,{"licence","community"}))/SUM(SUMIFS('caseload data'!N:N,'caseload data'!$B:$B,{"licence","community"},'caseload data'!$C:$C,'community %'!$T$57)),"")</f>
        <v/>
      </c>
      <c r="AE62" s="167" t="str">
        <f>IFERROR(SUM(SUMIFS('caseload data'!O:O,'caseload data'!$C:$C,'community %'!$T$57,'caseload data'!$D:$D,"SPO",'caseload data'!$B:$B,{"licence","community"}))/SUM(SUMIFS('caseload data'!O:O,'caseload data'!$B:$B,{"licence","community"},'caseload data'!$C:$C,'community %'!$T$57)),"")</f>
        <v/>
      </c>
      <c r="AF62" s="167" t="str">
        <f>IFERROR(SUM(SUMIFS('caseload data'!P:P,'caseload data'!$C:$C,'community %'!$T$57,'caseload data'!$D:$D,"SPO",'caseload data'!$B:$B,{"licence","community"}))/SUM(SUMIFS('caseload data'!P:P,'caseload data'!$B:$B,{"licence","community"},'caseload data'!$C:$C,'community %'!$T$57)),"")</f>
        <v/>
      </c>
      <c r="AG62" s="167" t="str">
        <f>IFERROR(SUM(SUMIFS('caseload data'!Q:Q,'caseload data'!$C:$C,'community %'!$T$57,'caseload data'!$D:$D,"SPO",'caseload data'!$B:$B,{"licence","community"}))/SUM(SUMIFS('caseload data'!Q:Q,'caseload data'!$B:$B,{"licence","community"},'caseload data'!$C:$C,'community %'!$T$57)),"")</f>
        <v/>
      </c>
      <c r="AH62" s="167" t="str">
        <f>IFERROR(SUM(SUMIFS('caseload data'!R:R,'caseload data'!$C:$C,'community %'!$T$57,'caseload data'!$D:$D,"SPO",'caseload data'!$B:$B,{"licence","community"}))/SUM(SUMIFS('caseload data'!R:R,'caseload data'!$B:$B,{"licence","community"},'caseload data'!$C:$C,'community %'!$T$57)),"")</f>
        <v/>
      </c>
      <c r="AI62" s="167" t="str">
        <f>IFERROR(SUM(SUMIFS('caseload data'!S:S,'caseload data'!$C:$C,'community %'!$T$57,'caseload data'!$D:$D,"SPO",'caseload data'!$B:$B,{"licence","community"}))/SUM(SUMIFS('caseload data'!S:S,'caseload data'!$B:$B,{"licence","community"},'caseload data'!$C:$C,'community %'!$T$57)),"")</f>
        <v/>
      </c>
      <c r="AJ62" s="167" t="str">
        <f>IFERROR(SUM(SUMIFS('caseload data'!T:T,'caseload data'!$C:$C,'community %'!$T$57,'caseload data'!$D:$D,"SPO",'caseload data'!$B:$B,{"licence","community"}))/SUM(SUMIFS('caseload data'!T:T,'caseload data'!$B:$B,{"licence","community"},'caseload data'!$C:$C,'community %'!$T$57)),"")</f>
        <v/>
      </c>
    </row>
    <row r="64" spans="2:36" ht="25.5" customHeight="1" x14ac:dyDescent="0.15">
      <c r="B64" s="289">
        <f>HLOOKUP($B$5,Region_Table,18,0)</f>
        <v>0</v>
      </c>
      <c r="C64" s="507" t="s">
        <v>1139</v>
      </c>
      <c r="D64" s="508"/>
      <c r="E64" s="508"/>
      <c r="F64" s="508"/>
      <c r="G64" s="508"/>
      <c r="H64" s="508"/>
      <c r="I64" s="508"/>
      <c r="J64" s="508"/>
      <c r="K64" s="508"/>
      <c r="L64" s="508"/>
      <c r="M64" s="537"/>
      <c r="N64" s="537"/>
      <c r="O64" s="538"/>
      <c r="P64" s="510" cm="1">
        <f t="array" ref="P64">SUM(SUMIFS('caseload data'!V:V,'caseload data'!B:B,{"licence","community"},'caseload data'!$C:$C,B64))</f>
        <v>0</v>
      </c>
      <c r="Q64" s="527"/>
      <c r="R64" s="528"/>
      <c r="S64" s="64"/>
      <c r="T64" s="289">
        <f>HLOOKUP($B$5,Region_Table,19,0)</f>
        <v>0</v>
      </c>
      <c r="U64" s="507" t="s">
        <v>1139</v>
      </c>
      <c r="V64" s="508"/>
      <c r="W64" s="508"/>
      <c r="X64" s="508"/>
      <c r="Y64" s="508"/>
      <c r="Z64" s="508"/>
      <c r="AA64" s="508"/>
      <c r="AB64" s="508"/>
      <c r="AC64" s="508"/>
      <c r="AD64" s="508"/>
      <c r="AE64" s="537"/>
      <c r="AF64" s="537"/>
      <c r="AG64" s="538"/>
      <c r="AH64" s="510" cm="1">
        <f t="array" ref="AH64">SUM(SUMIFS('caseload data'!V:V,'caseload data'!B:B,{"licence","community"},'caseload data'!$C:$C,T64))</f>
        <v>0</v>
      </c>
      <c r="AI64" s="527"/>
      <c r="AJ64" s="528"/>
    </row>
    <row r="65" spans="2:36" x14ac:dyDescent="0.15">
      <c r="B65" s="95" t="s">
        <v>1005</v>
      </c>
      <c r="C65" s="38" t="s">
        <v>869</v>
      </c>
      <c r="D65" s="38" t="s">
        <v>870</v>
      </c>
      <c r="E65" s="38" t="s">
        <v>871</v>
      </c>
      <c r="F65" s="38" t="s">
        <v>872</v>
      </c>
      <c r="G65" s="38" t="s">
        <v>873</v>
      </c>
      <c r="H65" s="38" t="s">
        <v>874</v>
      </c>
      <c r="I65" s="38" t="s">
        <v>875</v>
      </c>
      <c r="J65" s="38" t="s">
        <v>876</v>
      </c>
      <c r="K65" s="38" t="s">
        <v>877</v>
      </c>
      <c r="L65" s="38" t="s">
        <v>878</v>
      </c>
      <c r="M65" s="38" t="s">
        <v>879</v>
      </c>
      <c r="N65" s="38" t="s">
        <v>880</v>
      </c>
      <c r="O65" s="38" t="s">
        <v>881</v>
      </c>
      <c r="P65" s="38" t="s">
        <v>882</v>
      </c>
      <c r="Q65" s="38" t="s">
        <v>883</v>
      </c>
      <c r="R65" s="38" t="s">
        <v>884</v>
      </c>
      <c r="S65" s="64"/>
      <c r="T65" s="95" t="s">
        <v>1005</v>
      </c>
      <c r="U65" s="38" t="s">
        <v>869</v>
      </c>
      <c r="V65" s="38" t="s">
        <v>870</v>
      </c>
      <c r="W65" s="38" t="s">
        <v>871</v>
      </c>
      <c r="X65" s="38" t="s">
        <v>872</v>
      </c>
      <c r="Y65" s="38" t="s">
        <v>873</v>
      </c>
      <c r="Z65" s="38" t="s">
        <v>874</v>
      </c>
      <c r="AA65" s="38" t="s">
        <v>875</v>
      </c>
      <c r="AB65" s="38" t="s">
        <v>876</v>
      </c>
      <c r="AC65" s="38" t="s">
        <v>877</v>
      </c>
      <c r="AD65" s="38" t="s">
        <v>878</v>
      </c>
      <c r="AE65" s="38" t="s">
        <v>879</v>
      </c>
      <c r="AF65" s="38" t="s">
        <v>880</v>
      </c>
      <c r="AG65" s="38" t="s">
        <v>881</v>
      </c>
      <c r="AH65" s="38" t="s">
        <v>882</v>
      </c>
      <c r="AI65" s="38" t="s">
        <v>883</v>
      </c>
      <c r="AJ65" s="38" t="s">
        <v>884</v>
      </c>
    </row>
    <row r="66" spans="2:36" x14ac:dyDescent="0.15">
      <c r="B66" s="96" t="s">
        <v>1002</v>
      </c>
      <c r="C66" s="167" t="str">
        <f>IFERROR(SUM(SUMIFS('caseload data'!E:E,'caseload data'!$C:$C,'community %'!$B$64,'caseload data'!$D:$D,"PO",'caseload data'!$B:$B,{"licence","community"}))/SUM(SUMIFS('caseload data'!E:E,'caseload data'!$B:$B,{"licence","community"},'caseload data'!$C:$C,'community %'!$B$64)),"")</f>
        <v/>
      </c>
      <c r="D66" s="167" t="str">
        <f>IFERROR(SUM(SUMIFS('caseload data'!F:F,'caseload data'!$C:$C,'community %'!$B$64,'caseload data'!$D:$D,"PO",'caseload data'!$B:$B,{"licence","community"}))/SUM(SUMIFS('caseload data'!F:F,'caseload data'!$B:$B,{"licence","community"},'caseload data'!$C:$C,'community %'!$B$64)),"")</f>
        <v/>
      </c>
      <c r="E66" s="167" t="str">
        <f>IFERROR(SUM(SUMIFS('caseload data'!G:G,'caseload data'!$C:$C,'community %'!$B$64,'caseload data'!$D:$D,"PO",'caseload data'!$B:$B,{"licence","community"}))/SUM(SUMIFS('caseload data'!G:G,'caseload data'!$B:$B,{"licence","community"},'caseload data'!$C:$C,'community %'!$B$64)),"")</f>
        <v/>
      </c>
      <c r="F66" s="167" t="str">
        <f>IFERROR(SUM(SUMIFS('caseload data'!H:H,'caseload data'!$C:$C,'community %'!$B$64,'caseload data'!$D:$D,"PO",'caseload data'!$B:$B,{"licence","community"}))/SUM(SUMIFS('caseload data'!H:H,'caseload data'!$B:$B,{"licence","community"},'caseload data'!$C:$C,'community %'!$B$64)),"")</f>
        <v/>
      </c>
      <c r="G66" s="167" t="str">
        <f>IFERROR(SUM(SUMIFS('caseload data'!I:I,'caseload data'!$C:$C,'community %'!$B$64,'caseload data'!$D:$D,"PO",'caseload data'!$B:$B,{"licence","community"}))/SUM(SUMIFS('caseload data'!I:I,'caseload data'!$B:$B,{"licence","community"},'caseload data'!$C:$C,'community %'!$B$64)),"")</f>
        <v/>
      </c>
      <c r="H66" s="167" t="str">
        <f>IFERROR(SUM(SUMIFS('caseload data'!J:J,'caseload data'!$C:$C,'community %'!$B$64,'caseload data'!$D:$D,"PO",'caseload data'!$B:$B,{"licence","community"}))/SUM(SUMIFS('caseload data'!J:J,'caseload data'!$B:$B,{"licence","community"},'caseload data'!$C:$C,'community %'!$B$64)),"")</f>
        <v/>
      </c>
      <c r="I66" s="167" t="str">
        <f>IFERROR(SUM(SUMIFS('caseload data'!K:K,'caseload data'!$C:$C,'community %'!$B$64,'caseload data'!$D:$D,"PO",'caseload data'!$B:$B,{"licence","community"}))/SUM(SUMIFS('caseload data'!K:K,'caseload data'!$B:$B,{"licence","community"},'caseload data'!$C:$C,'community %'!$B$64)),"")</f>
        <v/>
      </c>
      <c r="J66" s="167" t="str">
        <f>IFERROR(SUM(SUMIFS('caseload data'!L:L,'caseload data'!$C:$C,'community %'!$B$64,'caseload data'!$D:$D,"PO",'caseload data'!$B:$B,{"licence","community"}))/SUM(SUMIFS('caseload data'!L:L,'caseload data'!$B:$B,{"licence","community"},'caseload data'!$C:$C,'community %'!$B$64)),"")</f>
        <v/>
      </c>
      <c r="K66" s="167" t="str">
        <f>IFERROR(SUM(SUMIFS('caseload data'!M:M,'caseload data'!$C:$C,'community %'!$B$64,'caseload data'!$D:$D,"PO",'caseload data'!$B:$B,{"licence","community"}))/SUM(SUMIFS('caseload data'!M:M,'caseload data'!$B:$B,{"licence","community"},'caseload data'!$C:$C,'community %'!$B$64)),"")</f>
        <v/>
      </c>
      <c r="L66" s="167" t="str">
        <f>IFERROR(SUM(SUMIFS('caseload data'!N:N,'caseload data'!$C:$C,'community %'!$B$64,'caseload data'!$D:$D,"PO",'caseload data'!$B:$B,{"licence","community"}))/SUM(SUMIFS('caseload data'!N:N,'caseload data'!$B:$B,{"licence","community"},'caseload data'!$C:$C,'community %'!$B$64)),"")</f>
        <v/>
      </c>
      <c r="M66" s="167" t="str">
        <f>IFERROR(SUM(SUMIFS('caseload data'!O:O,'caseload data'!$C:$C,'community %'!$B$64,'caseload data'!$D:$D,"PO",'caseload data'!$B:$B,{"licence","community"}))/SUM(SUMIFS('caseload data'!O:O,'caseload data'!$B:$B,{"licence","community"},'caseload data'!$C:$C,'community %'!$B$64)),"")</f>
        <v/>
      </c>
      <c r="N66" s="167" t="str">
        <f>IFERROR(SUM(SUMIFS('caseload data'!P:P,'caseload data'!$C:$C,'community %'!$B$64,'caseload data'!$D:$D,"PO",'caseload data'!$B:$B,{"licence","community"}))/SUM(SUMIFS('caseload data'!P:P,'caseload data'!$B:$B,{"licence","community"},'caseload data'!$C:$C,'community %'!$B$64)),"")</f>
        <v/>
      </c>
      <c r="O66" s="167" t="str">
        <f>IFERROR(SUM(SUMIFS('caseload data'!Q:Q,'caseload data'!$C:$C,'community %'!$B$64,'caseload data'!$D:$D,"PO",'caseload data'!$B:$B,{"licence","community"}))/SUM(SUMIFS('caseload data'!Q:Q,'caseload data'!$B:$B,{"licence","community"},'caseload data'!$C:$C,'community %'!$B$64)),"")</f>
        <v/>
      </c>
      <c r="P66" s="167" t="str">
        <f>IFERROR(SUM(SUMIFS('caseload data'!R:R,'caseload data'!$C:$C,'community %'!$B$64,'caseload data'!$D:$D,"PO",'caseload data'!$B:$B,{"licence","community"}))/SUM(SUMIFS('caseload data'!R:R,'caseload data'!$B:$B,{"licence","community"},'caseload data'!$C:$C,'community %'!$B$64)),"")</f>
        <v/>
      </c>
      <c r="Q66" s="167" t="str">
        <f>IFERROR(SUM(SUMIFS('caseload data'!S:S,'caseload data'!$C:$C,'community %'!$B$64,'caseload data'!$D:$D,"PO",'caseload data'!$B:$B,{"licence","community"}))/SUM(SUMIFS('caseload data'!S:S,'caseload data'!$B:$B,{"licence","community"},'caseload data'!$C:$C,'community %'!$B$64)),"")</f>
        <v/>
      </c>
      <c r="R66" s="167" t="str">
        <f>IFERROR(SUM(SUMIFS('caseload data'!T:T,'caseload data'!$C:$C,'community %'!$B$64,'caseload data'!$D:$D,"PO",'caseload data'!$B:$B,{"licence","community"}))/SUM(SUMIFS('caseload data'!T:T,'caseload data'!$B:$B,{"licence","community"},'caseload data'!$C:$C,'community %'!$B$64)),"")</f>
        <v/>
      </c>
      <c r="S66" s="64"/>
      <c r="T66" s="96" t="s">
        <v>1002</v>
      </c>
      <c r="U66" s="167" t="str">
        <f>IFERROR(SUM(SUMIFS('caseload data'!E:E,'caseload data'!$C:$C,'community %'!$T$64,'caseload data'!$D:$D,"PO",'caseload data'!$B:$B,{"licence","community"}))/SUM(SUMIFS('caseload data'!E:E,'caseload data'!$B:$B,{"licence","community"},'caseload data'!$C:$C,'community %'!$T$64)),"")</f>
        <v/>
      </c>
      <c r="V66" s="167" t="str">
        <f>IFERROR(SUM(SUMIFS('caseload data'!F:F,'caseload data'!$C:$C,'community %'!$T$64,'caseload data'!$D:$D,"PO",'caseload data'!$B:$B,{"licence","community"}))/SUM(SUMIFS('caseload data'!F:F,'caseload data'!$B:$B,{"licence","community"},'caseload data'!$C:$C,'community %'!$T$64)),"")</f>
        <v/>
      </c>
      <c r="W66" s="167" t="str">
        <f>IFERROR(SUM(SUMIFS('caseload data'!G:G,'caseload data'!$C:$C,'community %'!$T$64,'caseload data'!$D:$D,"PO",'caseload data'!$B:$B,{"licence","community"}))/SUM(SUMIFS('caseload data'!G:G,'caseload data'!$B:$B,{"licence","community"},'caseload data'!$C:$C,'community %'!$T$64)),"")</f>
        <v/>
      </c>
      <c r="X66" s="167" t="str">
        <f>IFERROR(SUM(SUMIFS('caseload data'!H:H,'caseload data'!$C:$C,'community %'!$T$64,'caseload data'!$D:$D,"PO",'caseload data'!$B:$B,{"licence","community"}))/SUM(SUMIFS('caseload data'!H:H,'caseload data'!$B:$B,{"licence","community"},'caseload data'!$C:$C,'community %'!$T$64)),"")</f>
        <v/>
      </c>
      <c r="Y66" s="167" t="str">
        <f>IFERROR(SUM(SUMIFS('caseload data'!I:I,'caseload data'!$C:$C,'community %'!$T$64,'caseload data'!$D:$D,"PO",'caseload data'!$B:$B,{"licence","community"}))/SUM(SUMIFS('caseload data'!I:I,'caseload data'!$B:$B,{"licence","community"},'caseload data'!$C:$C,'community %'!$T$64)),"")</f>
        <v/>
      </c>
      <c r="Z66" s="167" t="str">
        <f>IFERROR(SUM(SUMIFS('caseload data'!J:J,'caseload data'!$C:$C,'community %'!$T$64,'caseload data'!$D:$D,"PO",'caseload data'!$B:$B,{"licence","community"}))/SUM(SUMIFS('caseload data'!J:J,'caseload data'!$B:$B,{"licence","community"},'caseload data'!$C:$C,'community %'!$T$64)),"")</f>
        <v/>
      </c>
      <c r="AA66" s="167" t="str">
        <f>IFERROR(SUM(SUMIFS('caseload data'!K:K,'caseload data'!$C:$C,'community %'!$T$64,'caseload data'!$D:$D,"PO",'caseload data'!$B:$B,{"licence","community"}))/SUM(SUMIFS('caseload data'!K:K,'caseload data'!$B:$B,{"licence","community"},'caseload data'!$C:$C,'community %'!$T$64)),"")</f>
        <v/>
      </c>
      <c r="AB66" s="167" t="str">
        <f>IFERROR(SUM(SUMIFS('caseload data'!L:L,'caseload data'!$C:$C,'community %'!$T$64,'caseload data'!$D:$D,"PO",'caseload data'!$B:$B,{"licence","community"}))/SUM(SUMIFS('caseload data'!L:L,'caseload data'!$B:$B,{"licence","community"},'caseload data'!$C:$C,'community %'!$T$64)),"")</f>
        <v/>
      </c>
      <c r="AC66" s="167" t="str">
        <f>IFERROR(SUM(SUMIFS('caseload data'!M:M,'caseload data'!$C:$C,'community %'!$T$64,'caseload data'!$D:$D,"PO",'caseload data'!$B:$B,{"licence","community"}))/SUM(SUMIFS('caseload data'!M:M,'caseload data'!$B:$B,{"licence","community"},'caseload data'!$C:$C,'community %'!$T$64)),"")</f>
        <v/>
      </c>
      <c r="AD66" s="167" t="str">
        <f>IFERROR(SUM(SUMIFS('caseload data'!N:N,'caseload data'!$C:$C,'community %'!$T$64,'caseload data'!$D:$D,"PO",'caseload data'!$B:$B,{"licence","community"}))/SUM(SUMIFS('caseload data'!N:N,'caseload data'!$B:$B,{"licence","community"},'caseload data'!$C:$C,'community %'!$T$64)),"")</f>
        <v/>
      </c>
      <c r="AE66" s="167" t="str">
        <f>IFERROR(SUM(SUMIFS('caseload data'!O:O,'caseload data'!$C:$C,'community %'!$T$64,'caseload data'!$D:$D,"PO",'caseload data'!$B:$B,{"licence","community"}))/SUM(SUMIFS('caseload data'!O:O,'caseload data'!$B:$B,{"licence","community"},'caseload data'!$C:$C,'community %'!$T$64)),"")</f>
        <v/>
      </c>
      <c r="AF66" s="167" t="str">
        <f>IFERROR(SUM(SUMIFS('caseload data'!P:P,'caseload data'!$C:$C,'community %'!$T$64,'caseload data'!$D:$D,"PO",'caseload data'!$B:$B,{"licence","community"}))/SUM(SUMIFS('caseload data'!P:P,'caseload data'!$B:$B,{"licence","community"},'caseload data'!$C:$C,'community %'!$T$64)),"")</f>
        <v/>
      </c>
      <c r="AG66" s="167" t="str">
        <f>IFERROR(SUM(SUMIFS('caseload data'!Q:Q,'caseload data'!$C:$C,'community %'!$T$64,'caseload data'!$D:$D,"PO",'caseload data'!$B:$B,{"licence","community"}))/SUM(SUMIFS('caseload data'!Q:Q,'caseload data'!$B:$B,{"licence","community"},'caseload data'!$C:$C,'community %'!$T$64)),"")</f>
        <v/>
      </c>
      <c r="AH66" s="167" t="str">
        <f>IFERROR(SUM(SUMIFS('caseload data'!R:R,'caseload data'!$C:$C,'community %'!$T$64,'caseload data'!$D:$D,"PO",'caseload data'!$B:$B,{"licence","community"}))/SUM(SUMIFS('caseload data'!R:R,'caseload data'!$B:$B,{"licence","community"},'caseload data'!$C:$C,'community %'!$T$64)),"")</f>
        <v/>
      </c>
      <c r="AI66" s="167" t="str">
        <f>IFERROR(SUM(SUMIFS('caseload data'!S:S,'caseload data'!$C:$C,'community %'!$T$64,'caseload data'!$D:$D,"PO",'caseload data'!$B:$B,{"licence","community"}))/SUM(SUMIFS('caseload data'!S:S,'caseload data'!$B:$B,{"licence","community"},'caseload data'!$C:$C,'community %'!$T$64)),"")</f>
        <v/>
      </c>
      <c r="AJ66" s="167" t="str">
        <f>IFERROR(SUM(SUMIFS('caseload data'!T:T,'caseload data'!$C:$C,'community %'!$T$64,'caseload data'!$D:$D,"PO",'caseload data'!$B:$B,{"licence","community"}))/SUM(SUMIFS('caseload data'!T:T,'caseload data'!$B:$B,{"licence","community"},'caseload data'!$C:$C,'community %'!$T$64)),"")</f>
        <v/>
      </c>
    </row>
    <row r="67" spans="2:36" x14ac:dyDescent="0.15">
      <c r="B67" s="97" t="s">
        <v>1007</v>
      </c>
      <c r="C67" s="167" t="str">
        <f>IFERROR(SUM(SUMIFS('caseload data'!E:E,'caseload data'!$C:$C,'community %'!$B$64,'caseload data'!$D:$D,"PSO",'caseload data'!$B:$B,{"licence","community"}))/SUM(SUMIFS('caseload data'!E:E,'caseload data'!$B:$B,{"licence","community"},'caseload data'!$C:$C,'community %'!$B$64)),"")</f>
        <v/>
      </c>
      <c r="D67" s="167" t="str">
        <f>IFERROR(SUM(SUMIFS('caseload data'!F:F,'caseload data'!$C:$C,'community %'!$B$64,'caseload data'!$D:$D,"PSO",'caseload data'!$B:$B,{"licence","community"}))/SUM(SUMIFS('caseload data'!F:F,'caseload data'!$B:$B,{"licence","community"},'caseload data'!$C:$C,'community %'!$B$64)),"")</f>
        <v/>
      </c>
      <c r="E67" s="167" t="str">
        <f>IFERROR(SUM(SUMIFS('caseload data'!G:G,'caseload data'!$C:$C,'community %'!$B$64,'caseload data'!$D:$D,"PSO",'caseload data'!$B:$B,{"licence","community"}))/SUM(SUMIFS('caseload data'!G:G,'caseload data'!$B:$B,{"licence","community"},'caseload data'!$C:$C,'community %'!$B$64)),"")</f>
        <v/>
      </c>
      <c r="F67" s="167" t="str">
        <f>IFERROR(SUM(SUMIFS('caseload data'!H:H,'caseload data'!$C:$C,'community %'!$B$64,'caseload data'!$D:$D,"PSO",'caseload data'!$B:$B,{"licence","community"}))/SUM(SUMIFS('caseload data'!H:H,'caseload data'!$B:$B,{"licence","community"},'caseload data'!$C:$C,'community %'!$B$64)),"")</f>
        <v/>
      </c>
      <c r="G67" s="167" t="str">
        <f>IFERROR(SUM(SUMIFS('caseload data'!I:I,'caseload data'!$C:$C,'community %'!$B$64,'caseload data'!$D:$D,"PSO",'caseload data'!$B:$B,{"licence","community"}))/SUM(SUMIFS('caseload data'!I:I,'caseload data'!$B:$B,{"licence","community"},'caseload data'!$C:$C,'community %'!$B$64)),"")</f>
        <v/>
      </c>
      <c r="H67" s="167" t="str">
        <f>IFERROR(SUM(SUMIFS('caseload data'!J:J,'caseload data'!$C:$C,'community %'!$B$64,'caseload data'!$D:$D,"PSO",'caseload data'!$B:$B,{"licence","community"}))/SUM(SUMIFS('caseload data'!J:J,'caseload data'!$B:$B,{"licence","community"},'caseload data'!$C:$C,'community %'!$B$64)),"")</f>
        <v/>
      </c>
      <c r="I67" s="167" t="str">
        <f>IFERROR(SUM(SUMIFS('caseload data'!K:K,'caseload data'!$C:$C,'community %'!$B$64,'caseload data'!$D:$D,"PSO",'caseload data'!$B:$B,{"licence","community"}))/SUM(SUMIFS('caseload data'!K:K,'caseload data'!$B:$B,{"licence","community"},'caseload data'!$C:$C,'community %'!$B$64)),"")</f>
        <v/>
      </c>
      <c r="J67" s="167" t="str">
        <f>IFERROR(SUM(SUMIFS('caseload data'!L:L,'caseload data'!$C:$C,'community %'!$B$64,'caseload data'!$D:$D,"PSO",'caseload data'!$B:$B,{"licence","community"}))/SUM(SUMIFS('caseload data'!L:L,'caseload data'!$B:$B,{"licence","community"},'caseload data'!$C:$C,'community %'!$B$64)),"")</f>
        <v/>
      </c>
      <c r="K67" s="167" t="str">
        <f>IFERROR(SUM(SUMIFS('caseload data'!M:M,'caseload data'!$C:$C,'community %'!$B$64,'caseload data'!$D:$D,"PSO",'caseload data'!$B:$B,{"licence","community"}))/SUM(SUMIFS('caseload data'!M:M,'caseload data'!$B:$B,{"licence","community"},'caseload data'!$C:$C,'community %'!$B$64)),"")</f>
        <v/>
      </c>
      <c r="L67" s="167" t="str">
        <f>IFERROR(SUM(SUMIFS('caseload data'!N:N,'caseload data'!$C:$C,'community %'!$B$64,'caseload data'!$D:$D,"PSO",'caseload data'!$B:$B,{"licence","community"}))/SUM(SUMIFS('caseload data'!N:N,'caseload data'!$B:$B,{"licence","community"},'caseload data'!$C:$C,'community %'!$B$64)),"")</f>
        <v/>
      </c>
      <c r="M67" s="167" t="str">
        <f>IFERROR(SUM(SUMIFS('caseload data'!O:O,'caseload data'!$C:$C,'community %'!$B$64,'caseload data'!$D:$D,"PSO",'caseload data'!$B:$B,{"licence","community"}))/SUM(SUMIFS('caseload data'!O:O,'caseload data'!$B:$B,{"licence","community"},'caseload data'!$C:$C,'community %'!$B$64)),"")</f>
        <v/>
      </c>
      <c r="N67" s="167" t="str">
        <f>IFERROR(SUM(SUMIFS('caseload data'!P:P,'caseload data'!$C:$C,'community %'!$B$64,'caseload data'!$D:$D,"PSO",'caseload data'!$B:$B,{"licence","community"}))/SUM(SUMIFS('caseload data'!P:P,'caseload data'!$B:$B,{"licence","community"},'caseload data'!$C:$C,'community %'!$B$64)),"")</f>
        <v/>
      </c>
      <c r="O67" s="167" t="str">
        <f>IFERROR(SUM(SUMIFS('caseload data'!Q:Q,'caseload data'!$C:$C,'community %'!$B$64,'caseload data'!$D:$D,"PSO",'caseload data'!$B:$B,{"licence","community"}))/SUM(SUMIFS('caseload data'!Q:Q,'caseload data'!$B:$B,{"licence","community"},'caseload data'!$C:$C,'community %'!$B$64)),"")</f>
        <v/>
      </c>
      <c r="P67" s="167" t="str">
        <f>IFERROR(SUM(SUMIFS('caseload data'!R:R,'caseload data'!$C:$C,'community %'!$B$64,'caseload data'!$D:$D,"PSO",'caseload data'!$B:$B,{"licence","community"}))/SUM(SUMIFS('caseload data'!R:R,'caseload data'!$B:$B,{"licence","community"},'caseload data'!$C:$C,'community %'!$B$64)),"")</f>
        <v/>
      </c>
      <c r="Q67" s="167" t="str">
        <f>IFERROR(SUM(SUMIFS('caseload data'!S:S,'caseload data'!$C:$C,'community %'!$B$64,'caseload data'!$D:$D,"PSO",'caseload data'!$B:$B,{"licence","community"}))/SUM(SUMIFS('caseload data'!S:S,'caseload data'!$B:$B,{"licence","community"},'caseload data'!$C:$C,'community %'!$B$64)),"")</f>
        <v/>
      </c>
      <c r="R67" s="167" t="str">
        <f>IFERROR(SUM(SUMIFS('caseload data'!T:T,'caseload data'!$C:$C,'community %'!$B$64,'caseload data'!$D:$D,"PSO",'caseload data'!$B:$B,{"licence","community"}))/SUM(SUMIFS('caseload data'!T:T,'caseload data'!$B:$B,{"licence","community"},'caseload data'!$C:$C,'community %'!$B$64)),"")</f>
        <v/>
      </c>
      <c r="S67" s="64"/>
      <c r="T67" s="97" t="s">
        <v>1007</v>
      </c>
      <c r="U67" s="167" t="str">
        <f>IFERROR(SUM(SUMIFS('caseload data'!E:E,'caseload data'!$C:$C,'community %'!$T$64,'caseload data'!$D:$D,"PSO",'caseload data'!$B:$B,{"licence","community"}))/SUM(SUMIFS('caseload data'!E:E,'caseload data'!$B:$B,{"licence","community"},'caseload data'!$C:$C,'community %'!$T$64)),"")</f>
        <v/>
      </c>
      <c r="V67" s="167" t="str">
        <f>IFERROR(SUM(SUMIFS('caseload data'!F:F,'caseload data'!$C:$C,'community %'!$T$64,'caseload data'!$D:$D,"PSO",'caseload data'!$B:$B,{"licence","community"}))/SUM(SUMIFS('caseload data'!F:F,'caseload data'!$B:$B,{"licence","community"},'caseload data'!$C:$C,'community %'!$T$64)),"")</f>
        <v/>
      </c>
      <c r="W67" s="167" t="str">
        <f>IFERROR(SUM(SUMIFS('caseload data'!G:G,'caseload data'!$C:$C,'community %'!$T$64,'caseload data'!$D:$D,"PSO",'caseload data'!$B:$B,{"licence","community"}))/SUM(SUMIFS('caseload data'!G:G,'caseload data'!$B:$B,{"licence","community"},'caseload data'!$C:$C,'community %'!$T$64)),"")</f>
        <v/>
      </c>
      <c r="X67" s="167" t="str">
        <f>IFERROR(SUM(SUMIFS('caseload data'!H:H,'caseload data'!$C:$C,'community %'!$T$64,'caseload data'!$D:$D,"PSO",'caseload data'!$B:$B,{"licence","community"}))/SUM(SUMIFS('caseload data'!H:H,'caseload data'!$B:$B,{"licence","community"},'caseload data'!$C:$C,'community %'!$T$64)),"")</f>
        <v/>
      </c>
      <c r="Y67" s="167" t="str">
        <f>IFERROR(SUM(SUMIFS('caseload data'!I:I,'caseload data'!$C:$C,'community %'!$T$64,'caseload data'!$D:$D,"PSO",'caseload data'!$B:$B,{"licence","community"}))/SUM(SUMIFS('caseload data'!I:I,'caseload data'!$B:$B,{"licence","community"},'caseload data'!$C:$C,'community %'!$T$64)),"")</f>
        <v/>
      </c>
      <c r="Z67" s="167" t="str">
        <f>IFERROR(SUM(SUMIFS('caseload data'!J:J,'caseload data'!$C:$C,'community %'!$T$64,'caseload data'!$D:$D,"PSO",'caseload data'!$B:$B,{"licence","community"}))/SUM(SUMIFS('caseload data'!J:J,'caseload data'!$B:$B,{"licence","community"},'caseload data'!$C:$C,'community %'!$T$64)),"")</f>
        <v/>
      </c>
      <c r="AA67" s="167" t="str">
        <f>IFERROR(SUM(SUMIFS('caseload data'!K:K,'caseload data'!$C:$C,'community %'!$T$64,'caseload data'!$D:$D,"PSO",'caseload data'!$B:$B,{"licence","community"}))/SUM(SUMIFS('caseload data'!K:K,'caseload data'!$B:$B,{"licence","community"},'caseload data'!$C:$C,'community %'!$T$64)),"")</f>
        <v/>
      </c>
      <c r="AB67" s="167" t="str">
        <f>IFERROR(SUM(SUMIFS('caseload data'!L:L,'caseload data'!$C:$C,'community %'!$T$64,'caseload data'!$D:$D,"PSO",'caseload data'!$B:$B,{"licence","community"}))/SUM(SUMIFS('caseload data'!L:L,'caseload data'!$B:$B,{"licence","community"},'caseload data'!$C:$C,'community %'!$T$64)),"")</f>
        <v/>
      </c>
      <c r="AC67" s="167" t="str">
        <f>IFERROR(SUM(SUMIFS('caseload data'!M:M,'caseload data'!$C:$C,'community %'!$T$64,'caseload data'!$D:$D,"PSO",'caseload data'!$B:$B,{"licence","community"}))/SUM(SUMIFS('caseload data'!M:M,'caseload data'!$B:$B,{"licence","community"},'caseload data'!$C:$C,'community %'!$T$64)),"")</f>
        <v/>
      </c>
      <c r="AD67" s="167" t="str">
        <f>IFERROR(SUM(SUMIFS('caseload data'!N:N,'caseload data'!$C:$C,'community %'!$T$64,'caseload data'!$D:$D,"PSO",'caseload data'!$B:$B,{"licence","community"}))/SUM(SUMIFS('caseload data'!N:N,'caseload data'!$B:$B,{"licence","community"},'caseload data'!$C:$C,'community %'!$T$64)),"")</f>
        <v/>
      </c>
      <c r="AE67" s="167" t="str">
        <f>IFERROR(SUM(SUMIFS('caseload data'!O:O,'caseload data'!$C:$C,'community %'!$T$64,'caseload data'!$D:$D,"PSO",'caseload data'!$B:$B,{"licence","community"}))/SUM(SUMIFS('caseload data'!O:O,'caseload data'!$B:$B,{"licence","community"},'caseload data'!$C:$C,'community %'!$T$64)),"")</f>
        <v/>
      </c>
      <c r="AF67" s="167" t="str">
        <f>IFERROR(SUM(SUMIFS('caseload data'!P:P,'caseload data'!$C:$C,'community %'!$T$64,'caseload data'!$D:$D,"PSO",'caseload data'!$B:$B,{"licence","community"}))/SUM(SUMIFS('caseload data'!P:P,'caseload data'!$B:$B,{"licence","community"},'caseload data'!$C:$C,'community %'!$T$64)),"")</f>
        <v/>
      </c>
      <c r="AG67" s="167" t="str">
        <f>IFERROR(SUM(SUMIFS('caseload data'!Q:Q,'caseload data'!$C:$C,'community %'!$T$64,'caseload data'!$D:$D,"PSO",'caseload data'!$B:$B,{"licence","community"}))/SUM(SUMIFS('caseload data'!Q:Q,'caseload data'!$B:$B,{"licence","community"},'caseload data'!$C:$C,'community %'!$T$64)),"")</f>
        <v/>
      </c>
      <c r="AH67" s="167" t="str">
        <f>IFERROR(SUM(SUMIFS('caseload data'!R:R,'caseload data'!$C:$C,'community %'!$T$64,'caseload data'!$D:$D,"PSO",'caseload data'!$B:$B,{"licence","community"}))/SUM(SUMIFS('caseload data'!R:R,'caseload data'!$B:$B,{"licence","community"},'caseload data'!$C:$C,'community %'!$T$64)),"")</f>
        <v/>
      </c>
      <c r="AI67" s="167" t="str">
        <f>IFERROR(SUM(SUMIFS('caseload data'!S:S,'caseload data'!$C:$C,'community %'!$T$64,'caseload data'!$D:$D,"PSO",'caseload data'!$B:$B,{"licence","community"}))/SUM(SUMIFS('caseload data'!S:S,'caseload data'!$B:$B,{"licence","community"},'caseload data'!$C:$C,'community %'!$T$64)),"")</f>
        <v/>
      </c>
      <c r="AJ67" s="167" t="str">
        <f>IFERROR(SUM(SUMIFS('caseload data'!T:T,'caseload data'!$C:$C,'community %'!$T$64,'caseload data'!$D:$D,"PSO",'caseload data'!$B:$B,{"licence","community"}))/SUM(SUMIFS('caseload data'!T:T,'caseload data'!$B:$B,{"licence","community"},'caseload data'!$C:$C,'community %'!$T$64)),"")</f>
        <v/>
      </c>
    </row>
    <row r="68" spans="2:36" x14ac:dyDescent="0.15">
      <c r="B68" s="97" t="s">
        <v>1008</v>
      </c>
      <c r="C68" s="167" t="str">
        <f>IFERROR(SUM(SUMIFS('caseload data'!E:E,'caseload data'!$C:$C,'community %'!$B$64,'caseload data'!$D:$D,"TPO",'caseload data'!$B:$B,{"licence","community"}))/SUM(SUMIFS('caseload data'!E:E,'caseload data'!$B:$B,{"licence","community"},'caseload data'!$C:$C,'community %'!$B$64)),"")</f>
        <v/>
      </c>
      <c r="D68" s="167" t="str">
        <f>IFERROR(SUM(SUMIFS('caseload data'!F:F,'caseload data'!$C:$C,'community %'!$B$64,'caseload data'!$D:$D,"TPO",'caseload data'!$B:$B,{"licence","community"}))/SUM(SUMIFS('caseload data'!F:F,'caseload data'!$B:$B,{"licence","community"},'caseload data'!$C:$C,'community %'!$B$64)),"")</f>
        <v/>
      </c>
      <c r="E68" s="167" t="str">
        <f>IFERROR(SUM(SUMIFS('caseload data'!G:G,'caseload data'!$C:$C,'community %'!$B$64,'caseload data'!$D:$D,"TPO",'caseload data'!$B:$B,{"licence","community"}))/SUM(SUMIFS('caseload data'!G:G,'caseload data'!$B:$B,{"licence","community"},'caseload data'!$C:$C,'community %'!$B$64)),"")</f>
        <v/>
      </c>
      <c r="F68" s="167" t="str">
        <f>IFERROR(SUM(SUMIFS('caseload data'!H:H,'caseload data'!$C:$C,'community %'!$B$64,'caseload data'!$D:$D,"TPO",'caseload data'!$B:$B,{"licence","community"}))/SUM(SUMIFS('caseload data'!H:H,'caseload data'!$B:$B,{"licence","community"},'caseload data'!$C:$C,'community %'!$B$64)),"")</f>
        <v/>
      </c>
      <c r="G68" s="167" t="str">
        <f>IFERROR(SUM(SUMIFS('caseload data'!I:I,'caseload data'!$C:$C,'community %'!$B$64,'caseload data'!$D:$D,"TPO",'caseload data'!$B:$B,{"licence","community"}))/SUM(SUMIFS('caseload data'!I:I,'caseload data'!$B:$B,{"licence","community"},'caseload data'!$C:$C,'community %'!$B$64)),"")</f>
        <v/>
      </c>
      <c r="H68" s="167" t="str">
        <f>IFERROR(SUM(SUMIFS('caseload data'!J:J,'caseload data'!$C:$C,'community %'!$B$64,'caseload data'!$D:$D,"TPO",'caseload data'!$B:$B,{"licence","community"}))/SUM(SUMIFS('caseload data'!J:J,'caseload data'!$B:$B,{"licence","community"},'caseload data'!$C:$C,'community %'!$B$64)),"")</f>
        <v/>
      </c>
      <c r="I68" s="167" t="str">
        <f>IFERROR(SUM(SUMIFS('caseload data'!K:K,'caseload data'!$C:$C,'community %'!$B$64,'caseload data'!$D:$D,"TPO",'caseload data'!$B:$B,{"licence","community"}))/SUM(SUMIFS('caseload data'!K:K,'caseload data'!$B:$B,{"licence","community"},'caseload data'!$C:$C,'community %'!$B$64)),"")</f>
        <v/>
      </c>
      <c r="J68" s="167" t="str">
        <f>IFERROR(SUM(SUMIFS('caseload data'!L:L,'caseload data'!$C:$C,'community %'!$B$64,'caseload data'!$D:$D,"TPO",'caseload data'!$B:$B,{"licence","community"}))/SUM(SUMIFS('caseload data'!L:L,'caseload data'!$B:$B,{"licence","community"},'caseload data'!$C:$C,'community %'!$B$64)),"")</f>
        <v/>
      </c>
      <c r="K68" s="167" t="str">
        <f>IFERROR(SUM(SUMIFS('caseload data'!M:M,'caseload data'!$C:$C,'community %'!$B$64,'caseload data'!$D:$D,"TPO",'caseload data'!$B:$B,{"licence","community"}))/SUM(SUMIFS('caseload data'!M:M,'caseload data'!$B:$B,{"licence","community"},'caseload data'!$C:$C,'community %'!$B$64)),"")</f>
        <v/>
      </c>
      <c r="L68" s="167" t="str">
        <f>IFERROR(SUM(SUMIFS('caseload data'!N:N,'caseload data'!$C:$C,'community %'!$B$64,'caseload data'!$D:$D,"TPO",'caseload data'!$B:$B,{"licence","community"}))/SUM(SUMIFS('caseload data'!N:N,'caseload data'!$B:$B,{"licence","community"},'caseload data'!$C:$C,'community %'!$B$64)),"")</f>
        <v/>
      </c>
      <c r="M68" s="167" t="str">
        <f>IFERROR(SUM(SUMIFS('caseload data'!O:O,'caseload data'!$C:$C,'community %'!$B$64,'caseload data'!$D:$D,"TPO",'caseload data'!$B:$B,{"licence","community"}))/SUM(SUMIFS('caseload data'!O:O,'caseload data'!$B:$B,{"licence","community"},'caseload data'!$C:$C,'community %'!$B$64)),"")</f>
        <v/>
      </c>
      <c r="N68" s="167" t="str">
        <f>IFERROR(SUM(SUMIFS('caseload data'!P:P,'caseload data'!$C:$C,'community %'!$B$64,'caseload data'!$D:$D,"TPO",'caseload data'!$B:$B,{"licence","community"}))/SUM(SUMIFS('caseload data'!P:P,'caseload data'!$B:$B,{"licence","community"},'caseload data'!$C:$C,'community %'!$B$64)),"")</f>
        <v/>
      </c>
      <c r="O68" s="167" t="str">
        <f>IFERROR(SUM(SUMIFS('caseload data'!Q:Q,'caseload data'!$C:$C,'community %'!$B$64,'caseload data'!$D:$D,"TPO",'caseload data'!$B:$B,{"licence","community"}))/SUM(SUMIFS('caseload data'!Q:Q,'caseload data'!$B:$B,{"licence","community"},'caseload data'!$C:$C,'community %'!$B$64)),"")</f>
        <v/>
      </c>
      <c r="P68" s="167" t="str">
        <f>IFERROR(SUM(SUMIFS('caseload data'!R:R,'caseload data'!$C:$C,'community %'!$B$64,'caseload data'!$D:$D,"TPO",'caseload data'!$B:$B,{"licence","community"}))/SUM(SUMIFS('caseload data'!R:R,'caseload data'!$B:$B,{"licence","community"},'caseload data'!$C:$C,'community %'!$B$64)),"")</f>
        <v/>
      </c>
      <c r="Q68" s="167" t="str">
        <f>IFERROR(SUM(SUMIFS('caseload data'!S:S,'caseload data'!$C:$C,'community %'!$B$64,'caseload data'!$D:$D,"TPO",'caseload data'!$B:$B,{"licence","community"}))/SUM(SUMIFS('caseload data'!S:S,'caseload data'!$B:$B,{"licence","community"},'caseload data'!$C:$C,'community %'!$B$64)),"")</f>
        <v/>
      </c>
      <c r="R68" s="167" t="str">
        <f>IFERROR(SUM(SUMIFS('caseload data'!T:T,'caseload data'!$C:$C,'community %'!$B$64,'caseload data'!$D:$D,"TPO",'caseload data'!$B:$B,{"licence","community"}))/SUM(SUMIFS('caseload data'!T:T,'caseload data'!$B:$B,{"licence","community"},'caseload data'!$C:$C,'community %'!$B$64)),"")</f>
        <v/>
      </c>
      <c r="S68" s="64"/>
      <c r="T68" s="97" t="s">
        <v>1008</v>
      </c>
      <c r="U68" s="167" t="str">
        <f>IFERROR(SUM(SUMIFS('caseload data'!E:E,'caseload data'!$C:$C,'community %'!$T$64,'caseload data'!$D:$D,"TPO",'caseload data'!$B:$B,{"licence","community"}))/SUM(SUMIFS('caseload data'!E:E,'caseload data'!$B:$B,{"licence","community"},'caseload data'!$C:$C,'community %'!$T$64)),"")</f>
        <v/>
      </c>
      <c r="V68" s="167" t="str">
        <f>IFERROR(SUM(SUMIFS('caseload data'!F:F,'caseload data'!$C:$C,'community %'!$T$64,'caseload data'!$D:$D,"TPO",'caseload data'!$B:$B,{"licence","community"}))/SUM(SUMIFS('caseload data'!F:F,'caseload data'!$B:$B,{"licence","community"},'caseload data'!$C:$C,'community %'!$T$64)),"")</f>
        <v/>
      </c>
      <c r="W68" s="167" t="str">
        <f>IFERROR(SUM(SUMIFS('caseload data'!G:G,'caseload data'!$C:$C,'community %'!$T$64,'caseload data'!$D:$D,"TPO",'caseload data'!$B:$B,{"licence","community"}))/SUM(SUMIFS('caseload data'!G:G,'caseload data'!$B:$B,{"licence","community"},'caseload data'!$C:$C,'community %'!$T$64)),"")</f>
        <v/>
      </c>
      <c r="X68" s="167" t="str">
        <f>IFERROR(SUM(SUMIFS('caseload data'!H:H,'caseload data'!$C:$C,'community %'!$T$64,'caseload data'!$D:$D,"TPO",'caseload data'!$B:$B,{"licence","community"}))/SUM(SUMIFS('caseload data'!H:H,'caseload data'!$B:$B,{"licence","community"},'caseload data'!$C:$C,'community %'!$T$64)),"")</f>
        <v/>
      </c>
      <c r="Y68" s="167" t="str">
        <f>IFERROR(SUM(SUMIFS('caseload data'!I:I,'caseload data'!$C:$C,'community %'!$T$64,'caseload data'!$D:$D,"TPO",'caseload data'!$B:$B,{"licence","community"}))/SUM(SUMIFS('caseload data'!I:I,'caseload data'!$B:$B,{"licence","community"},'caseload data'!$C:$C,'community %'!$T$64)),"")</f>
        <v/>
      </c>
      <c r="Z68" s="167" t="str">
        <f>IFERROR(SUM(SUMIFS('caseload data'!J:J,'caseload data'!$C:$C,'community %'!$T$64,'caseload data'!$D:$D,"TPO",'caseload data'!$B:$B,{"licence","community"}))/SUM(SUMIFS('caseload data'!J:J,'caseload data'!$B:$B,{"licence","community"},'caseload data'!$C:$C,'community %'!$T$64)),"")</f>
        <v/>
      </c>
      <c r="AA68" s="167" t="str">
        <f>IFERROR(SUM(SUMIFS('caseload data'!K:K,'caseload data'!$C:$C,'community %'!$T$64,'caseload data'!$D:$D,"TPO",'caseload data'!$B:$B,{"licence","community"}))/SUM(SUMIFS('caseload data'!K:K,'caseload data'!$B:$B,{"licence","community"},'caseload data'!$C:$C,'community %'!$T$64)),"")</f>
        <v/>
      </c>
      <c r="AB68" s="167" t="str">
        <f>IFERROR(SUM(SUMIFS('caseload data'!L:L,'caseload data'!$C:$C,'community %'!$T$64,'caseload data'!$D:$D,"TPO",'caseload data'!$B:$B,{"licence","community"}))/SUM(SUMIFS('caseload data'!L:L,'caseload data'!$B:$B,{"licence","community"},'caseload data'!$C:$C,'community %'!$T$64)),"")</f>
        <v/>
      </c>
      <c r="AC68" s="167" t="str">
        <f>IFERROR(SUM(SUMIFS('caseload data'!M:M,'caseload data'!$C:$C,'community %'!$T$64,'caseload data'!$D:$D,"TPO",'caseload data'!$B:$B,{"licence","community"}))/SUM(SUMIFS('caseload data'!M:M,'caseload data'!$B:$B,{"licence","community"},'caseload data'!$C:$C,'community %'!$T$64)),"")</f>
        <v/>
      </c>
      <c r="AD68" s="167" t="str">
        <f>IFERROR(SUM(SUMIFS('caseload data'!N:N,'caseload data'!$C:$C,'community %'!$T$64,'caseload data'!$D:$D,"TPO",'caseload data'!$B:$B,{"licence","community"}))/SUM(SUMIFS('caseload data'!N:N,'caseload data'!$B:$B,{"licence","community"},'caseload data'!$C:$C,'community %'!$T$64)),"")</f>
        <v/>
      </c>
      <c r="AE68" s="167" t="str">
        <f>IFERROR(SUM(SUMIFS('caseload data'!O:O,'caseload data'!$C:$C,'community %'!$T$64,'caseload data'!$D:$D,"TPO",'caseload data'!$B:$B,{"licence","community"}))/SUM(SUMIFS('caseload data'!O:O,'caseload data'!$B:$B,{"licence","community"},'caseload data'!$C:$C,'community %'!$T$64)),"")</f>
        <v/>
      </c>
      <c r="AF68" s="167" t="str">
        <f>IFERROR(SUM(SUMIFS('caseload data'!P:P,'caseload data'!$C:$C,'community %'!$T$64,'caseload data'!$D:$D,"TPO",'caseload data'!$B:$B,{"licence","community"}))/SUM(SUMIFS('caseload data'!P:P,'caseload data'!$B:$B,{"licence","community"},'caseload data'!$C:$C,'community %'!$T$64)),"")</f>
        <v/>
      </c>
      <c r="AG68" s="167" t="str">
        <f>IFERROR(SUM(SUMIFS('caseload data'!Q:Q,'caseload data'!$C:$C,'community %'!$T$64,'caseload data'!$D:$D,"TPO",'caseload data'!$B:$B,{"licence","community"}))/SUM(SUMIFS('caseload data'!Q:Q,'caseload data'!$B:$B,{"licence","community"},'caseload data'!$C:$C,'community %'!$T$64)),"")</f>
        <v/>
      </c>
      <c r="AH68" s="167" t="str">
        <f>IFERROR(SUM(SUMIFS('caseload data'!R:R,'caseload data'!$C:$C,'community %'!$T$64,'caseload data'!$D:$D,"TPO",'caseload data'!$B:$B,{"licence","community"}))/SUM(SUMIFS('caseload data'!R:R,'caseload data'!$B:$B,{"licence","community"},'caseload data'!$C:$C,'community %'!$T$64)),"")</f>
        <v/>
      </c>
      <c r="AI68" s="167" t="str">
        <f>IFERROR(SUM(SUMIFS('caseload data'!S:S,'caseload data'!$C:$C,'community %'!$T$64,'caseload data'!$D:$D,"TPO",'caseload data'!$B:$B,{"licence","community"}))/SUM(SUMIFS('caseload data'!S:S,'caseload data'!$B:$B,{"licence","community"},'caseload data'!$C:$C,'community %'!$T$64)),"")</f>
        <v/>
      </c>
      <c r="AJ68" s="167" t="str">
        <f>IFERROR(SUM(SUMIFS('caseload data'!T:T,'caseload data'!$C:$C,'community %'!$T$64,'caseload data'!$D:$D,"TPO",'caseload data'!$B:$B,{"licence","community"}))/SUM(SUMIFS('caseload data'!T:T,'caseload data'!$B:$B,{"licence","community"},'caseload data'!$C:$C,'community %'!$T$64)),"")</f>
        <v/>
      </c>
    </row>
    <row r="69" spans="2:36" x14ac:dyDescent="0.15">
      <c r="B69" s="98" t="s">
        <v>1009</v>
      </c>
      <c r="C69" s="167" t="str">
        <f>IFERROR(SUM(SUMIFS('caseload data'!E:E,'caseload data'!$C:$C,'community %'!$B$64,'caseload data'!$D:$D,"SPO",'caseload data'!$B:$B,{"licence","community"}))/SUM(SUMIFS('caseload data'!E:E,'caseload data'!$B:$B,{"licence","community"},'caseload data'!$C:$C,'community %'!$B$64)),"")</f>
        <v/>
      </c>
      <c r="D69" s="167" t="str">
        <f>IFERROR(SUM(SUMIFS('caseload data'!F:F,'caseload data'!$C:$C,'community %'!$B$64,'caseload data'!$D:$D,"SPO",'caseload data'!$B:$B,{"licence","community"}))/SUM(SUMIFS('caseload data'!F:F,'caseload data'!$B:$B,{"licence","community"},'caseload data'!$C:$C,'community %'!$B$64)),"")</f>
        <v/>
      </c>
      <c r="E69" s="167" t="str">
        <f>IFERROR(SUM(SUMIFS('caseload data'!G:G,'caseload data'!$C:$C,'community %'!$B$64,'caseload data'!$D:$D,"SPO",'caseload data'!$B:$B,{"licence","community"}))/SUM(SUMIFS('caseload data'!G:G,'caseload data'!$B:$B,{"licence","community"},'caseload data'!$C:$C,'community %'!$B$64)),"")</f>
        <v/>
      </c>
      <c r="F69" s="167" t="str">
        <f>IFERROR(SUM(SUMIFS('caseload data'!H:H,'caseload data'!$C:$C,'community %'!$B$64,'caseload data'!$D:$D,"SPO",'caseload data'!$B:$B,{"licence","community"}))/SUM(SUMIFS('caseload data'!H:H,'caseload data'!$B:$B,{"licence","community"},'caseload data'!$C:$C,'community %'!$B$64)),"")</f>
        <v/>
      </c>
      <c r="G69" s="167" t="str">
        <f>IFERROR(SUM(SUMIFS('caseload data'!I:I,'caseload data'!$C:$C,'community %'!$B$64,'caseload data'!$D:$D,"SPO",'caseload data'!$B:$B,{"licence","community"}))/SUM(SUMIFS('caseload data'!I:I,'caseload data'!$B:$B,{"licence","community"},'caseload data'!$C:$C,'community %'!$B$64)),"")</f>
        <v/>
      </c>
      <c r="H69" s="167" t="str">
        <f>IFERROR(SUM(SUMIFS('caseload data'!J:J,'caseload data'!$C:$C,'community %'!$B$64,'caseload data'!$D:$D,"SPO",'caseload data'!$B:$B,{"licence","community"}))/SUM(SUMIFS('caseload data'!J:J,'caseload data'!$B:$B,{"licence","community"},'caseload data'!$C:$C,'community %'!$B$64)),"")</f>
        <v/>
      </c>
      <c r="I69" s="167" t="str">
        <f>IFERROR(SUM(SUMIFS('caseload data'!K:K,'caseload data'!$C:$C,'community %'!$B$64,'caseload data'!$D:$D,"SPO",'caseload data'!$B:$B,{"licence","community"}))/SUM(SUMIFS('caseload data'!K:K,'caseload data'!$B:$B,{"licence","community"},'caseload data'!$C:$C,'community %'!$B$64)),"")</f>
        <v/>
      </c>
      <c r="J69" s="167" t="str">
        <f>IFERROR(SUM(SUMIFS('caseload data'!L:L,'caseload data'!$C:$C,'community %'!$B$64,'caseload data'!$D:$D,"SPO",'caseload data'!$B:$B,{"licence","community"}))/SUM(SUMIFS('caseload data'!L:L,'caseload data'!$B:$B,{"licence","community"},'caseload data'!$C:$C,'community %'!$B$64)),"")</f>
        <v/>
      </c>
      <c r="K69" s="167" t="str">
        <f>IFERROR(SUM(SUMIFS('caseload data'!M:M,'caseload data'!$C:$C,'community %'!$B$64,'caseload data'!$D:$D,"SPO",'caseload data'!$B:$B,{"licence","community"}))/SUM(SUMIFS('caseload data'!M:M,'caseload data'!$B:$B,{"licence","community"},'caseload data'!$C:$C,'community %'!$B$64)),"")</f>
        <v/>
      </c>
      <c r="L69" s="167" t="str">
        <f>IFERROR(SUM(SUMIFS('caseload data'!N:N,'caseload data'!$C:$C,'community %'!$B$64,'caseload data'!$D:$D,"SPO",'caseload data'!$B:$B,{"licence","community"}))/SUM(SUMIFS('caseload data'!N:N,'caseload data'!$B:$B,{"licence","community"},'caseload data'!$C:$C,'community %'!$B$64)),"")</f>
        <v/>
      </c>
      <c r="M69" s="167" t="str">
        <f>IFERROR(SUM(SUMIFS('caseload data'!O:O,'caseload data'!$C:$C,'community %'!$B$64,'caseload data'!$D:$D,"SPO",'caseload data'!$B:$B,{"licence","community"}))/SUM(SUMIFS('caseload data'!O:O,'caseload data'!$B:$B,{"licence","community"},'caseload data'!$C:$C,'community %'!$B$64)),"")</f>
        <v/>
      </c>
      <c r="N69" s="167" t="str">
        <f>IFERROR(SUM(SUMIFS('caseload data'!P:P,'caseload data'!$C:$C,'community %'!$B$64,'caseload data'!$D:$D,"SPO",'caseload data'!$B:$B,{"licence","community"}))/SUM(SUMIFS('caseload data'!P:P,'caseload data'!$B:$B,{"licence","community"},'caseload data'!$C:$C,'community %'!$B$64)),"")</f>
        <v/>
      </c>
      <c r="O69" s="167" t="str">
        <f>IFERROR(SUM(SUMIFS('caseload data'!Q:Q,'caseload data'!$C:$C,'community %'!$B$64,'caseload data'!$D:$D,"SPO",'caseload data'!$B:$B,{"licence","community"}))/SUM(SUMIFS('caseload data'!Q:Q,'caseload data'!$B:$B,{"licence","community"},'caseload data'!$C:$C,'community %'!$B$64)),"")</f>
        <v/>
      </c>
      <c r="P69" s="167" t="str">
        <f>IFERROR(SUM(SUMIFS('caseload data'!R:R,'caseload data'!$C:$C,'community %'!$B$64,'caseload data'!$D:$D,"SPO",'caseload data'!$B:$B,{"licence","community"}))/SUM(SUMIFS('caseload data'!R:R,'caseload data'!$B:$B,{"licence","community"},'caseload data'!$C:$C,'community %'!$B$64)),"")</f>
        <v/>
      </c>
      <c r="Q69" s="167" t="str">
        <f>IFERROR(SUM(SUMIFS('caseload data'!S:S,'caseload data'!$C:$C,'community %'!$B$64,'caseload data'!$D:$D,"SPO",'caseload data'!$B:$B,{"licence","community"}))/SUM(SUMIFS('caseload data'!S:S,'caseload data'!$B:$B,{"licence","community"},'caseload data'!$C:$C,'community %'!$B$64)),"")</f>
        <v/>
      </c>
      <c r="R69" s="167" t="str">
        <f>IFERROR(SUM(SUMIFS('caseload data'!T:T,'caseload data'!$C:$C,'community %'!$B$64,'caseload data'!$D:$D,"SPO",'caseload data'!$B:$B,{"licence","community"}))/SUM(SUMIFS('caseload data'!T:T,'caseload data'!$B:$B,{"licence","community"},'caseload data'!$C:$C,'community %'!$B$64)),"")</f>
        <v/>
      </c>
      <c r="S69" s="64"/>
      <c r="T69" s="98" t="s">
        <v>1009</v>
      </c>
      <c r="U69" s="167" t="str">
        <f>IFERROR(SUM(SUMIFS('caseload data'!E:E,'caseload data'!$C:$C,'community %'!$T$64,'caseload data'!$D:$D,"SPO",'caseload data'!$B:$B,{"licence","community"}))/SUM(SUMIFS('caseload data'!E:E,'caseload data'!$B:$B,{"licence","community"},'caseload data'!$C:$C,'community %'!$T$64)),"")</f>
        <v/>
      </c>
      <c r="V69" s="167" t="str">
        <f>IFERROR(SUM(SUMIFS('caseload data'!F:F,'caseload data'!$C:$C,'community %'!$T$64,'caseload data'!$D:$D,"SPO",'caseload data'!$B:$B,{"licence","community"}))/SUM(SUMIFS('caseload data'!F:F,'caseload data'!$B:$B,{"licence","community"},'caseload data'!$C:$C,'community %'!$T$64)),"")</f>
        <v/>
      </c>
      <c r="W69" s="167" t="str">
        <f>IFERROR(SUM(SUMIFS('caseload data'!G:G,'caseload data'!$C:$C,'community %'!$T$64,'caseload data'!$D:$D,"SPO",'caseload data'!$B:$B,{"licence","community"}))/SUM(SUMIFS('caseload data'!G:G,'caseload data'!$B:$B,{"licence","community"},'caseload data'!$C:$C,'community %'!$T$64)),"")</f>
        <v/>
      </c>
      <c r="X69" s="167" t="str">
        <f>IFERROR(SUM(SUMIFS('caseload data'!H:H,'caseload data'!$C:$C,'community %'!$T$64,'caseload data'!$D:$D,"SPO",'caseload data'!$B:$B,{"licence","community"}))/SUM(SUMIFS('caseload data'!H:H,'caseload data'!$B:$B,{"licence","community"},'caseload data'!$C:$C,'community %'!$T$64)),"")</f>
        <v/>
      </c>
      <c r="Y69" s="167" t="str">
        <f>IFERROR(SUM(SUMIFS('caseload data'!I:I,'caseload data'!$C:$C,'community %'!$T$64,'caseload data'!$D:$D,"SPO",'caseload data'!$B:$B,{"licence","community"}))/SUM(SUMIFS('caseload data'!I:I,'caseload data'!$B:$B,{"licence","community"},'caseload data'!$C:$C,'community %'!$T$64)),"")</f>
        <v/>
      </c>
      <c r="Z69" s="167" t="str">
        <f>IFERROR(SUM(SUMIFS('caseload data'!J:J,'caseload data'!$C:$C,'community %'!$T$64,'caseload data'!$D:$D,"SPO",'caseload data'!$B:$B,{"licence","community"}))/SUM(SUMIFS('caseload data'!J:J,'caseload data'!$B:$B,{"licence","community"},'caseload data'!$C:$C,'community %'!$T$64)),"")</f>
        <v/>
      </c>
      <c r="AA69" s="167" t="str">
        <f>IFERROR(SUM(SUMIFS('caseload data'!K:K,'caseload data'!$C:$C,'community %'!$T$64,'caseload data'!$D:$D,"SPO",'caseload data'!$B:$B,{"licence","community"}))/SUM(SUMIFS('caseload data'!K:K,'caseload data'!$B:$B,{"licence","community"},'caseload data'!$C:$C,'community %'!$T$64)),"")</f>
        <v/>
      </c>
      <c r="AB69" s="167" t="str">
        <f>IFERROR(SUM(SUMIFS('caseload data'!L:L,'caseload data'!$C:$C,'community %'!$T$64,'caseload data'!$D:$D,"SPO",'caseload data'!$B:$B,{"licence","community"}))/SUM(SUMIFS('caseload data'!L:L,'caseload data'!$B:$B,{"licence","community"},'caseload data'!$C:$C,'community %'!$T$64)),"")</f>
        <v/>
      </c>
      <c r="AC69" s="167" t="str">
        <f>IFERROR(SUM(SUMIFS('caseload data'!M:M,'caseload data'!$C:$C,'community %'!$T$64,'caseload data'!$D:$D,"SPO",'caseload data'!$B:$B,{"licence","community"}))/SUM(SUMIFS('caseload data'!M:M,'caseload data'!$B:$B,{"licence","community"},'caseload data'!$C:$C,'community %'!$T$64)),"")</f>
        <v/>
      </c>
      <c r="AD69" s="167" t="str">
        <f>IFERROR(SUM(SUMIFS('caseload data'!N:N,'caseload data'!$C:$C,'community %'!$T$64,'caseload data'!$D:$D,"SPO",'caseload data'!$B:$B,{"licence","community"}))/SUM(SUMIFS('caseload data'!N:N,'caseload data'!$B:$B,{"licence","community"},'caseload data'!$C:$C,'community %'!$T$64)),"")</f>
        <v/>
      </c>
      <c r="AE69" s="167" t="str">
        <f>IFERROR(SUM(SUMIFS('caseload data'!O:O,'caseload data'!$C:$C,'community %'!$T$64,'caseload data'!$D:$D,"SPO",'caseload data'!$B:$B,{"licence","community"}))/SUM(SUMIFS('caseload data'!O:O,'caseload data'!$B:$B,{"licence","community"},'caseload data'!$C:$C,'community %'!$T$64)),"")</f>
        <v/>
      </c>
      <c r="AF69" s="167" t="str">
        <f>IFERROR(SUM(SUMIFS('caseload data'!P:P,'caseload data'!$C:$C,'community %'!$T$64,'caseload data'!$D:$D,"SPO",'caseload data'!$B:$B,{"licence","community"}))/SUM(SUMIFS('caseload data'!P:P,'caseload data'!$B:$B,{"licence","community"},'caseload data'!$C:$C,'community %'!$T$64)),"")</f>
        <v/>
      </c>
      <c r="AG69" s="167" t="str">
        <f>IFERROR(SUM(SUMIFS('caseload data'!Q:Q,'caseload data'!$C:$C,'community %'!$T$64,'caseload data'!$D:$D,"SPO",'caseload data'!$B:$B,{"licence","community"}))/SUM(SUMIFS('caseload data'!Q:Q,'caseload data'!$B:$B,{"licence","community"},'caseload data'!$C:$C,'community %'!$T$64)),"")</f>
        <v/>
      </c>
      <c r="AH69" s="167" t="str">
        <f>IFERROR(SUM(SUMIFS('caseload data'!R:R,'caseload data'!$C:$C,'community %'!$T$64,'caseload data'!$D:$D,"SPO",'caseload data'!$B:$B,{"licence","community"}))/SUM(SUMIFS('caseload data'!R:R,'caseload data'!$B:$B,{"licence","community"},'caseload data'!$C:$C,'community %'!$T$64)),"")</f>
        <v/>
      </c>
      <c r="AI69" s="167" t="str">
        <f>IFERROR(SUM(SUMIFS('caseload data'!S:S,'caseload data'!$C:$C,'community %'!$T$64,'caseload data'!$D:$D,"SPO",'caseload data'!$B:$B,{"licence","community"}))/SUM(SUMIFS('caseload data'!S:S,'caseload data'!$B:$B,{"licence","community"},'caseload data'!$C:$C,'community %'!$T$64)),"")</f>
        <v/>
      </c>
      <c r="AJ69" s="167" t="str">
        <f>IFERROR(SUM(SUMIFS('caseload data'!T:T,'caseload data'!$C:$C,'community %'!$T$64,'caseload data'!$D:$D,"SPO",'caseload data'!$B:$B,{"licence","community"}))/SUM(SUMIFS('caseload data'!T:T,'caseload data'!$B:$B,{"licence","community"},'caseload data'!$C:$C,'community %'!$T$64)),"")</f>
        <v/>
      </c>
    </row>
    <row r="71" spans="2:36" ht="22.5" customHeight="1" x14ac:dyDescent="0.15">
      <c r="B71" s="289">
        <f>HLOOKUP($B$5,Region_Table,20,0)</f>
        <v>0</v>
      </c>
      <c r="C71" s="507" t="s">
        <v>1139</v>
      </c>
      <c r="D71" s="508"/>
      <c r="E71" s="508"/>
      <c r="F71" s="508"/>
      <c r="G71" s="508"/>
      <c r="H71" s="508"/>
      <c r="I71" s="508"/>
      <c r="J71" s="508"/>
      <c r="K71" s="508"/>
      <c r="L71" s="508"/>
      <c r="M71" s="537"/>
      <c r="N71" s="537"/>
      <c r="O71" s="538"/>
      <c r="P71" s="510" cm="1">
        <f t="array" ref="P71">SUM(SUMIFS('caseload data'!V:V,'caseload data'!B:B,{"licence","community"},'caseload data'!$C:$C,B71))</f>
        <v>0</v>
      </c>
      <c r="Q71" s="527"/>
      <c r="R71" s="528"/>
      <c r="T71" s="289">
        <f>HLOOKUP($B$5,Region_Table,21,0)</f>
        <v>0</v>
      </c>
      <c r="U71" s="507" t="s">
        <v>1139</v>
      </c>
      <c r="V71" s="508"/>
      <c r="W71" s="508"/>
      <c r="X71" s="508"/>
      <c r="Y71" s="508"/>
      <c r="Z71" s="508"/>
      <c r="AA71" s="508"/>
      <c r="AB71" s="508"/>
      <c r="AC71" s="508"/>
      <c r="AD71" s="508"/>
      <c r="AE71" s="537"/>
      <c r="AF71" s="537"/>
      <c r="AG71" s="538"/>
      <c r="AH71" s="510" cm="1">
        <f t="array" ref="AH71">SUM(SUMIFS('caseload data'!V:V,'caseload data'!B:B,{"licence","community"},'caseload data'!$C:$C,T71))</f>
        <v>0</v>
      </c>
      <c r="AI71" s="527"/>
      <c r="AJ71" s="528"/>
    </row>
    <row r="72" spans="2:36" x14ac:dyDescent="0.15">
      <c r="B72" s="95" t="s">
        <v>1005</v>
      </c>
      <c r="C72" s="38" t="s">
        <v>869</v>
      </c>
      <c r="D72" s="38" t="s">
        <v>870</v>
      </c>
      <c r="E72" s="38" t="s">
        <v>871</v>
      </c>
      <c r="F72" s="38" t="s">
        <v>872</v>
      </c>
      <c r="G72" s="38" t="s">
        <v>873</v>
      </c>
      <c r="H72" s="38" t="s">
        <v>874</v>
      </c>
      <c r="I72" s="38" t="s">
        <v>875</v>
      </c>
      <c r="J72" s="38" t="s">
        <v>876</v>
      </c>
      <c r="K72" s="38" t="s">
        <v>877</v>
      </c>
      <c r="L72" s="38" t="s">
        <v>878</v>
      </c>
      <c r="M72" s="38" t="s">
        <v>879</v>
      </c>
      <c r="N72" s="38" t="s">
        <v>880</v>
      </c>
      <c r="O72" s="38" t="s">
        <v>881</v>
      </c>
      <c r="P72" s="38" t="s">
        <v>882</v>
      </c>
      <c r="Q72" s="38" t="s">
        <v>883</v>
      </c>
      <c r="R72" s="38" t="s">
        <v>884</v>
      </c>
      <c r="T72" s="95" t="s">
        <v>1005</v>
      </c>
      <c r="U72" s="38" t="s">
        <v>869</v>
      </c>
      <c r="V72" s="38" t="s">
        <v>870</v>
      </c>
      <c r="W72" s="38" t="s">
        <v>871</v>
      </c>
      <c r="X72" s="38" t="s">
        <v>872</v>
      </c>
      <c r="Y72" s="38" t="s">
        <v>873</v>
      </c>
      <c r="Z72" s="38" t="s">
        <v>874</v>
      </c>
      <c r="AA72" s="38" t="s">
        <v>875</v>
      </c>
      <c r="AB72" s="38" t="s">
        <v>876</v>
      </c>
      <c r="AC72" s="38" t="s">
        <v>877</v>
      </c>
      <c r="AD72" s="38" t="s">
        <v>878</v>
      </c>
      <c r="AE72" s="38" t="s">
        <v>879</v>
      </c>
      <c r="AF72" s="38" t="s">
        <v>880</v>
      </c>
      <c r="AG72" s="38" t="s">
        <v>881</v>
      </c>
      <c r="AH72" s="38" t="s">
        <v>882</v>
      </c>
      <c r="AI72" s="38" t="s">
        <v>883</v>
      </c>
      <c r="AJ72" s="38" t="s">
        <v>884</v>
      </c>
    </row>
    <row r="73" spans="2:36" x14ac:dyDescent="0.15">
      <c r="B73" s="96" t="s">
        <v>1002</v>
      </c>
      <c r="C73" s="167" t="str">
        <f>IFERROR(SUM(SUMIFS('caseload data'!E:E,'caseload data'!$C:$C,'community %'!$B$71,'caseload data'!$D:$D,"PO",'caseload data'!$B:$B,{"licence","community"}))/SUM(SUMIFS('caseload data'!E:E,'caseload data'!$B:$B,{"licence","community"},'caseload data'!$C:$C,'community %'!$B$71)),"")</f>
        <v/>
      </c>
      <c r="D73" s="167" t="str">
        <f>IFERROR(SUM(SUMIFS('caseload data'!F:F,'caseload data'!$C:$C,'community %'!$B$71,'caseload data'!$D:$D,"PO",'caseload data'!$B:$B,{"licence","community"}))/SUM(SUMIFS('caseload data'!F:F,'caseload data'!$B:$B,{"licence","community"},'caseload data'!$C:$C,'community %'!$B$71)),"")</f>
        <v/>
      </c>
      <c r="E73" s="167" t="str">
        <f>IFERROR(SUM(SUMIFS('caseload data'!G:G,'caseload data'!$C:$C,'community %'!$B$71,'caseload data'!$D:$D,"PO",'caseload data'!$B:$B,{"licence","community"}))/SUM(SUMIFS('caseload data'!G:G,'caseload data'!$B:$B,{"licence","community"},'caseload data'!$C:$C,'community %'!$B$71)),"")</f>
        <v/>
      </c>
      <c r="F73" s="167" t="str">
        <f>IFERROR(SUM(SUMIFS('caseload data'!H:H,'caseload data'!$C:$C,'community %'!$B$71,'caseload data'!$D:$D,"PO",'caseload data'!$B:$B,{"licence","community"}))/SUM(SUMIFS('caseload data'!H:H,'caseload data'!$B:$B,{"licence","community"},'caseload data'!$C:$C,'community %'!$B$71)),"")</f>
        <v/>
      </c>
      <c r="G73" s="167" t="str">
        <f>IFERROR(SUM(SUMIFS('caseload data'!I:I,'caseload data'!$C:$C,'community %'!$B$71,'caseload data'!$D:$D,"PO",'caseload data'!$B:$B,{"licence","community"}))/SUM(SUMIFS('caseload data'!I:I,'caseload data'!$B:$B,{"licence","community"},'caseload data'!$C:$C,'community %'!$B$71)),"")</f>
        <v/>
      </c>
      <c r="H73" s="167" t="str">
        <f>IFERROR(SUM(SUMIFS('caseload data'!J:J,'caseload data'!$C:$C,'community %'!$B$71,'caseload data'!$D:$D,"PO",'caseload data'!$B:$B,{"licence","community"}))/SUM(SUMIFS('caseload data'!J:J,'caseload data'!$B:$B,{"licence","community"},'caseload data'!$C:$C,'community %'!$B$71)),"")</f>
        <v/>
      </c>
      <c r="I73" s="167" t="str">
        <f>IFERROR(SUM(SUMIFS('caseload data'!K:K,'caseload data'!$C:$C,'community %'!$B$71,'caseload data'!$D:$D,"PO",'caseload data'!$B:$B,{"licence","community"}))/SUM(SUMIFS('caseload data'!K:K,'caseload data'!$B:$B,{"licence","community"},'caseload data'!$C:$C,'community %'!$B$71)),"")</f>
        <v/>
      </c>
      <c r="J73" s="167" t="str">
        <f>IFERROR(SUM(SUMIFS('caseload data'!L:L,'caseload data'!$C:$C,'community %'!$B$71,'caseload data'!$D:$D,"PO",'caseload data'!$B:$B,{"licence","community"}))/SUM(SUMIFS('caseload data'!L:L,'caseload data'!$B:$B,{"licence","community"},'caseload data'!$C:$C,'community %'!$B$71)),"")</f>
        <v/>
      </c>
      <c r="K73" s="167" t="str">
        <f>IFERROR(SUM(SUMIFS('caseload data'!M:M,'caseload data'!$C:$C,'community %'!$B$71,'caseload data'!$D:$D,"PO",'caseload data'!$B:$B,{"licence","community"}))/SUM(SUMIFS('caseload data'!M:M,'caseload data'!$B:$B,{"licence","community"},'caseload data'!$C:$C,'community %'!$B$71)),"")</f>
        <v/>
      </c>
      <c r="L73" s="167" t="str">
        <f>IFERROR(SUM(SUMIFS('caseload data'!N:N,'caseload data'!$C:$C,'community %'!$B$71,'caseload data'!$D:$D,"PO",'caseload data'!$B:$B,{"licence","community"}))/SUM(SUMIFS('caseload data'!N:N,'caseload data'!$B:$B,{"licence","community"},'caseload data'!$C:$C,'community %'!$B$71)),"")</f>
        <v/>
      </c>
      <c r="M73" s="167" t="str">
        <f>IFERROR(SUM(SUMIFS('caseload data'!O:O,'caseload data'!$C:$C,'community %'!$B$71,'caseload data'!$D:$D,"PO",'caseload data'!$B:$B,{"licence","community"}))/SUM(SUMIFS('caseload data'!O:O,'caseload data'!$B:$B,{"licence","community"},'caseload data'!$C:$C,'community %'!$B$71)),"")</f>
        <v/>
      </c>
      <c r="N73" s="167" t="str">
        <f>IFERROR(SUM(SUMIFS('caseload data'!P:P,'caseload data'!$C:$C,'community %'!$B$71,'caseload data'!$D:$D,"PO",'caseload data'!$B:$B,{"licence","community"}))/SUM(SUMIFS('caseload data'!P:P,'caseload data'!$B:$B,{"licence","community"},'caseload data'!$C:$C,'community %'!$B$71)),"")</f>
        <v/>
      </c>
      <c r="O73" s="167" t="str">
        <f>IFERROR(SUM(SUMIFS('caseload data'!Q:Q,'caseload data'!$C:$C,'community %'!$B$71,'caseload data'!$D:$D,"PO",'caseload data'!$B:$B,{"licence","community"}))/SUM(SUMIFS('caseload data'!Q:Q,'caseload data'!$B:$B,{"licence","community"},'caseload data'!$C:$C,'community %'!$B$71)),"")</f>
        <v/>
      </c>
      <c r="P73" s="167" t="str">
        <f>IFERROR(SUM(SUMIFS('caseload data'!R:R,'caseload data'!$C:$C,'community %'!$B$71,'caseload data'!$D:$D,"PO",'caseload data'!$B:$B,{"licence","community"}))/SUM(SUMIFS('caseload data'!R:R,'caseload data'!$B:$B,{"licence","community"},'caseload data'!$C:$C,'community %'!$B$71)),"")</f>
        <v/>
      </c>
      <c r="Q73" s="167" t="str">
        <f>IFERROR(SUM(SUMIFS('caseload data'!S:S,'caseload data'!$C:$C,'community %'!$B$71,'caseload data'!$D:$D,"PO",'caseload data'!$B:$B,{"licence","community"}))/SUM(SUMIFS('caseload data'!S:S,'caseload data'!$B:$B,{"licence","community"},'caseload data'!$C:$C,'community %'!$B$71)),"")</f>
        <v/>
      </c>
      <c r="R73" s="167" t="str">
        <f>IFERROR(SUM(SUMIFS('caseload data'!T:T,'caseload data'!$C:$C,'community %'!$B$71,'caseload data'!$D:$D,"PO",'caseload data'!$B:$B,{"licence","community"}))/SUM(SUMIFS('caseload data'!T:T,'caseload data'!$B:$B,{"licence","community"},'caseload data'!$C:$C,'community %'!$B$71)),"")</f>
        <v/>
      </c>
      <c r="T73" s="96" t="s">
        <v>1002</v>
      </c>
      <c r="U73" s="167" t="str" cm="1">
        <f t="array" ref="U73">IFERROR(SUM(SUMIFS('caseload data'!E:E,'caseload data'!$C:$C,'community %'!$T$71,'caseload data'!$D:$D,"PO",'caseload data'!$B:$B,{"licence","community"}))/SUM(SUMIFS('caseload data'!E:E,'caseload data'!$B:$B,{"licence","community"},'caseload data'!$C:$C,'community %'!$T$71)),"")</f>
        <v/>
      </c>
      <c r="V73" s="167" t="str" cm="1">
        <f t="array" ref="V73">IFERROR(SUM(SUMIFS('caseload data'!F:F,'caseload data'!$C:$C,'community %'!$T$71,'caseload data'!$D:$D,"PO",'caseload data'!$B:$B,{"licence","community"}))/SUM(SUMIFS('caseload data'!F:F,'caseload data'!$B:$B,{"licence","community"},'caseload data'!$C:$C,'community %'!$T$71)),"")</f>
        <v/>
      </c>
      <c r="W73" s="167" t="str" cm="1">
        <f t="array" ref="W73">IFERROR(SUM(SUMIFS('caseload data'!G:G,'caseload data'!$C:$C,'community %'!$T$71,'caseload data'!$D:$D,"PO",'caseload data'!$B:$B,{"licence","community"}))/SUM(SUMIFS('caseload data'!G:G,'caseload data'!$B:$B,{"licence","community"},'caseload data'!$C:$C,'community %'!$T$71)),"")</f>
        <v/>
      </c>
      <c r="X73" s="167" t="str" cm="1">
        <f t="array" ref="X73">IFERROR(SUM(SUMIFS('caseload data'!H:H,'caseload data'!$C:$C,'community %'!$T$71,'caseload data'!$D:$D,"PO",'caseload data'!$B:$B,{"licence","community"}))/SUM(SUMIFS('caseload data'!H:H,'caseload data'!$B:$B,{"licence","community"},'caseload data'!$C:$C,'community %'!$T$71)),"")</f>
        <v/>
      </c>
      <c r="Y73" s="167" t="str" cm="1">
        <f t="array" ref="Y73">IFERROR(SUM(SUMIFS('caseload data'!I:I,'caseload data'!$C:$C,'community %'!$T$71,'caseload data'!$D:$D,"PO",'caseload data'!$B:$B,{"licence","community"}))/SUM(SUMIFS('caseload data'!I:I,'caseload data'!$B:$B,{"licence","community"},'caseload data'!$C:$C,'community %'!$T$71)),"")</f>
        <v/>
      </c>
      <c r="Z73" s="167" t="str" cm="1">
        <f t="array" ref="Z73">IFERROR(SUM(SUMIFS('caseload data'!J:J,'caseload data'!$C:$C,'community %'!$T$71,'caseload data'!$D:$D,"PO",'caseload data'!$B:$B,{"licence","community"}))/SUM(SUMIFS('caseload data'!J:J,'caseload data'!$B:$B,{"licence","community"},'caseload data'!$C:$C,'community %'!$T$71)),"")</f>
        <v/>
      </c>
      <c r="AA73" s="167" t="str" cm="1">
        <f t="array" ref="AA73">IFERROR(SUM(SUMIFS('caseload data'!K:K,'caseload data'!$C:$C,'community %'!$T$71,'caseload data'!$D:$D,"PO",'caseload data'!$B:$B,{"licence","community"}))/SUM(SUMIFS('caseload data'!K:K,'caseload data'!$B:$B,{"licence","community"},'caseload data'!$C:$C,'community %'!$T$71)),"")</f>
        <v/>
      </c>
      <c r="AB73" s="167" t="str" cm="1">
        <f t="array" ref="AB73">IFERROR(SUM(SUMIFS('caseload data'!L:L,'caseload data'!$C:$C,'community %'!$T$71,'caseload data'!$D:$D,"PO",'caseload data'!$B:$B,{"licence","community"}))/SUM(SUMIFS('caseload data'!L:L,'caseload data'!$B:$B,{"licence","community"},'caseload data'!$C:$C,'community %'!$T$71)),"")</f>
        <v/>
      </c>
      <c r="AC73" s="167" t="str" cm="1">
        <f t="array" ref="AC73">IFERROR(SUM(SUMIFS('caseload data'!M:M,'caseload data'!$C:$C,'community %'!$T$71,'caseload data'!$D:$D,"PO",'caseload data'!$B:$B,{"licence","community"}))/SUM(SUMIFS('caseload data'!M:M,'caseload data'!$B:$B,{"licence","community"},'caseload data'!$C:$C,'community %'!$T$71)),"")</f>
        <v/>
      </c>
      <c r="AD73" s="167" t="str" cm="1">
        <f t="array" ref="AD73">IFERROR(SUM(SUMIFS('caseload data'!N:N,'caseload data'!$C:$C,'community %'!$T$71,'caseload data'!$D:$D,"PO",'caseload data'!$B:$B,{"licence","community"}))/SUM(SUMIFS('caseload data'!N:N,'caseload data'!$B:$B,{"licence","community"},'caseload data'!$C:$C,'community %'!$T$71)),"")</f>
        <v/>
      </c>
      <c r="AE73" s="167" t="str" cm="1">
        <f t="array" ref="AE73">IFERROR(SUM(SUMIFS('caseload data'!O:O,'caseload data'!$C:$C,'community %'!$T$71,'caseload data'!$D:$D,"PO",'caseload data'!$B:$B,{"licence","community"}))/SUM(SUMIFS('caseload data'!O:O,'caseload data'!$B:$B,{"licence","community"},'caseload data'!$C:$C,'community %'!$T$71)),"")</f>
        <v/>
      </c>
      <c r="AF73" s="167" t="str" cm="1">
        <f t="array" ref="AF73">IFERROR(SUM(SUMIFS('caseload data'!P:P,'caseload data'!$C:$C,'community %'!$T$71,'caseload data'!$D:$D,"PO",'caseload data'!$B:$B,{"licence","community"}))/SUM(SUMIFS('caseload data'!P:P,'caseload data'!$B:$B,{"licence","community"},'caseload data'!$C:$C,'community %'!$T$71)),"")</f>
        <v/>
      </c>
      <c r="AG73" s="167" t="str" cm="1">
        <f t="array" ref="AG73">IFERROR(SUM(SUMIFS('caseload data'!Q:Q,'caseload data'!$C:$C,'community %'!$T$71,'caseload data'!$D:$D,"PO",'caseload data'!$B:$B,{"licence","community"}))/SUM(SUMIFS('caseload data'!Q:Q,'caseload data'!$B:$B,{"licence","community"},'caseload data'!$C:$C,'community %'!$T$71)),"")</f>
        <v/>
      </c>
      <c r="AH73" s="167" t="str" cm="1">
        <f t="array" ref="AH73">IFERROR(SUM(SUMIFS('caseload data'!R:R,'caseload data'!$C:$C,'community %'!$T$71,'caseload data'!$D:$D,"PO",'caseload data'!$B:$B,{"licence","community"}))/SUM(SUMIFS('caseload data'!R:R,'caseload data'!$B:$B,{"licence","community"},'caseload data'!$C:$C,'community %'!$T$71)),"")</f>
        <v/>
      </c>
      <c r="AI73" s="167" t="str" cm="1">
        <f t="array" ref="AI73">IFERROR(SUM(SUMIFS('caseload data'!S:S,'caseload data'!$C:$C,'community %'!$T$71,'caseload data'!$D:$D,"PO",'caseload data'!$B:$B,{"licence","community"}))/SUM(SUMIFS('caseload data'!S:S,'caseload data'!$B:$B,{"licence","community"},'caseload data'!$C:$C,'community %'!$T$71)),"")</f>
        <v/>
      </c>
      <c r="AJ73" s="167" t="str" cm="1">
        <f t="array" ref="AJ73">IFERROR(SUM(SUMIFS('caseload data'!T:T,'caseload data'!$C:$C,'community %'!$T$71,'caseload data'!$D:$D,"PO",'caseload data'!$B:$B,{"licence","community"}))/SUM(SUMIFS('caseload data'!T:T,'caseload data'!$B:$B,{"licence","community"},'caseload data'!$C:$C,'community %'!$T$71)),"")</f>
        <v/>
      </c>
    </row>
    <row r="74" spans="2:36" x14ac:dyDescent="0.15">
      <c r="B74" s="97" t="s">
        <v>1007</v>
      </c>
      <c r="C74" s="167" t="str">
        <f>IFERROR(SUM(SUMIFS('caseload data'!E:E,'caseload data'!$C:$C,'community %'!$B$71,'caseload data'!$D:$D,"PSO",'caseload data'!$B:$B,{"licence","community"}))/SUM(SUMIFS('caseload data'!E:E,'caseload data'!$B:$B,{"licence","community"},'caseload data'!$C:$C,'community %'!$B$71)),"")</f>
        <v/>
      </c>
      <c r="D74" s="167" t="str">
        <f>IFERROR(SUM(SUMIFS('caseload data'!F:F,'caseload data'!$C:$C,'community %'!$B$71,'caseload data'!$D:$D,"PSO",'caseload data'!$B:$B,{"licence","community"}))/SUM(SUMIFS('caseload data'!F:F,'caseload data'!$B:$B,{"licence","community"},'caseload data'!$C:$C,'community %'!$B$71)),"")</f>
        <v/>
      </c>
      <c r="E74" s="167" t="str">
        <f>IFERROR(SUM(SUMIFS('caseload data'!G:G,'caseload data'!$C:$C,'community %'!$B$71,'caseload data'!$D:$D,"PSO",'caseload data'!$B:$B,{"licence","community"}))/SUM(SUMIFS('caseload data'!G:G,'caseload data'!$B:$B,{"licence","community"},'caseload data'!$C:$C,'community %'!$B$71)),"")</f>
        <v/>
      </c>
      <c r="F74" s="167" t="str">
        <f>IFERROR(SUM(SUMIFS('caseload data'!H:H,'caseload data'!$C:$C,'community %'!$B$71,'caseload data'!$D:$D,"PSO",'caseload data'!$B:$B,{"licence","community"}))/SUM(SUMIFS('caseload data'!H:H,'caseload data'!$B:$B,{"licence","community"},'caseload data'!$C:$C,'community %'!$B$71)),"")</f>
        <v/>
      </c>
      <c r="G74" s="167" t="str">
        <f>IFERROR(SUM(SUMIFS('caseload data'!I:I,'caseload data'!$C:$C,'community %'!$B$71,'caseload data'!$D:$D,"PSO",'caseload data'!$B:$B,{"licence","community"}))/SUM(SUMIFS('caseload data'!I:I,'caseload data'!$B:$B,{"licence","community"},'caseload data'!$C:$C,'community %'!$B$71)),"")</f>
        <v/>
      </c>
      <c r="H74" s="167" t="str">
        <f>IFERROR(SUM(SUMIFS('caseload data'!J:J,'caseload data'!$C:$C,'community %'!$B$71,'caseload data'!$D:$D,"PSO",'caseload data'!$B:$B,{"licence","community"}))/SUM(SUMIFS('caseload data'!J:J,'caseload data'!$B:$B,{"licence","community"},'caseload data'!$C:$C,'community %'!$B$71)),"")</f>
        <v/>
      </c>
      <c r="I74" s="167" t="str">
        <f>IFERROR(SUM(SUMIFS('caseload data'!K:K,'caseload data'!$C:$C,'community %'!$B$71,'caseload data'!$D:$D,"PSO",'caseload data'!$B:$B,{"licence","community"}))/SUM(SUMIFS('caseload data'!K:K,'caseload data'!$B:$B,{"licence","community"},'caseload data'!$C:$C,'community %'!$B$71)),"")</f>
        <v/>
      </c>
      <c r="J74" s="167" t="str">
        <f>IFERROR(SUM(SUMIFS('caseload data'!L:L,'caseload data'!$C:$C,'community %'!$B$71,'caseload data'!$D:$D,"PSO",'caseload data'!$B:$B,{"licence","community"}))/SUM(SUMIFS('caseload data'!L:L,'caseload data'!$B:$B,{"licence","community"},'caseload data'!$C:$C,'community %'!$B$71)),"")</f>
        <v/>
      </c>
      <c r="K74" s="167" t="str">
        <f>IFERROR(SUM(SUMIFS('caseload data'!M:M,'caseload data'!$C:$C,'community %'!$B$71,'caseload data'!$D:$D,"PSO",'caseload data'!$B:$B,{"licence","community"}))/SUM(SUMIFS('caseload data'!M:M,'caseload data'!$B:$B,{"licence","community"},'caseload data'!$C:$C,'community %'!$B$71)),"")</f>
        <v/>
      </c>
      <c r="L74" s="167" t="str">
        <f>IFERROR(SUM(SUMIFS('caseload data'!N:N,'caseload data'!$C:$C,'community %'!$B$71,'caseload data'!$D:$D,"PSO",'caseload data'!$B:$B,{"licence","community"}))/SUM(SUMIFS('caseload data'!N:N,'caseload data'!$B:$B,{"licence","community"},'caseload data'!$C:$C,'community %'!$B$71)),"")</f>
        <v/>
      </c>
      <c r="M74" s="167" t="str">
        <f>IFERROR(SUM(SUMIFS('caseload data'!O:O,'caseload data'!$C:$C,'community %'!$B$71,'caseload data'!$D:$D,"PSO",'caseload data'!$B:$B,{"licence","community"}))/SUM(SUMIFS('caseload data'!O:O,'caseload data'!$B:$B,{"licence","community"},'caseload data'!$C:$C,'community %'!$B$71)),"")</f>
        <v/>
      </c>
      <c r="N74" s="167" t="str">
        <f>IFERROR(SUM(SUMIFS('caseload data'!P:P,'caseload data'!$C:$C,'community %'!$B$71,'caseload data'!$D:$D,"PSO",'caseload data'!$B:$B,{"licence","community"}))/SUM(SUMIFS('caseload data'!P:P,'caseload data'!$B:$B,{"licence","community"},'caseload data'!$C:$C,'community %'!$B$71)),"")</f>
        <v/>
      </c>
      <c r="O74" s="167" t="str">
        <f>IFERROR(SUM(SUMIFS('caseload data'!Q:Q,'caseload data'!$C:$C,'community %'!$B$71,'caseload data'!$D:$D,"PSO",'caseload data'!$B:$B,{"licence","community"}))/SUM(SUMIFS('caseload data'!Q:Q,'caseload data'!$B:$B,{"licence","community"},'caseload data'!$C:$C,'community %'!$B$71)),"")</f>
        <v/>
      </c>
      <c r="P74" s="167" t="str">
        <f>IFERROR(SUM(SUMIFS('caseload data'!R:R,'caseload data'!$C:$C,'community %'!$B$71,'caseload data'!$D:$D,"PSO",'caseload data'!$B:$B,{"licence","community"}))/SUM(SUMIFS('caseload data'!R:R,'caseload data'!$B:$B,{"licence","community"},'caseload data'!$C:$C,'community %'!$B$71)),"")</f>
        <v/>
      </c>
      <c r="Q74" s="167" t="str">
        <f>IFERROR(SUM(SUMIFS('caseload data'!S:S,'caseload data'!$C:$C,'community %'!$B$71,'caseload data'!$D:$D,"PSO",'caseload data'!$B:$B,{"licence","community"}))/SUM(SUMIFS('caseload data'!S:S,'caseload data'!$B:$B,{"licence","community"},'caseload data'!$C:$C,'community %'!$B$71)),"")</f>
        <v/>
      </c>
      <c r="R74" s="167" t="str">
        <f>IFERROR(SUM(SUMIFS('caseload data'!T:T,'caseload data'!$C:$C,'community %'!$B$71,'caseload data'!$D:$D,"PSO",'caseload data'!$B:$B,{"licence","community"}))/SUM(SUMIFS('caseload data'!T:T,'caseload data'!$B:$B,{"licence","community"},'caseload data'!$C:$C,'community %'!$B$71)),"")</f>
        <v/>
      </c>
      <c r="T74" s="97" t="s">
        <v>1007</v>
      </c>
      <c r="U74" s="167" t="str" cm="1">
        <f t="array" ref="U74">IFERROR(SUM(SUMIFS('caseload data'!E:E,'caseload data'!$C:$C,'community %'!$T$71,'caseload data'!$D:$D,"PSO",'caseload data'!$B:$B,{"licence","community"}))/SUM(SUMIFS('caseload data'!E:E,'caseload data'!$B:$B,{"licence","community"},'caseload data'!$C:$C,'community %'!$T$71)),"")</f>
        <v/>
      </c>
      <c r="V74" s="167" t="str" cm="1">
        <f t="array" ref="V74">IFERROR(SUM(SUMIFS('caseload data'!F:F,'caseload data'!$C:$C,'community %'!$T$71,'caseload data'!$D:$D,"PSO",'caseload data'!$B:$B,{"licence","community"}))/SUM(SUMIFS('caseload data'!F:F,'caseload data'!$B:$B,{"licence","community"},'caseload data'!$C:$C,'community %'!$T$71)),"")</f>
        <v/>
      </c>
      <c r="W74" s="167" t="str" cm="1">
        <f t="array" ref="W74">IFERROR(SUM(SUMIFS('caseload data'!G:G,'caseload data'!$C:$C,'community %'!$T$71,'caseload data'!$D:$D,"PSO",'caseload data'!$B:$B,{"licence","community"}))/SUM(SUMIFS('caseload data'!G:G,'caseload data'!$B:$B,{"licence","community"},'caseload data'!$C:$C,'community %'!$T$71)),"")</f>
        <v/>
      </c>
      <c r="X74" s="167" t="str" cm="1">
        <f t="array" ref="X74">IFERROR(SUM(SUMIFS('caseload data'!H:H,'caseload data'!$C:$C,'community %'!$T$71,'caseload data'!$D:$D,"PSO",'caseload data'!$B:$B,{"licence","community"}))/SUM(SUMIFS('caseload data'!H:H,'caseload data'!$B:$B,{"licence","community"},'caseload data'!$C:$C,'community %'!$T$71)),"")</f>
        <v/>
      </c>
      <c r="Y74" s="167" t="str" cm="1">
        <f t="array" ref="Y74">IFERROR(SUM(SUMIFS('caseload data'!I:I,'caseload data'!$C:$C,'community %'!$T$71,'caseload data'!$D:$D,"PSO",'caseload data'!$B:$B,{"licence","community"}))/SUM(SUMIFS('caseload data'!I:I,'caseload data'!$B:$B,{"licence","community"},'caseload data'!$C:$C,'community %'!$T$71)),"")</f>
        <v/>
      </c>
      <c r="Z74" s="167" t="str" cm="1">
        <f t="array" ref="Z74">IFERROR(SUM(SUMIFS('caseload data'!J:J,'caseload data'!$C:$C,'community %'!$T$71,'caseload data'!$D:$D,"PSO",'caseload data'!$B:$B,{"licence","community"}))/SUM(SUMIFS('caseload data'!J:J,'caseload data'!$B:$B,{"licence","community"},'caseload data'!$C:$C,'community %'!$T$71)),"")</f>
        <v/>
      </c>
      <c r="AA74" s="167" t="str" cm="1">
        <f t="array" ref="AA74">IFERROR(SUM(SUMIFS('caseload data'!K:K,'caseload data'!$C:$C,'community %'!$T$71,'caseload data'!$D:$D,"PSO",'caseload data'!$B:$B,{"licence","community"}))/SUM(SUMIFS('caseload data'!K:K,'caseload data'!$B:$B,{"licence","community"},'caseload data'!$C:$C,'community %'!$T$71)),"")</f>
        <v/>
      </c>
      <c r="AB74" s="167" t="str" cm="1">
        <f t="array" ref="AB74">IFERROR(SUM(SUMIFS('caseload data'!L:L,'caseload data'!$C:$C,'community %'!$T$71,'caseload data'!$D:$D,"PSO",'caseload data'!$B:$B,{"licence","community"}))/SUM(SUMIFS('caseload data'!L:L,'caseload data'!$B:$B,{"licence","community"},'caseload data'!$C:$C,'community %'!$T$71)),"")</f>
        <v/>
      </c>
      <c r="AC74" s="167" t="str" cm="1">
        <f t="array" ref="AC74">IFERROR(SUM(SUMIFS('caseload data'!M:M,'caseload data'!$C:$C,'community %'!$T$71,'caseload data'!$D:$D,"PSO",'caseload data'!$B:$B,{"licence","community"}))/SUM(SUMIFS('caseload data'!M:M,'caseload data'!$B:$B,{"licence","community"},'caseload data'!$C:$C,'community %'!$T$71)),"")</f>
        <v/>
      </c>
      <c r="AD74" s="167" t="str" cm="1">
        <f t="array" ref="AD74">IFERROR(SUM(SUMIFS('caseload data'!N:N,'caseload data'!$C:$C,'community %'!$T$71,'caseload data'!$D:$D,"PSO",'caseload data'!$B:$B,{"licence","community"}))/SUM(SUMIFS('caseload data'!N:N,'caseload data'!$B:$B,{"licence","community"},'caseload data'!$C:$C,'community %'!$T$71)),"")</f>
        <v/>
      </c>
      <c r="AE74" s="167" t="str" cm="1">
        <f t="array" ref="AE74">IFERROR(SUM(SUMIFS('caseload data'!O:O,'caseload data'!$C:$C,'community %'!$T$71,'caseload data'!$D:$D,"PSO",'caseload data'!$B:$B,{"licence","community"}))/SUM(SUMIFS('caseload data'!O:O,'caseload data'!$B:$B,{"licence","community"},'caseload data'!$C:$C,'community %'!$T$71)),"")</f>
        <v/>
      </c>
      <c r="AF74" s="167" t="str" cm="1">
        <f t="array" ref="AF74">IFERROR(SUM(SUMIFS('caseload data'!P:P,'caseload data'!$C:$C,'community %'!$T$71,'caseload data'!$D:$D,"PSO",'caseload data'!$B:$B,{"licence","community"}))/SUM(SUMIFS('caseload data'!P:P,'caseload data'!$B:$B,{"licence","community"},'caseload data'!$C:$C,'community %'!$T$71)),"")</f>
        <v/>
      </c>
      <c r="AG74" s="167" t="str" cm="1">
        <f t="array" ref="AG74">IFERROR(SUM(SUMIFS('caseload data'!Q:Q,'caseload data'!$C:$C,'community %'!$T$71,'caseload data'!$D:$D,"PSO",'caseload data'!$B:$B,{"licence","community"}))/SUM(SUMIFS('caseload data'!Q:Q,'caseload data'!$B:$B,{"licence","community"},'caseload data'!$C:$C,'community %'!$T$71)),"")</f>
        <v/>
      </c>
      <c r="AH74" s="167" t="str" cm="1">
        <f t="array" ref="AH74">IFERROR(SUM(SUMIFS('caseload data'!R:R,'caseload data'!$C:$C,'community %'!$T$71,'caseload data'!$D:$D,"PSO",'caseload data'!$B:$B,{"licence","community"}))/SUM(SUMIFS('caseload data'!R:R,'caseload data'!$B:$B,{"licence","community"},'caseload data'!$C:$C,'community %'!$T$71)),"")</f>
        <v/>
      </c>
      <c r="AI74" s="167" t="str" cm="1">
        <f t="array" ref="AI74">IFERROR(SUM(SUMIFS('caseload data'!S:S,'caseload data'!$C:$C,'community %'!$T$71,'caseload data'!$D:$D,"PSO",'caseload data'!$B:$B,{"licence","community"}))/SUM(SUMIFS('caseload data'!S:S,'caseload data'!$B:$B,{"licence","community"},'caseload data'!$C:$C,'community %'!$T$71)),"")</f>
        <v/>
      </c>
      <c r="AJ74" s="167" t="str" cm="1">
        <f t="array" ref="AJ74">IFERROR(SUM(SUMIFS('caseload data'!T:T,'caseload data'!$C:$C,'community %'!$T$71,'caseload data'!$D:$D,"PSO",'caseload data'!$B:$B,{"licence","community"}))/SUM(SUMIFS('caseload data'!T:T,'caseload data'!$B:$B,{"licence","community"},'caseload data'!$C:$C,'community %'!$T$71)),"")</f>
        <v/>
      </c>
    </row>
    <row r="75" spans="2:36" x14ac:dyDescent="0.15">
      <c r="B75" s="97" t="s">
        <v>1008</v>
      </c>
      <c r="C75" s="167" t="str">
        <f>IFERROR(SUM(SUMIFS('caseload data'!E:E,'caseload data'!$C:$C,'community %'!$B$71,'caseload data'!$D:$D,"TPO",'caseload data'!$B:$B,{"licence","community"}))/SUM(SUMIFS('caseload data'!E:E,'caseload data'!$B:$B,{"licence","community"},'caseload data'!$C:$C,'community %'!$B$71)),"")</f>
        <v/>
      </c>
      <c r="D75" s="167" t="str">
        <f>IFERROR(SUM(SUMIFS('caseload data'!F:F,'caseload data'!$C:$C,'community %'!$B$71,'caseload data'!$D:$D,"TPO",'caseload data'!$B:$B,{"licence","community"}))/SUM(SUMIFS('caseload data'!F:F,'caseload data'!$B:$B,{"licence","community"},'caseload data'!$C:$C,'community %'!$B$71)),"")</f>
        <v/>
      </c>
      <c r="E75" s="167" t="str">
        <f>IFERROR(SUM(SUMIFS('caseload data'!G:G,'caseload data'!$C:$C,'community %'!$B$71,'caseload data'!$D:$D,"TPO",'caseload data'!$B:$B,{"licence","community"}))/SUM(SUMIFS('caseload data'!G:G,'caseload data'!$B:$B,{"licence","community"},'caseload data'!$C:$C,'community %'!$B$71)),"")</f>
        <v/>
      </c>
      <c r="F75" s="167" t="str">
        <f>IFERROR(SUM(SUMIFS('caseload data'!H:H,'caseload data'!$C:$C,'community %'!$B$71,'caseload data'!$D:$D,"TPO",'caseload data'!$B:$B,{"licence","community"}))/SUM(SUMIFS('caseload data'!H:H,'caseload data'!$B:$B,{"licence","community"},'caseload data'!$C:$C,'community %'!$B$71)),"")</f>
        <v/>
      </c>
      <c r="G75" s="167" t="str">
        <f>IFERROR(SUM(SUMIFS('caseload data'!I:I,'caseload data'!$C:$C,'community %'!$B$71,'caseload data'!$D:$D,"TPO",'caseload data'!$B:$B,{"licence","community"}))/SUM(SUMIFS('caseload data'!I:I,'caseload data'!$B:$B,{"licence","community"},'caseload data'!$C:$C,'community %'!$B$71)),"")</f>
        <v/>
      </c>
      <c r="H75" s="167" t="str">
        <f>IFERROR(SUM(SUMIFS('caseload data'!J:J,'caseload data'!$C:$C,'community %'!$B$71,'caseload data'!$D:$D,"TPO",'caseload data'!$B:$B,{"licence","community"}))/SUM(SUMIFS('caseload data'!J:J,'caseload data'!$B:$B,{"licence","community"},'caseload data'!$C:$C,'community %'!$B$71)),"")</f>
        <v/>
      </c>
      <c r="I75" s="167" t="str">
        <f>IFERROR(SUM(SUMIFS('caseload data'!K:K,'caseload data'!$C:$C,'community %'!$B$71,'caseload data'!$D:$D,"TPO",'caseload data'!$B:$B,{"licence","community"}))/SUM(SUMIFS('caseload data'!K:K,'caseload data'!$B:$B,{"licence","community"},'caseload data'!$C:$C,'community %'!$B$71)),"")</f>
        <v/>
      </c>
      <c r="J75" s="167" t="str">
        <f>IFERROR(SUM(SUMIFS('caseload data'!L:L,'caseload data'!$C:$C,'community %'!$B$71,'caseload data'!$D:$D,"TPO",'caseload data'!$B:$B,{"licence","community"}))/SUM(SUMIFS('caseload data'!L:L,'caseload data'!$B:$B,{"licence","community"},'caseload data'!$C:$C,'community %'!$B$71)),"")</f>
        <v/>
      </c>
      <c r="K75" s="167" t="str">
        <f>IFERROR(SUM(SUMIFS('caseload data'!M:M,'caseload data'!$C:$C,'community %'!$B$71,'caseload data'!$D:$D,"TPO",'caseload data'!$B:$B,{"licence","community"}))/SUM(SUMIFS('caseload data'!M:M,'caseload data'!$B:$B,{"licence","community"},'caseload data'!$C:$C,'community %'!$B$71)),"")</f>
        <v/>
      </c>
      <c r="L75" s="167" t="str">
        <f>IFERROR(SUM(SUMIFS('caseload data'!N:N,'caseload data'!$C:$C,'community %'!$B$71,'caseload data'!$D:$D,"TPO",'caseload data'!$B:$B,{"licence","community"}))/SUM(SUMIFS('caseload data'!N:N,'caseload data'!$B:$B,{"licence","community"},'caseload data'!$C:$C,'community %'!$B$71)),"")</f>
        <v/>
      </c>
      <c r="M75" s="167" t="str">
        <f>IFERROR(SUM(SUMIFS('caseload data'!O:O,'caseload data'!$C:$C,'community %'!$B$71,'caseload data'!$D:$D,"TPO",'caseload data'!$B:$B,{"licence","community"}))/SUM(SUMIFS('caseload data'!O:O,'caseload data'!$B:$B,{"licence","community"},'caseload data'!$C:$C,'community %'!$B$71)),"")</f>
        <v/>
      </c>
      <c r="N75" s="167" t="str">
        <f>IFERROR(SUM(SUMIFS('caseload data'!P:P,'caseload data'!$C:$C,'community %'!$B$71,'caseload data'!$D:$D,"TPO",'caseload data'!$B:$B,{"licence","community"}))/SUM(SUMIFS('caseload data'!P:P,'caseload data'!$B:$B,{"licence","community"},'caseload data'!$C:$C,'community %'!$B$71)),"")</f>
        <v/>
      </c>
      <c r="O75" s="167" t="str">
        <f>IFERROR(SUM(SUMIFS('caseload data'!Q:Q,'caseload data'!$C:$C,'community %'!$B$71,'caseload data'!$D:$D,"TPO",'caseload data'!$B:$B,{"licence","community"}))/SUM(SUMIFS('caseload data'!Q:Q,'caseload data'!$B:$B,{"licence","community"},'caseload data'!$C:$C,'community %'!$B$71)),"")</f>
        <v/>
      </c>
      <c r="P75" s="167" t="str">
        <f>IFERROR(SUM(SUMIFS('caseload data'!R:R,'caseload data'!$C:$C,'community %'!$B$71,'caseload data'!$D:$D,"TPO",'caseload data'!$B:$B,{"licence","community"}))/SUM(SUMIFS('caseload data'!R:R,'caseload data'!$B:$B,{"licence","community"},'caseload data'!$C:$C,'community %'!$B$71)),"")</f>
        <v/>
      </c>
      <c r="Q75" s="167" t="str">
        <f>IFERROR(SUM(SUMIFS('caseload data'!S:S,'caseload data'!$C:$C,'community %'!$B$71,'caseload data'!$D:$D,"TPO",'caseload data'!$B:$B,{"licence","community"}))/SUM(SUMIFS('caseload data'!S:S,'caseload data'!$B:$B,{"licence","community"},'caseload data'!$C:$C,'community %'!$B$71)),"")</f>
        <v/>
      </c>
      <c r="R75" s="167" t="str">
        <f>IFERROR(SUM(SUMIFS('caseload data'!T:T,'caseload data'!$C:$C,'community %'!$B$71,'caseload data'!$D:$D,"TPO",'caseload data'!$B:$B,{"licence","community"}))/SUM(SUMIFS('caseload data'!T:T,'caseload data'!$B:$B,{"licence","community"},'caseload data'!$C:$C,'community %'!$B$71)),"")</f>
        <v/>
      </c>
      <c r="T75" s="97" t="s">
        <v>1008</v>
      </c>
      <c r="U75" s="167" t="str" cm="1">
        <f t="array" ref="U75">IFERROR(SUM(SUMIFS('caseload data'!E:E,'caseload data'!$C:$C,'community %'!$T$71,'caseload data'!$D:$D,"TPO",'caseload data'!$B:$B,{"licence","community"}))/SUM(SUMIFS('caseload data'!E:E,'caseload data'!$B:$B,{"licence","community"},'caseload data'!$C:$C,'community %'!$T$71)),"")</f>
        <v/>
      </c>
      <c r="V75" s="167" t="str" cm="1">
        <f t="array" ref="V75">IFERROR(SUM(SUMIFS('caseload data'!F:F,'caseload data'!$C:$C,'community %'!$T$71,'caseload data'!$D:$D,"TPO",'caseload data'!$B:$B,{"licence","community"}))/SUM(SUMIFS('caseload data'!F:F,'caseload data'!$B:$B,{"licence","community"},'caseload data'!$C:$C,'community %'!$T$71)),"")</f>
        <v/>
      </c>
      <c r="W75" s="167" t="str" cm="1">
        <f t="array" ref="W75">IFERROR(SUM(SUMIFS('caseload data'!G:G,'caseload data'!$C:$C,'community %'!$T$71,'caseload data'!$D:$D,"TPO",'caseload data'!$B:$B,{"licence","community"}))/SUM(SUMIFS('caseload data'!G:G,'caseload data'!$B:$B,{"licence","community"},'caseload data'!$C:$C,'community %'!$T$71)),"")</f>
        <v/>
      </c>
      <c r="X75" s="167" t="str" cm="1">
        <f t="array" ref="X75">IFERROR(SUM(SUMIFS('caseload data'!H:H,'caseload data'!$C:$C,'community %'!$T$71,'caseload data'!$D:$D,"TPO",'caseload data'!$B:$B,{"licence","community"}))/SUM(SUMIFS('caseload data'!H:H,'caseload data'!$B:$B,{"licence","community"},'caseload data'!$C:$C,'community %'!$T$71)),"")</f>
        <v/>
      </c>
      <c r="Y75" s="167" t="str" cm="1">
        <f t="array" ref="Y75">IFERROR(SUM(SUMIFS('caseload data'!I:I,'caseload data'!$C:$C,'community %'!$T$71,'caseload data'!$D:$D,"TPO",'caseload data'!$B:$B,{"licence","community"}))/SUM(SUMIFS('caseload data'!I:I,'caseload data'!$B:$B,{"licence","community"},'caseload data'!$C:$C,'community %'!$T$71)),"")</f>
        <v/>
      </c>
      <c r="Z75" s="167" t="str" cm="1">
        <f t="array" ref="Z75">IFERROR(SUM(SUMIFS('caseload data'!J:J,'caseload data'!$C:$C,'community %'!$T$71,'caseload data'!$D:$D,"TPO",'caseload data'!$B:$B,{"licence","community"}))/SUM(SUMIFS('caseload data'!J:J,'caseload data'!$B:$B,{"licence","community"},'caseload data'!$C:$C,'community %'!$T$71)),"")</f>
        <v/>
      </c>
      <c r="AA75" s="167" t="str" cm="1">
        <f t="array" ref="AA75">IFERROR(SUM(SUMIFS('caseload data'!K:K,'caseload data'!$C:$C,'community %'!$T$71,'caseload data'!$D:$D,"TPO",'caseload data'!$B:$B,{"licence","community"}))/SUM(SUMIFS('caseload data'!K:K,'caseload data'!$B:$B,{"licence","community"},'caseload data'!$C:$C,'community %'!$T$71)),"")</f>
        <v/>
      </c>
      <c r="AB75" s="167" t="str" cm="1">
        <f t="array" ref="AB75">IFERROR(SUM(SUMIFS('caseload data'!L:L,'caseload data'!$C:$C,'community %'!$T$71,'caseload data'!$D:$D,"TPO",'caseload data'!$B:$B,{"licence","community"}))/SUM(SUMIFS('caseload data'!L:L,'caseload data'!$B:$B,{"licence","community"},'caseload data'!$C:$C,'community %'!$T$71)),"")</f>
        <v/>
      </c>
      <c r="AC75" s="167" t="str" cm="1">
        <f t="array" ref="AC75">IFERROR(SUM(SUMIFS('caseload data'!M:M,'caseload data'!$C:$C,'community %'!$T$71,'caseload data'!$D:$D,"TPO",'caseload data'!$B:$B,{"licence","community"}))/SUM(SUMIFS('caseload data'!M:M,'caseload data'!$B:$B,{"licence","community"},'caseload data'!$C:$C,'community %'!$T$71)),"")</f>
        <v/>
      </c>
      <c r="AD75" s="167" t="str" cm="1">
        <f t="array" ref="AD75">IFERROR(SUM(SUMIFS('caseload data'!N:N,'caseload data'!$C:$C,'community %'!$T$71,'caseload data'!$D:$D,"TPO",'caseload data'!$B:$B,{"licence","community"}))/SUM(SUMIFS('caseload data'!N:N,'caseload data'!$B:$B,{"licence","community"},'caseload data'!$C:$C,'community %'!$T$71)),"")</f>
        <v/>
      </c>
      <c r="AE75" s="167" t="str" cm="1">
        <f t="array" ref="AE75">IFERROR(SUM(SUMIFS('caseload data'!O:O,'caseload data'!$C:$C,'community %'!$T$71,'caseload data'!$D:$D,"TPO",'caseload data'!$B:$B,{"licence","community"}))/SUM(SUMIFS('caseload data'!O:O,'caseload data'!$B:$B,{"licence","community"},'caseload data'!$C:$C,'community %'!$T$71)),"")</f>
        <v/>
      </c>
      <c r="AF75" s="167" t="str" cm="1">
        <f t="array" ref="AF75">IFERROR(SUM(SUMIFS('caseload data'!P:P,'caseload data'!$C:$C,'community %'!$T$71,'caseload data'!$D:$D,"TPO",'caseload data'!$B:$B,{"licence","community"}))/SUM(SUMIFS('caseload data'!P:P,'caseload data'!$B:$B,{"licence","community"},'caseload data'!$C:$C,'community %'!$T$71)),"")</f>
        <v/>
      </c>
      <c r="AG75" s="167" t="str" cm="1">
        <f t="array" ref="AG75">IFERROR(SUM(SUMIFS('caseload data'!Q:Q,'caseload data'!$C:$C,'community %'!$T$71,'caseload data'!$D:$D,"TPO",'caseload data'!$B:$B,{"licence","community"}))/SUM(SUMIFS('caseload data'!Q:Q,'caseload data'!$B:$B,{"licence","community"},'caseload data'!$C:$C,'community %'!$T$71)),"")</f>
        <v/>
      </c>
      <c r="AH75" s="167" t="str" cm="1">
        <f t="array" ref="AH75">IFERROR(SUM(SUMIFS('caseload data'!R:R,'caseload data'!$C:$C,'community %'!$T$71,'caseload data'!$D:$D,"TPO",'caseload data'!$B:$B,{"licence","community"}))/SUM(SUMIFS('caseload data'!R:R,'caseload data'!$B:$B,{"licence","community"},'caseload data'!$C:$C,'community %'!$T$71)),"")</f>
        <v/>
      </c>
      <c r="AI75" s="167" t="str" cm="1">
        <f t="array" ref="AI75">IFERROR(SUM(SUMIFS('caseload data'!S:S,'caseload data'!$C:$C,'community %'!$T$71,'caseload data'!$D:$D,"TPO",'caseload data'!$B:$B,{"licence","community"}))/SUM(SUMIFS('caseload data'!S:S,'caseload data'!$B:$B,{"licence","community"},'caseload data'!$C:$C,'community %'!$T$71)),"")</f>
        <v/>
      </c>
      <c r="AJ75" s="167" t="str" cm="1">
        <f t="array" ref="AJ75">IFERROR(SUM(SUMIFS('caseload data'!T:T,'caseload data'!$C:$C,'community %'!$T$71,'caseload data'!$D:$D,"TPO",'caseload data'!$B:$B,{"licence","community"}))/SUM(SUMIFS('caseload data'!T:T,'caseload data'!$B:$B,{"licence","community"},'caseload data'!$C:$C,'community %'!$T$71)),"")</f>
        <v/>
      </c>
    </row>
    <row r="76" spans="2:36" x14ac:dyDescent="0.15">
      <c r="B76" s="98" t="s">
        <v>1009</v>
      </c>
      <c r="C76" s="167" t="str">
        <f>IFERROR(SUM(SUMIFS('caseload data'!E:E,'caseload data'!$C:$C,'community %'!$B$71,'caseload data'!$D:$D,"SPO",'caseload data'!$B:$B,{"licence","community"}))/SUM(SUMIFS('caseload data'!E:E,'caseload data'!$B:$B,{"licence","community"},'caseload data'!$C:$C,'community %'!$B$71)),"")</f>
        <v/>
      </c>
      <c r="D76" s="167" t="str">
        <f>IFERROR(SUM(SUMIFS('caseload data'!F:F,'caseload data'!$C:$C,'community %'!$B$71,'caseload data'!$D:$D,"SPO",'caseload data'!$B:$B,{"licence","community"}))/SUM(SUMIFS('caseload data'!F:F,'caseload data'!$B:$B,{"licence","community"},'caseload data'!$C:$C,'community %'!$B$71)),"")</f>
        <v/>
      </c>
      <c r="E76" s="167" t="str">
        <f>IFERROR(SUM(SUMIFS('caseload data'!G:G,'caseload data'!$C:$C,'community %'!$B$71,'caseload data'!$D:$D,"SPO",'caseload data'!$B:$B,{"licence","community"}))/SUM(SUMIFS('caseload data'!G:G,'caseload data'!$B:$B,{"licence","community"},'caseload data'!$C:$C,'community %'!$B$71)),"")</f>
        <v/>
      </c>
      <c r="F76" s="167" t="str">
        <f>IFERROR(SUM(SUMIFS('caseload data'!H:H,'caseload data'!$C:$C,'community %'!$B$71,'caseload data'!$D:$D,"SPO",'caseload data'!$B:$B,{"licence","community"}))/SUM(SUMIFS('caseload data'!H:H,'caseload data'!$B:$B,{"licence","community"},'caseload data'!$C:$C,'community %'!$B$71)),"")</f>
        <v/>
      </c>
      <c r="G76" s="167" t="str">
        <f>IFERROR(SUM(SUMIFS('caseload data'!I:I,'caseload data'!$C:$C,'community %'!$B$71,'caseload data'!$D:$D,"SPO",'caseload data'!$B:$B,{"licence","community"}))/SUM(SUMIFS('caseload data'!I:I,'caseload data'!$B:$B,{"licence","community"},'caseload data'!$C:$C,'community %'!$B$71)),"")</f>
        <v/>
      </c>
      <c r="H76" s="167" t="str">
        <f>IFERROR(SUM(SUMIFS('caseload data'!J:J,'caseload data'!$C:$C,'community %'!$B$71,'caseload data'!$D:$D,"SPO",'caseload data'!$B:$B,{"licence","community"}))/SUM(SUMIFS('caseload data'!J:J,'caseload data'!$B:$B,{"licence","community"},'caseload data'!$C:$C,'community %'!$B$71)),"")</f>
        <v/>
      </c>
      <c r="I76" s="167" t="str">
        <f>IFERROR(SUM(SUMIFS('caseload data'!K:K,'caseload data'!$C:$C,'community %'!$B$71,'caseload data'!$D:$D,"SPO",'caseload data'!$B:$B,{"licence","community"}))/SUM(SUMIFS('caseload data'!K:K,'caseload data'!$B:$B,{"licence","community"},'caseload data'!$C:$C,'community %'!$B$71)),"")</f>
        <v/>
      </c>
      <c r="J76" s="167" t="str">
        <f>IFERROR(SUM(SUMIFS('caseload data'!L:L,'caseload data'!$C:$C,'community %'!$B$71,'caseload data'!$D:$D,"SPO",'caseload data'!$B:$B,{"licence","community"}))/SUM(SUMIFS('caseload data'!L:L,'caseload data'!$B:$B,{"licence","community"},'caseload data'!$C:$C,'community %'!$B$71)),"")</f>
        <v/>
      </c>
      <c r="K76" s="167" t="str">
        <f>IFERROR(SUM(SUMIFS('caseload data'!M:M,'caseload data'!$C:$C,'community %'!$B$71,'caseload data'!$D:$D,"SPO",'caseload data'!$B:$B,{"licence","community"}))/SUM(SUMIFS('caseload data'!M:M,'caseload data'!$B:$B,{"licence","community"},'caseload data'!$C:$C,'community %'!$B$71)),"")</f>
        <v/>
      </c>
      <c r="L76" s="167" t="str">
        <f>IFERROR(SUM(SUMIFS('caseload data'!N:N,'caseload data'!$C:$C,'community %'!$B$71,'caseload data'!$D:$D,"SPO",'caseload data'!$B:$B,{"licence","community"}))/SUM(SUMIFS('caseload data'!N:N,'caseload data'!$B:$B,{"licence","community"},'caseload data'!$C:$C,'community %'!$B$71)),"")</f>
        <v/>
      </c>
      <c r="M76" s="167" t="str">
        <f>IFERROR(SUM(SUMIFS('caseload data'!O:O,'caseload data'!$C:$C,'community %'!$B$71,'caseload data'!$D:$D,"SPO",'caseload data'!$B:$B,{"licence","community"}))/SUM(SUMIFS('caseload data'!O:O,'caseload data'!$B:$B,{"licence","community"},'caseload data'!$C:$C,'community %'!$B$71)),"")</f>
        <v/>
      </c>
      <c r="N76" s="167" t="str">
        <f>IFERROR(SUM(SUMIFS('caseload data'!P:P,'caseload data'!$C:$C,'community %'!$B$71,'caseload data'!$D:$D,"SPO",'caseload data'!$B:$B,{"licence","community"}))/SUM(SUMIFS('caseload data'!P:P,'caseload data'!$B:$B,{"licence","community"},'caseload data'!$C:$C,'community %'!$B$71)),"")</f>
        <v/>
      </c>
      <c r="O76" s="167" t="str">
        <f>IFERROR(SUM(SUMIFS('caseload data'!Q:Q,'caseload data'!$C:$C,'community %'!$B$71,'caseload data'!$D:$D,"SPO",'caseload data'!$B:$B,{"licence","community"}))/SUM(SUMIFS('caseload data'!Q:Q,'caseload data'!$B:$B,{"licence","community"},'caseload data'!$C:$C,'community %'!$B$71)),"")</f>
        <v/>
      </c>
      <c r="P76" s="167" t="str">
        <f>IFERROR(SUM(SUMIFS('caseload data'!R:R,'caseload data'!$C:$C,'community %'!$B$71,'caseload data'!$D:$D,"SPO",'caseload data'!$B:$B,{"licence","community"}))/SUM(SUMIFS('caseload data'!R:R,'caseload data'!$B:$B,{"licence","community"},'caseload data'!$C:$C,'community %'!$B$71)),"")</f>
        <v/>
      </c>
      <c r="Q76" s="167" t="str">
        <f>IFERROR(SUM(SUMIFS('caseload data'!S:S,'caseload data'!$C:$C,'community %'!$B$71,'caseload data'!$D:$D,"SPO",'caseload data'!$B:$B,{"licence","community"}))/SUM(SUMIFS('caseload data'!S:S,'caseload data'!$B:$B,{"licence","community"},'caseload data'!$C:$C,'community %'!$B$71)),"")</f>
        <v/>
      </c>
      <c r="R76" s="167" t="str">
        <f>IFERROR(SUM(SUMIFS('caseload data'!T:T,'caseload data'!$C:$C,'community %'!$B$71,'caseload data'!$D:$D,"SPO",'caseload data'!$B:$B,{"licence","community"}))/SUM(SUMIFS('caseload data'!T:T,'caseload data'!$B:$B,{"licence","community"},'caseload data'!$C:$C,'community %'!$B$71)),"")</f>
        <v/>
      </c>
      <c r="T76" s="98" t="s">
        <v>1009</v>
      </c>
      <c r="U76" s="167" t="str" cm="1">
        <f t="array" ref="U76">IFERROR(SUM(SUMIFS('caseload data'!E:E,'caseload data'!$C:$C,'community %'!$T$71,'caseload data'!$D:$D,"SPO",'caseload data'!$B:$B,{"licence","community"}))/SUM(SUMIFS('caseload data'!E:E,'caseload data'!$B:$B,{"licence","community"},'caseload data'!$C:$C,'community %'!$T$71)),"")</f>
        <v/>
      </c>
      <c r="V76" s="167" t="str" cm="1">
        <f t="array" ref="V76">IFERROR(SUM(SUMIFS('caseload data'!F:F,'caseload data'!$C:$C,'community %'!$T$71,'caseload data'!$D:$D,"SPO",'caseload data'!$B:$B,{"licence","community"}))/SUM(SUMIFS('caseload data'!F:F,'caseload data'!$B:$B,{"licence","community"},'caseload data'!$C:$C,'community %'!$T$71)),"")</f>
        <v/>
      </c>
      <c r="W76" s="167" t="str" cm="1">
        <f t="array" ref="W76">IFERROR(SUM(SUMIFS('caseload data'!G:G,'caseload data'!$C:$C,'community %'!$T$71,'caseload data'!$D:$D,"SPO",'caseload data'!$B:$B,{"licence","community"}))/SUM(SUMIFS('caseload data'!G:G,'caseload data'!$B:$B,{"licence","community"},'caseload data'!$C:$C,'community %'!$T$71)),"")</f>
        <v/>
      </c>
      <c r="X76" s="167" t="str" cm="1">
        <f t="array" ref="X76">IFERROR(SUM(SUMIFS('caseload data'!H:H,'caseload data'!$C:$C,'community %'!$T$71,'caseload data'!$D:$D,"SPO",'caseload data'!$B:$B,{"licence","community"}))/SUM(SUMIFS('caseload data'!H:H,'caseload data'!$B:$B,{"licence","community"},'caseload data'!$C:$C,'community %'!$T$71)),"")</f>
        <v/>
      </c>
      <c r="Y76" s="167" t="str" cm="1">
        <f t="array" ref="Y76">IFERROR(SUM(SUMIFS('caseload data'!I:I,'caseload data'!$C:$C,'community %'!$T$71,'caseload data'!$D:$D,"SPO",'caseload data'!$B:$B,{"licence","community"}))/SUM(SUMIFS('caseload data'!I:I,'caseload data'!$B:$B,{"licence","community"},'caseload data'!$C:$C,'community %'!$T$71)),"")</f>
        <v/>
      </c>
      <c r="Z76" s="167" t="str" cm="1">
        <f t="array" ref="Z76">IFERROR(SUM(SUMIFS('caseload data'!J:J,'caseload data'!$C:$C,'community %'!$T$71,'caseload data'!$D:$D,"SPO",'caseload data'!$B:$B,{"licence","community"}))/SUM(SUMIFS('caseload data'!J:J,'caseload data'!$B:$B,{"licence","community"},'caseload data'!$C:$C,'community %'!$T$71)),"")</f>
        <v/>
      </c>
      <c r="AA76" s="167" t="str" cm="1">
        <f t="array" ref="AA76">IFERROR(SUM(SUMIFS('caseload data'!K:K,'caseload data'!$C:$C,'community %'!$T$71,'caseload data'!$D:$D,"SPO",'caseload data'!$B:$B,{"licence","community"}))/SUM(SUMIFS('caseload data'!K:K,'caseload data'!$B:$B,{"licence","community"},'caseload data'!$C:$C,'community %'!$T$71)),"")</f>
        <v/>
      </c>
      <c r="AB76" s="167" t="str" cm="1">
        <f t="array" ref="AB76">IFERROR(SUM(SUMIFS('caseload data'!L:L,'caseload data'!$C:$C,'community %'!$T$71,'caseload data'!$D:$D,"SPO",'caseload data'!$B:$B,{"licence","community"}))/SUM(SUMIFS('caseload data'!L:L,'caseload data'!$B:$B,{"licence","community"},'caseload data'!$C:$C,'community %'!$T$71)),"")</f>
        <v/>
      </c>
      <c r="AC76" s="167" t="str" cm="1">
        <f t="array" ref="AC76">IFERROR(SUM(SUMIFS('caseload data'!M:M,'caseload data'!$C:$C,'community %'!$T$71,'caseload data'!$D:$D,"SPO",'caseload data'!$B:$B,{"licence","community"}))/SUM(SUMIFS('caseload data'!M:M,'caseload data'!$B:$B,{"licence","community"},'caseload data'!$C:$C,'community %'!$T$71)),"")</f>
        <v/>
      </c>
      <c r="AD76" s="167" t="str" cm="1">
        <f t="array" ref="AD76">IFERROR(SUM(SUMIFS('caseload data'!N:N,'caseload data'!$C:$C,'community %'!$T$71,'caseload data'!$D:$D,"SPO",'caseload data'!$B:$B,{"licence","community"}))/SUM(SUMIFS('caseload data'!N:N,'caseload data'!$B:$B,{"licence","community"},'caseload data'!$C:$C,'community %'!$T$71)),"")</f>
        <v/>
      </c>
      <c r="AE76" s="167" t="str" cm="1">
        <f t="array" ref="AE76">IFERROR(SUM(SUMIFS('caseload data'!O:O,'caseload data'!$C:$C,'community %'!$T$71,'caseload data'!$D:$D,"SPO",'caseload data'!$B:$B,{"licence","community"}))/SUM(SUMIFS('caseload data'!O:O,'caseload data'!$B:$B,{"licence","community"},'caseload data'!$C:$C,'community %'!$T$71)),"")</f>
        <v/>
      </c>
      <c r="AF76" s="167" t="str" cm="1">
        <f t="array" ref="AF76">IFERROR(SUM(SUMIFS('caseload data'!P:P,'caseload data'!$C:$C,'community %'!$T$71,'caseload data'!$D:$D,"SPO",'caseload data'!$B:$B,{"licence","community"}))/SUM(SUMIFS('caseload data'!P:P,'caseload data'!$B:$B,{"licence","community"},'caseload data'!$C:$C,'community %'!$T$71)),"")</f>
        <v/>
      </c>
      <c r="AG76" s="167" t="str" cm="1">
        <f t="array" ref="AG76">IFERROR(SUM(SUMIFS('caseload data'!Q:Q,'caseload data'!$C:$C,'community %'!$T$71,'caseload data'!$D:$D,"SPO",'caseload data'!$B:$B,{"licence","community"}))/SUM(SUMIFS('caseload data'!Q:Q,'caseload data'!$B:$B,{"licence","community"},'caseload data'!$C:$C,'community %'!$T$71)),"")</f>
        <v/>
      </c>
      <c r="AH76" s="167" t="str" cm="1">
        <f t="array" ref="AH76">IFERROR(SUM(SUMIFS('caseload data'!R:R,'caseload data'!$C:$C,'community %'!$T$71,'caseload data'!$D:$D,"SPO",'caseload data'!$B:$B,{"licence","community"}))/SUM(SUMIFS('caseload data'!R:R,'caseload data'!$B:$B,{"licence","community"},'caseload data'!$C:$C,'community %'!$T$71)),"")</f>
        <v/>
      </c>
      <c r="AI76" s="167" t="str" cm="1">
        <f t="array" ref="AI76">IFERROR(SUM(SUMIFS('caseload data'!S:S,'caseload data'!$C:$C,'community %'!$T$71,'caseload data'!$D:$D,"SPO",'caseload data'!$B:$B,{"licence","community"}))/SUM(SUMIFS('caseload data'!S:S,'caseload data'!$B:$B,{"licence","community"},'caseload data'!$C:$C,'community %'!$T$71)),"")</f>
        <v/>
      </c>
      <c r="AJ76" s="167" t="str" cm="1">
        <f t="array" ref="AJ76">IFERROR(SUM(SUMIFS('caseload data'!T:T,'caseload data'!$C:$C,'community %'!$T$71,'caseload data'!$D:$D,"SPO",'caseload data'!$B:$B,{"licence","community"}))/SUM(SUMIFS('caseload data'!T:T,'caseload data'!$B:$B,{"licence","community"},'caseload data'!$C:$C,'community %'!$T$71)),"")</f>
        <v/>
      </c>
    </row>
    <row r="78" spans="2:36" ht="24" customHeight="1" x14ac:dyDescent="0.15">
      <c r="B78" s="289">
        <f>HLOOKUP($B$5,Region_Table,22,0)</f>
        <v>0</v>
      </c>
      <c r="C78" s="507" t="s">
        <v>1139</v>
      </c>
      <c r="D78" s="508"/>
      <c r="E78" s="508"/>
      <c r="F78" s="508"/>
      <c r="G78" s="508"/>
      <c r="H78" s="508"/>
      <c r="I78" s="508"/>
      <c r="J78" s="508"/>
      <c r="K78" s="508"/>
      <c r="L78" s="508"/>
      <c r="M78" s="537"/>
      <c r="N78" s="537"/>
      <c r="O78" s="538"/>
      <c r="P78" s="510" cm="1">
        <f t="array" ref="P78">SUM(SUMIFS('caseload data'!V:V,'caseload data'!B:B,{"licence","community"},'caseload data'!$C:$C,B78))</f>
        <v>0</v>
      </c>
      <c r="Q78" s="527"/>
      <c r="R78" s="528"/>
      <c r="T78" s="289">
        <f>HLOOKUP($B$5,Region_Table,23,0)</f>
        <v>0</v>
      </c>
      <c r="U78" s="507" t="s">
        <v>1139</v>
      </c>
      <c r="V78" s="508"/>
      <c r="W78" s="508"/>
      <c r="X78" s="508"/>
      <c r="Y78" s="508"/>
      <c r="Z78" s="508"/>
      <c r="AA78" s="508"/>
      <c r="AB78" s="508"/>
      <c r="AC78" s="508"/>
      <c r="AD78" s="508"/>
      <c r="AE78" s="537"/>
      <c r="AF78" s="537"/>
      <c r="AG78" s="538"/>
      <c r="AH78" s="510" cm="1">
        <f t="array" ref="AH78">SUM(SUMIFS('caseload data'!V:V,'caseload data'!B:B,{"licence","community"},'caseload data'!$C:$C,T78))</f>
        <v>0</v>
      </c>
      <c r="AI78" s="527"/>
      <c r="AJ78" s="528"/>
    </row>
    <row r="79" spans="2:36" x14ac:dyDescent="0.15">
      <c r="B79" s="95" t="s">
        <v>1005</v>
      </c>
      <c r="C79" s="38" t="s">
        <v>869</v>
      </c>
      <c r="D79" s="38" t="s">
        <v>870</v>
      </c>
      <c r="E79" s="38" t="s">
        <v>871</v>
      </c>
      <c r="F79" s="38" t="s">
        <v>872</v>
      </c>
      <c r="G79" s="38" t="s">
        <v>873</v>
      </c>
      <c r="H79" s="38" t="s">
        <v>874</v>
      </c>
      <c r="I79" s="38" t="s">
        <v>875</v>
      </c>
      <c r="J79" s="38" t="s">
        <v>876</v>
      </c>
      <c r="K79" s="38" t="s">
        <v>877</v>
      </c>
      <c r="L79" s="38" t="s">
        <v>878</v>
      </c>
      <c r="M79" s="38" t="s">
        <v>879</v>
      </c>
      <c r="N79" s="38" t="s">
        <v>880</v>
      </c>
      <c r="O79" s="38" t="s">
        <v>881</v>
      </c>
      <c r="P79" s="38" t="s">
        <v>882</v>
      </c>
      <c r="Q79" s="38" t="s">
        <v>883</v>
      </c>
      <c r="R79" s="38" t="s">
        <v>884</v>
      </c>
      <c r="T79" s="95" t="s">
        <v>1005</v>
      </c>
      <c r="U79" s="38" t="s">
        <v>869</v>
      </c>
      <c r="V79" s="38" t="s">
        <v>870</v>
      </c>
      <c r="W79" s="38" t="s">
        <v>871</v>
      </c>
      <c r="X79" s="38" t="s">
        <v>872</v>
      </c>
      <c r="Y79" s="38" t="s">
        <v>873</v>
      </c>
      <c r="Z79" s="38" t="s">
        <v>874</v>
      </c>
      <c r="AA79" s="38" t="s">
        <v>875</v>
      </c>
      <c r="AB79" s="38" t="s">
        <v>876</v>
      </c>
      <c r="AC79" s="38" t="s">
        <v>877</v>
      </c>
      <c r="AD79" s="38" t="s">
        <v>878</v>
      </c>
      <c r="AE79" s="38" t="s">
        <v>879</v>
      </c>
      <c r="AF79" s="38" t="s">
        <v>880</v>
      </c>
      <c r="AG79" s="38" t="s">
        <v>881</v>
      </c>
      <c r="AH79" s="38" t="s">
        <v>882</v>
      </c>
      <c r="AI79" s="38" t="s">
        <v>883</v>
      </c>
      <c r="AJ79" s="38" t="s">
        <v>884</v>
      </c>
    </row>
    <row r="80" spans="2:36" x14ac:dyDescent="0.15">
      <c r="B80" s="96" t="s">
        <v>1002</v>
      </c>
      <c r="C80" s="167" t="str" cm="1">
        <f t="array" ref="C80">IFERROR(SUM(SUMIFS('caseload data'!E:E,'caseload data'!$C:$C,'community %'!$B$78,'caseload data'!$D:$D,"PO",'caseload data'!$B:$B,{"licence","community"}))/SUM(SUMIFS('caseload data'!E:E,'caseload data'!$B:$B,{"licence","community"},'caseload data'!$C:$C,'community %'!$B$78)),"")</f>
        <v/>
      </c>
      <c r="D80" s="167" t="str" cm="1">
        <f t="array" ref="D80">IFERROR(SUM(SUMIFS('caseload data'!F:F,'caseload data'!$C:$C,'community %'!$B$78,'caseload data'!$D:$D,"PO",'caseload data'!$B:$B,{"licence","community"}))/SUM(SUMIFS('caseload data'!F:F,'caseload data'!$B:$B,{"licence","community"},'caseload data'!$C:$C,'community %'!$B$78)),"")</f>
        <v/>
      </c>
      <c r="E80" s="167" t="str" cm="1">
        <f t="array" ref="E80">IFERROR(SUM(SUMIFS('caseload data'!G:G,'caseload data'!$C:$C,'community %'!$B$78,'caseload data'!$D:$D,"PO",'caseload data'!$B:$B,{"licence","community"}))/SUM(SUMIFS('caseload data'!G:G,'caseload data'!$B:$B,{"licence","community"},'caseload data'!$C:$C,'community %'!$B$78)),"")</f>
        <v/>
      </c>
      <c r="F80" s="167" t="str" cm="1">
        <f t="array" ref="F80">IFERROR(SUM(SUMIFS('caseload data'!H:H,'caseload data'!$C:$C,'community %'!$B$78,'caseload data'!$D:$D,"PO",'caseload data'!$B:$B,{"licence","community"}))/SUM(SUMIFS('caseload data'!H:H,'caseload data'!$B:$B,{"licence","community"},'caseload data'!$C:$C,'community %'!$B$78)),"")</f>
        <v/>
      </c>
      <c r="G80" s="167" t="str" cm="1">
        <f t="array" ref="G80">IFERROR(SUM(SUMIFS('caseload data'!I:I,'caseload data'!$C:$C,'community %'!$B$78,'caseload data'!$D:$D,"PO",'caseload data'!$B:$B,{"licence","community"}))/SUM(SUMIFS('caseload data'!I:I,'caseload data'!$B:$B,{"licence","community"},'caseload data'!$C:$C,'community %'!$B$78)),"")</f>
        <v/>
      </c>
      <c r="H80" s="167" t="str" cm="1">
        <f t="array" ref="H80">IFERROR(SUM(SUMIFS('caseload data'!J:J,'caseload data'!$C:$C,'community %'!$B$78,'caseload data'!$D:$D,"PO",'caseload data'!$B:$B,{"licence","community"}))/SUM(SUMIFS('caseload data'!J:J,'caseload data'!$B:$B,{"licence","community"},'caseload data'!$C:$C,'community %'!$B$78)),"")</f>
        <v/>
      </c>
      <c r="I80" s="167" t="str" cm="1">
        <f t="array" ref="I80">IFERROR(SUM(SUMIFS('caseload data'!K:K,'caseload data'!$C:$C,'community %'!$B$78,'caseload data'!$D:$D,"PO",'caseload data'!$B:$B,{"licence","community"}))/SUM(SUMIFS('caseload data'!K:K,'caseload data'!$B:$B,{"licence","community"},'caseload data'!$C:$C,'community %'!$B$78)),"")</f>
        <v/>
      </c>
      <c r="J80" s="167" t="str" cm="1">
        <f t="array" ref="J80">IFERROR(SUM(SUMIFS('caseload data'!L:L,'caseload data'!$C:$C,'community %'!$B$78,'caseload data'!$D:$D,"PO",'caseload data'!$B:$B,{"licence","community"}))/SUM(SUMIFS('caseload data'!L:L,'caseload data'!$B:$B,{"licence","community"},'caseload data'!$C:$C,'community %'!$B$78)),"")</f>
        <v/>
      </c>
      <c r="K80" s="167" t="str" cm="1">
        <f t="array" ref="K80">IFERROR(SUM(SUMIFS('caseload data'!M:M,'caseload data'!$C:$C,'community %'!$B$78,'caseload data'!$D:$D,"PO",'caseload data'!$B:$B,{"licence","community"}))/SUM(SUMIFS('caseload data'!M:M,'caseload data'!$B:$B,{"licence","community"},'caseload data'!$C:$C,'community %'!$B$78)),"")</f>
        <v/>
      </c>
      <c r="L80" s="167" t="str" cm="1">
        <f t="array" ref="L80">IFERROR(SUM(SUMIFS('caseload data'!N:N,'caseload data'!$C:$C,'community %'!$B$78,'caseload data'!$D:$D,"PO",'caseload data'!$B:$B,{"licence","community"}))/SUM(SUMIFS('caseload data'!N:N,'caseload data'!$B:$B,{"licence","community"},'caseload data'!$C:$C,'community %'!$B$78)),"")</f>
        <v/>
      </c>
      <c r="M80" s="167" t="str" cm="1">
        <f t="array" ref="M80">IFERROR(SUM(SUMIFS('caseload data'!O:O,'caseload data'!$C:$C,'community %'!$B$78,'caseload data'!$D:$D,"PO",'caseload data'!$B:$B,{"licence","community"}))/SUM(SUMIFS('caseload data'!O:O,'caseload data'!$B:$B,{"licence","community"},'caseload data'!$C:$C,'community %'!$B$78)),"")</f>
        <v/>
      </c>
      <c r="N80" s="167" t="str" cm="1">
        <f t="array" ref="N80">IFERROR(SUM(SUMIFS('caseload data'!P:P,'caseload data'!$C:$C,'community %'!$B$78,'caseload data'!$D:$D,"PO",'caseload data'!$B:$B,{"licence","community"}))/SUM(SUMIFS('caseload data'!P:P,'caseload data'!$B:$B,{"licence","community"},'caseload data'!$C:$C,'community %'!$B$78)),"")</f>
        <v/>
      </c>
      <c r="O80" s="167" t="str" cm="1">
        <f t="array" ref="O80">IFERROR(SUM(SUMIFS('caseload data'!Q:Q,'caseload data'!$C:$C,'community %'!$B$78,'caseload data'!$D:$D,"PO",'caseload data'!$B:$B,{"licence","community"}))/SUM(SUMIFS('caseload data'!Q:Q,'caseload data'!$B:$B,{"licence","community"},'caseload data'!$C:$C,'community %'!$B$78)),"")</f>
        <v/>
      </c>
      <c r="P80" s="167" t="str" cm="1">
        <f t="array" ref="P80">IFERROR(SUM(SUMIFS('caseload data'!R:R,'caseload data'!$C:$C,'community %'!$B$78,'caseload data'!$D:$D,"PO",'caseload data'!$B:$B,{"licence","community"}))/SUM(SUMIFS('caseload data'!R:R,'caseload data'!$B:$B,{"licence","community"},'caseload data'!$C:$C,'community %'!$B$78)),"")</f>
        <v/>
      </c>
      <c r="Q80" s="167" t="str" cm="1">
        <f t="array" ref="Q80">IFERROR(SUM(SUMIFS('caseload data'!S:S,'caseload data'!$C:$C,'community %'!$B$78,'caseload data'!$D:$D,"PO",'caseload data'!$B:$B,{"licence","community"}))/SUM(SUMIFS('caseload data'!S:S,'caseload data'!$B:$B,{"licence","community"},'caseload data'!$C:$C,'community %'!$B$78)),"")</f>
        <v/>
      </c>
      <c r="R80" s="167" t="str" cm="1">
        <f t="array" ref="R80">IFERROR(SUM(SUMIFS('caseload data'!T:T,'caseload data'!$C:$C,'community %'!$B$78,'caseload data'!$D:$D,"PO",'caseload data'!$B:$B,{"licence","community"}))/SUM(SUMIFS('caseload data'!T:T,'caseload data'!$B:$B,{"licence","community"},'caseload data'!$C:$C,'community %'!$B$78)),"")</f>
        <v/>
      </c>
      <c r="T80" s="96" t="s">
        <v>1002</v>
      </c>
      <c r="U80" s="167" t="str" cm="1">
        <f t="array" ref="U80">IFERROR(SUM(SUMIFS('caseload data'!E:E,'caseload data'!$C:$C,'community %'!$T$78,'caseload data'!$D:$D,"PO",'caseload data'!$B:$B,{"licence","community"}))/SUM(SUMIFS('caseload data'!E:E,'caseload data'!$B:$B,{"licence","community"},'caseload data'!$C:$C,'community %'!$T$78)),"")</f>
        <v/>
      </c>
      <c r="V80" s="167" t="str" cm="1">
        <f t="array" ref="V80">IFERROR(SUM(SUMIFS('caseload data'!F:F,'caseload data'!$C:$C,'community %'!$T$78,'caseload data'!$D:$D,"PO",'caseload data'!$B:$B,{"licence","community"}))/SUM(SUMIFS('caseload data'!F:F,'caseload data'!$B:$B,{"licence","community"},'caseload data'!$C:$C,'community %'!$T$78)),"")</f>
        <v/>
      </c>
      <c r="W80" s="167" t="str" cm="1">
        <f t="array" ref="W80">IFERROR(SUM(SUMIFS('caseload data'!G:G,'caseload data'!$C:$C,'community %'!$T$78,'caseload data'!$D:$D,"PO",'caseload data'!$B:$B,{"licence","community"}))/SUM(SUMIFS('caseload data'!G:G,'caseload data'!$B:$B,{"licence","community"},'caseload data'!$C:$C,'community %'!$T$78)),"")</f>
        <v/>
      </c>
      <c r="X80" s="167" t="str" cm="1">
        <f t="array" ref="X80">IFERROR(SUM(SUMIFS('caseload data'!H:H,'caseload data'!$C:$C,'community %'!$T$78,'caseload data'!$D:$D,"PO",'caseload data'!$B:$B,{"licence","community"}))/SUM(SUMIFS('caseload data'!H:H,'caseload data'!$B:$B,{"licence","community"},'caseload data'!$C:$C,'community %'!$T$78)),"")</f>
        <v/>
      </c>
      <c r="Y80" s="167" t="str" cm="1">
        <f t="array" ref="Y80">IFERROR(SUM(SUMIFS('caseload data'!I:I,'caseload data'!$C:$C,'community %'!$T$78,'caseload data'!$D:$D,"PO",'caseload data'!$B:$B,{"licence","community"}))/SUM(SUMIFS('caseload data'!I:I,'caseload data'!$B:$B,{"licence","community"},'caseload data'!$C:$C,'community %'!$T$78)),"")</f>
        <v/>
      </c>
      <c r="Z80" s="167" t="str" cm="1">
        <f t="array" ref="Z80">IFERROR(SUM(SUMIFS('caseload data'!J:J,'caseload data'!$C:$C,'community %'!$T$78,'caseload data'!$D:$D,"PO",'caseload data'!$B:$B,{"licence","community"}))/SUM(SUMIFS('caseload data'!J:J,'caseload data'!$B:$B,{"licence","community"},'caseload data'!$C:$C,'community %'!$T$78)),"")</f>
        <v/>
      </c>
      <c r="AA80" s="167" t="str" cm="1">
        <f t="array" ref="AA80">IFERROR(SUM(SUMIFS('caseload data'!K:K,'caseload data'!$C:$C,'community %'!$T$78,'caseload data'!$D:$D,"PO",'caseload data'!$B:$B,{"licence","community"}))/SUM(SUMIFS('caseload data'!K:K,'caseload data'!$B:$B,{"licence","community"},'caseload data'!$C:$C,'community %'!$T$78)),"")</f>
        <v/>
      </c>
      <c r="AB80" s="167" t="str" cm="1">
        <f t="array" ref="AB80">IFERROR(SUM(SUMIFS('caseload data'!L:L,'caseload data'!$C:$C,'community %'!$T$78,'caseload data'!$D:$D,"PO",'caseload data'!$B:$B,{"licence","community"}))/SUM(SUMIFS('caseload data'!L:L,'caseload data'!$B:$B,{"licence","community"},'caseload data'!$C:$C,'community %'!$T$78)),"")</f>
        <v/>
      </c>
      <c r="AC80" s="167" t="str" cm="1">
        <f t="array" ref="AC80">IFERROR(SUM(SUMIFS('caseload data'!M:M,'caseload data'!$C:$C,'community %'!$T$78,'caseload data'!$D:$D,"PO",'caseload data'!$B:$B,{"licence","community"}))/SUM(SUMIFS('caseload data'!M:M,'caseload data'!$B:$B,{"licence","community"},'caseload data'!$C:$C,'community %'!$T$78)),"")</f>
        <v/>
      </c>
      <c r="AD80" s="167" t="str" cm="1">
        <f t="array" ref="AD80">IFERROR(SUM(SUMIFS('caseload data'!N:N,'caseload data'!$C:$C,'community %'!$T$78,'caseload data'!$D:$D,"PO",'caseload data'!$B:$B,{"licence","community"}))/SUM(SUMIFS('caseload data'!N:N,'caseload data'!$B:$B,{"licence","community"},'caseload data'!$C:$C,'community %'!$T$78)),"")</f>
        <v/>
      </c>
      <c r="AE80" s="167" t="str" cm="1">
        <f t="array" ref="AE80">IFERROR(SUM(SUMIFS('caseload data'!O:O,'caseload data'!$C:$C,'community %'!$T$78,'caseload data'!$D:$D,"PO",'caseload data'!$B:$B,{"licence","community"}))/SUM(SUMIFS('caseload data'!O:O,'caseload data'!$B:$B,{"licence","community"},'caseload data'!$C:$C,'community %'!$T$78)),"")</f>
        <v/>
      </c>
      <c r="AF80" s="167" t="str" cm="1">
        <f t="array" ref="AF80">IFERROR(SUM(SUMIFS('caseload data'!P:P,'caseload data'!$C:$C,'community %'!$T$78,'caseload data'!$D:$D,"PO",'caseload data'!$B:$B,{"licence","community"}))/SUM(SUMIFS('caseload data'!P:P,'caseload data'!$B:$B,{"licence","community"},'caseload data'!$C:$C,'community %'!$T$78)),"")</f>
        <v/>
      </c>
      <c r="AG80" s="167" t="str" cm="1">
        <f t="array" ref="AG80">IFERROR(SUM(SUMIFS('caseload data'!Q:Q,'caseload data'!$C:$C,'community %'!$T$78,'caseload data'!$D:$D,"PO",'caseload data'!$B:$B,{"licence","community"}))/SUM(SUMIFS('caseload data'!Q:Q,'caseload data'!$B:$B,{"licence","community"},'caseload data'!$C:$C,'community %'!$T$78)),"")</f>
        <v/>
      </c>
      <c r="AH80" s="167" t="str" cm="1">
        <f t="array" ref="AH80">IFERROR(SUM(SUMIFS('caseload data'!R:R,'caseload data'!$C:$C,'community %'!$T$78,'caseload data'!$D:$D,"PO",'caseload data'!$B:$B,{"licence","community"}))/SUM(SUMIFS('caseload data'!R:R,'caseload data'!$B:$B,{"licence","community"},'caseload data'!$C:$C,'community %'!$T$78)),"")</f>
        <v/>
      </c>
      <c r="AI80" s="167" t="str" cm="1">
        <f t="array" ref="AI80">IFERROR(SUM(SUMIFS('caseload data'!S:S,'caseload data'!$C:$C,'community %'!$T$78,'caseload data'!$D:$D,"PO",'caseload data'!$B:$B,{"licence","community"}))/SUM(SUMIFS('caseload data'!S:S,'caseload data'!$B:$B,{"licence","community"},'caseload data'!$C:$C,'community %'!$T$78)),"")</f>
        <v/>
      </c>
      <c r="AJ80" s="167" t="str" cm="1">
        <f t="array" ref="AJ80">IFERROR(SUM(SUMIFS('caseload data'!T:T,'caseload data'!$C:$C,'community %'!$T$78,'caseload data'!$D:$D,"PO",'caseload data'!$B:$B,{"licence","community"}))/SUM(SUMIFS('caseload data'!T:T,'caseload data'!$B:$B,{"licence","community"},'caseload data'!$C:$C,'community %'!$T$78)),"")</f>
        <v/>
      </c>
    </row>
    <row r="81" spans="2:36" x14ac:dyDescent="0.15">
      <c r="B81" s="97" t="s">
        <v>1007</v>
      </c>
      <c r="C81" s="167" t="str" cm="1">
        <f t="array" ref="C81">IFERROR(SUM(SUMIFS('caseload data'!E:E,'caseload data'!$C:$C,'community %'!$B$78,'caseload data'!$D:$D,"PSO",'caseload data'!$B:$B,{"licence","community"}))/SUM(SUMIFS('caseload data'!E:E,'caseload data'!$B:$B,{"licence","community"},'caseload data'!$C:$C,'community %'!$B$78)),"")</f>
        <v/>
      </c>
      <c r="D81" s="167" t="str" cm="1">
        <f t="array" ref="D81">IFERROR(SUM(SUMIFS('caseload data'!F:F,'caseload data'!$C:$C,'community %'!$B$78,'caseload data'!$D:$D,"PSO",'caseload data'!$B:$B,{"licence","community"}))/SUM(SUMIFS('caseload data'!F:F,'caseload data'!$B:$B,{"licence","community"},'caseload data'!$C:$C,'community %'!$B$78)),"")</f>
        <v/>
      </c>
      <c r="E81" s="167" t="str" cm="1">
        <f t="array" ref="E81">IFERROR(SUM(SUMIFS('caseload data'!G:G,'caseload data'!$C:$C,'community %'!$B$78,'caseload data'!$D:$D,"PSO",'caseload data'!$B:$B,{"licence","community"}))/SUM(SUMIFS('caseload data'!G:G,'caseload data'!$B:$B,{"licence","community"},'caseload data'!$C:$C,'community %'!$B$78)),"")</f>
        <v/>
      </c>
      <c r="F81" s="167" t="str" cm="1">
        <f t="array" ref="F81">IFERROR(SUM(SUMIFS('caseload data'!H:H,'caseload data'!$C:$C,'community %'!$B$78,'caseload data'!$D:$D,"PSO",'caseload data'!$B:$B,{"licence","community"}))/SUM(SUMIFS('caseload data'!H:H,'caseload data'!$B:$B,{"licence","community"},'caseload data'!$C:$C,'community %'!$B$78)),"")</f>
        <v/>
      </c>
      <c r="G81" s="167" t="str" cm="1">
        <f t="array" ref="G81">IFERROR(SUM(SUMIFS('caseload data'!I:I,'caseload data'!$C:$C,'community %'!$B$78,'caseload data'!$D:$D,"PSO",'caseload data'!$B:$B,{"licence","community"}))/SUM(SUMIFS('caseload data'!I:I,'caseload data'!$B:$B,{"licence","community"},'caseload data'!$C:$C,'community %'!$B$78)),"")</f>
        <v/>
      </c>
      <c r="H81" s="167" t="str" cm="1">
        <f t="array" ref="H81">IFERROR(SUM(SUMIFS('caseload data'!J:J,'caseload data'!$C:$C,'community %'!$B$78,'caseload data'!$D:$D,"PSO",'caseload data'!$B:$B,{"licence","community"}))/SUM(SUMIFS('caseload data'!J:J,'caseload data'!$B:$B,{"licence","community"},'caseload data'!$C:$C,'community %'!$B$78)),"")</f>
        <v/>
      </c>
      <c r="I81" s="167" t="str" cm="1">
        <f t="array" ref="I81">IFERROR(SUM(SUMIFS('caseload data'!K:K,'caseload data'!$C:$C,'community %'!$B$78,'caseload data'!$D:$D,"PSO",'caseload data'!$B:$B,{"licence","community"}))/SUM(SUMIFS('caseload data'!K:K,'caseload data'!$B:$B,{"licence","community"},'caseload data'!$C:$C,'community %'!$B$78)),"")</f>
        <v/>
      </c>
      <c r="J81" s="167" t="str" cm="1">
        <f t="array" ref="J81">IFERROR(SUM(SUMIFS('caseload data'!L:L,'caseload data'!$C:$C,'community %'!$B$78,'caseload data'!$D:$D,"PSO",'caseload data'!$B:$B,{"licence","community"}))/SUM(SUMIFS('caseload data'!L:L,'caseload data'!$B:$B,{"licence","community"},'caseload data'!$C:$C,'community %'!$B$78)),"")</f>
        <v/>
      </c>
      <c r="K81" s="167" t="str" cm="1">
        <f t="array" ref="K81">IFERROR(SUM(SUMIFS('caseload data'!M:M,'caseload data'!$C:$C,'community %'!$B$78,'caseload data'!$D:$D,"PSO",'caseload data'!$B:$B,{"licence","community"}))/SUM(SUMIFS('caseload data'!M:M,'caseload data'!$B:$B,{"licence","community"},'caseload data'!$C:$C,'community %'!$B$78)),"")</f>
        <v/>
      </c>
      <c r="L81" s="167" t="str" cm="1">
        <f t="array" ref="L81">IFERROR(SUM(SUMIFS('caseload data'!N:N,'caseload data'!$C:$C,'community %'!$B$78,'caseload data'!$D:$D,"PSO",'caseload data'!$B:$B,{"licence","community"}))/SUM(SUMIFS('caseload data'!N:N,'caseload data'!$B:$B,{"licence","community"},'caseload data'!$C:$C,'community %'!$B$78)),"")</f>
        <v/>
      </c>
      <c r="M81" s="167" t="str" cm="1">
        <f t="array" ref="M81">IFERROR(SUM(SUMIFS('caseload data'!O:O,'caseload data'!$C:$C,'community %'!$B$78,'caseload data'!$D:$D,"PSO",'caseload data'!$B:$B,{"licence","community"}))/SUM(SUMIFS('caseload data'!O:O,'caseload data'!$B:$B,{"licence","community"},'caseload data'!$C:$C,'community %'!$B$78)),"")</f>
        <v/>
      </c>
      <c r="N81" s="167" t="str" cm="1">
        <f t="array" ref="N81">IFERROR(SUM(SUMIFS('caseload data'!P:P,'caseload data'!$C:$C,'community %'!$B$78,'caseload data'!$D:$D,"PSO",'caseload data'!$B:$B,{"licence","community"}))/SUM(SUMIFS('caseload data'!P:P,'caseload data'!$B:$B,{"licence","community"},'caseload data'!$C:$C,'community %'!$B$78)),"")</f>
        <v/>
      </c>
      <c r="O81" s="167" t="str" cm="1">
        <f t="array" ref="O81">IFERROR(SUM(SUMIFS('caseload data'!Q:Q,'caseload data'!$C:$C,'community %'!$B$78,'caseload data'!$D:$D,"PSO",'caseload data'!$B:$B,{"licence","community"}))/SUM(SUMIFS('caseload data'!Q:Q,'caseload data'!$B:$B,{"licence","community"},'caseload data'!$C:$C,'community %'!$B$78)),"")</f>
        <v/>
      </c>
      <c r="P81" s="167" t="str" cm="1">
        <f t="array" ref="P81">IFERROR(SUM(SUMIFS('caseload data'!R:R,'caseload data'!$C:$C,'community %'!$B$78,'caseload data'!$D:$D,"PSO",'caseload data'!$B:$B,{"licence","community"}))/SUM(SUMIFS('caseload data'!R:R,'caseload data'!$B:$B,{"licence","community"},'caseload data'!$C:$C,'community %'!$B$78)),"")</f>
        <v/>
      </c>
      <c r="Q81" s="167" t="str" cm="1">
        <f t="array" ref="Q81">IFERROR(SUM(SUMIFS('caseload data'!S:S,'caseload data'!$C:$C,'community %'!$B$78,'caseload data'!$D:$D,"PSO",'caseload data'!$B:$B,{"licence","community"}))/SUM(SUMIFS('caseload data'!S:S,'caseload data'!$B:$B,{"licence","community"},'caseload data'!$C:$C,'community %'!$B$78)),"")</f>
        <v/>
      </c>
      <c r="R81" s="167" t="str" cm="1">
        <f t="array" ref="R81">IFERROR(SUM(SUMIFS('caseload data'!T:T,'caseload data'!$C:$C,'community %'!$B$78,'caseload data'!$D:$D,"PSO",'caseload data'!$B:$B,{"licence","community"}))/SUM(SUMIFS('caseload data'!T:T,'caseload data'!$B:$B,{"licence","community"},'caseload data'!$C:$C,'community %'!$B$78)),"")</f>
        <v/>
      </c>
      <c r="T81" s="97" t="s">
        <v>1007</v>
      </c>
      <c r="U81" s="167" t="str" cm="1">
        <f t="array" ref="U81">IFERROR(SUM(SUMIFS('caseload data'!E:E,'caseload data'!$C:$C,'community %'!$T$78,'caseload data'!$D:$D,"PSO",'caseload data'!$B:$B,{"licence","community"}))/SUM(SUMIFS('caseload data'!E:E,'caseload data'!$B:$B,{"licence","community"},'caseload data'!$C:$C,'community %'!$T$78)),"")</f>
        <v/>
      </c>
      <c r="V81" s="167" t="str" cm="1">
        <f t="array" ref="V81">IFERROR(SUM(SUMIFS('caseload data'!F:F,'caseload data'!$C:$C,'community %'!$T$78,'caseload data'!$D:$D,"PSO",'caseload data'!$B:$B,{"licence","community"}))/SUM(SUMIFS('caseload data'!F:F,'caseload data'!$B:$B,{"licence","community"},'caseload data'!$C:$C,'community %'!$T$78)),"")</f>
        <v/>
      </c>
      <c r="W81" s="167" t="str" cm="1">
        <f t="array" ref="W81">IFERROR(SUM(SUMIFS('caseload data'!G:G,'caseload data'!$C:$C,'community %'!$T$78,'caseload data'!$D:$D,"PSO",'caseload data'!$B:$B,{"licence","community"}))/SUM(SUMIFS('caseload data'!G:G,'caseload data'!$B:$B,{"licence","community"},'caseload data'!$C:$C,'community %'!$T$78)),"")</f>
        <v/>
      </c>
      <c r="X81" s="167" t="str" cm="1">
        <f t="array" ref="X81">IFERROR(SUM(SUMIFS('caseload data'!H:H,'caseload data'!$C:$C,'community %'!$T$78,'caseload data'!$D:$D,"PSO",'caseload data'!$B:$B,{"licence","community"}))/SUM(SUMIFS('caseload data'!H:H,'caseload data'!$B:$B,{"licence","community"},'caseload data'!$C:$C,'community %'!$T$78)),"")</f>
        <v/>
      </c>
      <c r="Y81" s="167" t="str" cm="1">
        <f t="array" ref="Y81">IFERROR(SUM(SUMIFS('caseload data'!I:I,'caseload data'!$C:$C,'community %'!$T$78,'caseload data'!$D:$D,"PSO",'caseload data'!$B:$B,{"licence","community"}))/SUM(SUMIFS('caseload data'!I:I,'caseload data'!$B:$B,{"licence","community"},'caseload data'!$C:$C,'community %'!$T$78)),"")</f>
        <v/>
      </c>
      <c r="Z81" s="167" t="str" cm="1">
        <f t="array" ref="Z81">IFERROR(SUM(SUMIFS('caseload data'!J:J,'caseload data'!$C:$C,'community %'!$T$78,'caseload data'!$D:$D,"PSO",'caseload data'!$B:$B,{"licence","community"}))/SUM(SUMIFS('caseload data'!J:J,'caseload data'!$B:$B,{"licence","community"},'caseload data'!$C:$C,'community %'!$T$78)),"")</f>
        <v/>
      </c>
      <c r="AA81" s="167" t="str" cm="1">
        <f t="array" ref="AA81">IFERROR(SUM(SUMIFS('caseload data'!K:K,'caseload data'!$C:$C,'community %'!$T$78,'caseload data'!$D:$D,"PSO",'caseload data'!$B:$B,{"licence","community"}))/SUM(SUMIFS('caseload data'!K:K,'caseload data'!$B:$B,{"licence","community"},'caseload data'!$C:$C,'community %'!$T$78)),"")</f>
        <v/>
      </c>
      <c r="AB81" s="167" t="str" cm="1">
        <f t="array" ref="AB81">IFERROR(SUM(SUMIFS('caseload data'!L:L,'caseload data'!$C:$C,'community %'!$T$78,'caseload data'!$D:$D,"PSO",'caseload data'!$B:$B,{"licence","community"}))/SUM(SUMIFS('caseload data'!L:L,'caseload data'!$B:$B,{"licence","community"},'caseload data'!$C:$C,'community %'!$T$78)),"")</f>
        <v/>
      </c>
      <c r="AC81" s="167" t="str" cm="1">
        <f t="array" ref="AC81">IFERROR(SUM(SUMIFS('caseload data'!M:M,'caseload data'!$C:$C,'community %'!$T$78,'caseload data'!$D:$D,"PSO",'caseload data'!$B:$B,{"licence","community"}))/SUM(SUMIFS('caseload data'!M:M,'caseload data'!$B:$B,{"licence","community"},'caseload data'!$C:$C,'community %'!$T$78)),"")</f>
        <v/>
      </c>
      <c r="AD81" s="167" t="str" cm="1">
        <f t="array" ref="AD81">IFERROR(SUM(SUMIFS('caseload data'!N:N,'caseload data'!$C:$C,'community %'!$T$78,'caseload data'!$D:$D,"PSO",'caseload data'!$B:$B,{"licence","community"}))/SUM(SUMIFS('caseload data'!N:N,'caseload data'!$B:$B,{"licence","community"},'caseload data'!$C:$C,'community %'!$T$78)),"")</f>
        <v/>
      </c>
      <c r="AE81" s="167" t="str" cm="1">
        <f t="array" ref="AE81">IFERROR(SUM(SUMIFS('caseload data'!O:O,'caseload data'!$C:$C,'community %'!$T$78,'caseload data'!$D:$D,"PSO",'caseload data'!$B:$B,{"licence","community"}))/SUM(SUMIFS('caseload data'!O:O,'caseload data'!$B:$B,{"licence","community"},'caseload data'!$C:$C,'community %'!$T$78)),"")</f>
        <v/>
      </c>
      <c r="AF81" s="167" t="str" cm="1">
        <f t="array" ref="AF81">IFERROR(SUM(SUMIFS('caseload data'!P:P,'caseload data'!$C:$C,'community %'!$T$78,'caseload data'!$D:$D,"PSO",'caseload data'!$B:$B,{"licence","community"}))/SUM(SUMIFS('caseload data'!P:P,'caseload data'!$B:$B,{"licence","community"},'caseload data'!$C:$C,'community %'!$T$78)),"")</f>
        <v/>
      </c>
      <c r="AG81" s="167" t="str" cm="1">
        <f t="array" ref="AG81">IFERROR(SUM(SUMIFS('caseload data'!Q:Q,'caseload data'!$C:$C,'community %'!$T$78,'caseload data'!$D:$D,"PSO",'caseload data'!$B:$B,{"licence","community"}))/SUM(SUMIFS('caseload data'!Q:Q,'caseload data'!$B:$B,{"licence","community"},'caseload data'!$C:$C,'community %'!$T$78)),"")</f>
        <v/>
      </c>
      <c r="AH81" s="167" t="str" cm="1">
        <f t="array" ref="AH81">IFERROR(SUM(SUMIFS('caseload data'!R:R,'caseload data'!$C:$C,'community %'!$T$78,'caseload data'!$D:$D,"PSO",'caseload data'!$B:$B,{"licence","community"}))/SUM(SUMIFS('caseload data'!R:R,'caseload data'!$B:$B,{"licence","community"},'caseload data'!$C:$C,'community %'!$T$78)),"")</f>
        <v/>
      </c>
      <c r="AI81" s="167" t="str" cm="1">
        <f t="array" ref="AI81">IFERROR(SUM(SUMIFS('caseload data'!S:S,'caseload data'!$C:$C,'community %'!$T$78,'caseload data'!$D:$D,"PSO",'caseload data'!$B:$B,{"licence","community"}))/SUM(SUMIFS('caseload data'!S:S,'caseload data'!$B:$B,{"licence","community"},'caseload data'!$C:$C,'community %'!$T$78)),"")</f>
        <v/>
      </c>
      <c r="AJ81" s="167" t="str" cm="1">
        <f t="array" ref="AJ81">IFERROR(SUM(SUMIFS('caseload data'!T:T,'caseload data'!$C:$C,'community %'!$T$78,'caseload data'!$D:$D,"PSO",'caseload data'!$B:$B,{"licence","community"}))/SUM(SUMIFS('caseload data'!T:T,'caseload data'!$B:$B,{"licence","community"},'caseload data'!$C:$C,'community %'!$T$78)),"")</f>
        <v/>
      </c>
    </row>
    <row r="82" spans="2:36" x14ac:dyDescent="0.15">
      <c r="B82" s="97" t="s">
        <v>1008</v>
      </c>
      <c r="C82" s="167" t="str" cm="1">
        <f t="array" ref="C82">IFERROR(SUM(SUMIFS('caseload data'!E:E,'caseload data'!$C:$C,'community %'!$B$78,'caseload data'!$D:$D,"TPO",'caseload data'!$B:$B,{"licence","community"}))/SUM(SUMIFS('caseload data'!E:E,'caseload data'!$B:$B,{"licence","community"},'caseload data'!$C:$C,'community %'!$B$78)),"")</f>
        <v/>
      </c>
      <c r="D82" s="167" t="str" cm="1">
        <f t="array" ref="D82">IFERROR(SUM(SUMIFS('caseload data'!F:F,'caseload data'!$C:$C,'community %'!$B$78,'caseload data'!$D:$D,"TPO",'caseload data'!$B:$B,{"licence","community"}))/SUM(SUMIFS('caseload data'!F:F,'caseload data'!$B:$B,{"licence","community"},'caseload data'!$C:$C,'community %'!$B$78)),"")</f>
        <v/>
      </c>
      <c r="E82" s="167" t="str" cm="1">
        <f t="array" ref="E82">IFERROR(SUM(SUMIFS('caseload data'!G:G,'caseload data'!$C:$C,'community %'!$B$78,'caseload data'!$D:$D,"TPO",'caseload data'!$B:$B,{"licence","community"}))/SUM(SUMIFS('caseload data'!G:G,'caseload data'!$B:$B,{"licence","community"},'caseload data'!$C:$C,'community %'!$B$78)),"")</f>
        <v/>
      </c>
      <c r="F82" s="167" t="str" cm="1">
        <f t="array" ref="F82">IFERROR(SUM(SUMIFS('caseload data'!H:H,'caseload data'!$C:$C,'community %'!$B$78,'caseload data'!$D:$D,"TPO",'caseload data'!$B:$B,{"licence","community"}))/SUM(SUMIFS('caseload data'!H:H,'caseload data'!$B:$B,{"licence","community"},'caseload data'!$C:$C,'community %'!$B$78)),"")</f>
        <v/>
      </c>
      <c r="G82" s="167" t="str" cm="1">
        <f t="array" ref="G82">IFERROR(SUM(SUMIFS('caseload data'!I:I,'caseload data'!$C:$C,'community %'!$B$78,'caseload data'!$D:$D,"TPO",'caseload data'!$B:$B,{"licence","community"}))/SUM(SUMIFS('caseload data'!I:I,'caseload data'!$B:$B,{"licence","community"},'caseload data'!$C:$C,'community %'!$B$78)),"")</f>
        <v/>
      </c>
      <c r="H82" s="167" t="str" cm="1">
        <f t="array" ref="H82">IFERROR(SUM(SUMIFS('caseload data'!J:J,'caseload data'!$C:$C,'community %'!$B$78,'caseload data'!$D:$D,"TPO",'caseload data'!$B:$B,{"licence","community"}))/SUM(SUMIFS('caseload data'!J:J,'caseload data'!$B:$B,{"licence","community"},'caseload data'!$C:$C,'community %'!$B$78)),"")</f>
        <v/>
      </c>
      <c r="I82" s="167" t="str" cm="1">
        <f t="array" ref="I82">IFERROR(SUM(SUMIFS('caseload data'!K:K,'caseload data'!$C:$C,'community %'!$B$78,'caseload data'!$D:$D,"TPO",'caseload data'!$B:$B,{"licence","community"}))/SUM(SUMIFS('caseload data'!K:K,'caseload data'!$B:$B,{"licence","community"},'caseload data'!$C:$C,'community %'!$B$78)),"")</f>
        <v/>
      </c>
      <c r="J82" s="167" t="str" cm="1">
        <f t="array" ref="J82">IFERROR(SUM(SUMIFS('caseload data'!L:L,'caseload data'!$C:$C,'community %'!$B$78,'caseload data'!$D:$D,"TPO",'caseload data'!$B:$B,{"licence","community"}))/SUM(SUMIFS('caseload data'!L:L,'caseload data'!$B:$B,{"licence","community"},'caseload data'!$C:$C,'community %'!$B$78)),"")</f>
        <v/>
      </c>
      <c r="K82" s="167" t="str" cm="1">
        <f t="array" ref="K82">IFERROR(SUM(SUMIFS('caseload data'!M:M,'caseload data'!$C:$C,'community %'!$B$78,'caseload data'!$D:$D,"TPO",'caseload data'!$B:$B,{"licence","community"}))/SUM(SUMIFS('caseload data'!M:M,'caseload data'!$B:$B,{"licence","community"},'caseload data'!$C:$C,'community %'!$B$78)),"")</f>
        <v/>
      </c>
      <c r="L82" s="167" t="str" cm="1">
        <f t="array" ref="L82">IFERROR(SUM(SUMIFS('caseload data'!N:N,'caseload data'!$C:$C,'community %'!$B$78,'caseload data'!$D:$D,"TPO",'caseload data'!$B:$B,{"licence","community"}))/SUM(SUMIFS('caseload data'!N:N,'caseload data'!$B:$B,{"licence","community"},'caseload data'!$C:$C,'community %'!$B$78)),"")</f>
        <v/>
      </c>
      <c r="M82" s="167" t="str" cm="1">
        <f t="array" ref="M82">IFERROR(SUM(SUMIFS('caseload data'!O:O,'caseload data'!$C:$C,'community %'!$B$78,'caseload data'!$D:$D,"TPO",'caseload data'!$B:$B,{"licence","community"}))/SUM(SUMIFS('caseload data'!O:O,'caseload data'!$B:$B,{"licence","community"},'caseload data'!$C:$C,'community %'!$B$78)),"")</f>
        <v/>
      </c>
      <c r="N82" s="167" t="str" cm="1">
        <f t="array" ref="N82">IFERROR(SUM(SUMIFS('caseload data'!P:P,'caseload data'!$C:$C,'community %'!$B$78,'caseload data'!$D:$D,"TPO",'caseload data'!$B:$B,{"licence","community"}))/SUM(SUMIFS('caseload data'!P:P,'caseload data'!$B:$B,{"licence","community"},'caseload data'!$C:$C,'community %'!$B$78)),"")</f>
        <v/>
      </c>
      <c r="O82" s="167" t="str" cm="1">
        <f t="array" ref="O82">IFERROR(SUM(SUMIFS('caseload data'!Q:Q,'caseload data'!$C:$C,'community %'!$B$78,'caseload data'!$D:$D,"TPO",'caseload data'!$B:$B,{"licence","community"}))/SUM(SUMIFS('caseload data'!Q:Q,'caseload data'!$B:$B,{"licence","community"},'caseload data'!$C:$C,'community %'!$B$78)),"")</f>
        <v/>
      </c>
      <c r="P82" s="167" t="str" cm="1">
        <f t="array" ref="P82">IFERROR(SUM(SUMIFS('caseload data'!R:R,'caseload data'!$C:$C,'community %'!$B$78,'caseload data'!$D:$D,"TPO",'caseload data'!$B:$B,{"licence","community"}))/SUM(SUMIFS('caseload data'!R:R,'caseload data'!$B:$B,{"licence","community"},'caseload data'!$C:$C,'community %'!$B$78)),"")</f>
        <v/>
      </c>
      <c r="Q82" s="167" t="str" cm="1">
        <f t="array" ref="Q82">IFERROR(SUM(SUMIFS('caseload data'!S:S,'caseload data'!$C:$C,'community %'!$B$78,'caseload data'!$D:$D,"TPO",'caseload data'!$B:$B,{"licence","community"}))/SUM(SUMIFS('caseload data'!S:S,'caseload data'!$B:$B,{"licence","community"},'caseload data'!$C:$C,'community %'!$B$78)),"")</f>
        <v/>
      </c>
      <c r="R82" s="167" t="str" cm="1">
        <f t="array" ref="R82">IFERROR(SUM(SUMIFS('caseload data'!T:T,'caseload data'!$C:$C,'community %'!$B$78,'caseload data'!$D:$D,"TPO",'caseload data'!$B:$B,{"licence","community"}))/SUM(SUMIFS('caseload data'!T:T,'caseload data'!$B:$B,{"licence","community"},'caseload data'!$C:$C,'community %'!$B$78)),"")</f>
        <v/>
      </c>
      <c r="T82" s="97" t="s">
        <v>1008</v>
      </c>
      <c r="U82" s="167" t="str" cm="1">
        <f t="array" ref="U82">IFERROR(SUM(SUMIFS('caseload data'!E:E,'caseload data'!$C:$C,'community %'!$T$78,'caseload data'!$D:$D,"TPO",'caseload data'!$B:$B,{"licence","community"}))/SUM(SUMIFS('caseload data'!E:E,'caseload data'!$B:$B,{"licence","community"},'caseload data'!$C:$C,'community %'!$T$78)),"")</f>
        <v/>
      </c>
      <c r="V82" s="167" t="str" cm="1">
        <f t="array" ref="V82">IFERROR(SUM(SUMIFS('caseload data'!F:F,'caseload data'!$C:$C,'community %'!$T$78,'caseload data'!$D:$D,"TPO",'caseload data'!$B:$B,{"licence","community"}))/SUM(SUMIFS('caseload data'!F:F,'caseload data'!$B:$B,{"licence","community"},'caseload data'!$C:$C,'community %'!$T$78)),"")</f>
        <v/>
      </c>
      <c r="W82" s="167" t="str" cm="1">
        <f t="array" ref="W82">IFERROR(SUM(SUMIFS('caseload data'!G:G,'caseload data'!$C:$C,'community %'!$T$78,'caseload data'!$D:$D,"TPO",'caseload data'!$B:$B,{"licence","community"}))/SUM(SUMIFS('caseload data'!G:G,'caseload data'!$B:$B,{"licence","community"},'caseload data'!$C:$C,'community %'!$T$78)),"")</f>
        <v/>
      </c>
      <c r="X82" s="167" t="str" cm="1">
        <f t="array" ref="X82">IFERROR(SUM(SUMIFS('caseload data'!H:H,'caseload data'!$C:$C,'community %'!$T$78,'caseload data'!$D:$D,"TPO",'caseload data'!$B:$B,{"licence","community"}))/SUM(SUMIFS('caseload data'!H:H,'caseload data'!$B:$B,{"licence","community"},'caseload data'!$C:$C,'community %'!$T$78)),"")</f>
        <v/>
      </c>
      <c r="Y82" s="167" t="str" cm="1">
        <f t="array" ref="Y82">IFERROR(SUM(SUMIFS('caseload data'!I:I,'caseload data'!$C:$C,'community %'!$T$78,'caseload data'!$D:$D,"TPO",'caseload data'!$B:$B,{"licence","community"}))/SUM(SUMIFS('caseload data'!I:I,'caseload data'!$B:$B,{"licence","community"},'caseload data'!$C:$C,'community %'!$T$78)),"")</f>
        <v/>
      </c>
      <c r="Z82" s="167" t="str" cm="1">
        <f t="array" ref="Z82">IFERROR(SUM(SUMIFS('caseload data'!J:J,'caseload data'!$C:$C,'community %'!$T$78,'caseload data'!$D:$D,"TPO",'caseload data'!$B:$B,{"licence","community"}))/SUM(SUMIFS('caseload data'!J:J,'caseload data'!$B:$B,{"licence","community"},'caseload data'!$C:$C,'community %'!$T$78)),"")</f>
        <v/>
      </c>
      <c r="AA82" s="167" t="str" cm="1">
        <f t="array" ref="AA82">IFERROR(SUM(SUMIFS('caseload data'!K:K,'caseload data'!$C:$C,'community %'!$T$78,'caseload data'!$D:$D,"TPO",'caseload data'!$B:$B,{"licence","community"}))/SUM(SUMIFS('caseload data'!K:K,'caseload data'!$B:$B,{"licence","community"},'caseload data'!$C:$C,'community %'!$T$78)),"")</f>
        <v/>
      </c>
      <c r="AB82" s="167" t="str" cm="1">
        <f t="array" ref="AB82">IFERROR(SUM(SUMIFS('caseload data'!L:L,'caseload data'!$C:$C,'community %'!$T$78,'caseload data'!$D:$D,"TPO",'caseload data'!$B:$B,{"licence","community"}))/SUM(SUMIFS('caseload data'!L:L,'caseload data'!$B:$B,{"licence","community"},'caseload data'!$C:$C,'community %'!$T$78)),"")</f>
        <v/>
      </c>
      <c r="AC82" s="167" t="str" cm="1">
        <f t="array" ref="AC82">IFERROR(SUM(SUMIFS('caseload data'!M:M,'caseload data'!$C:$C,'community %'!$T$78,'caseload data'!$D:$D,"TPO",'caseload data'!$B:$B,{"licence","community"}))/SUM(SUMIFS('caseload data'!M:M,'caseload data'!$B:$B,{"licence","community"},'caseload data'!$C:$C,'community %'!$T$78)),"")</f>
        <v/>
      </c>
      <c r="AD82" s="167" t="str" cm="1">
        <f t="array" ref="AD82">IFERROR(SUM(SUMIFS('caseload data'!N:N,'caseload data'!$C:$C,'community %'!$T$78,'caseload data'!$D:$D,"TPO",'caseload data'!$B:$B,{"licence","community"}))/SUM(SUMIFS('caseload data'!N:N,'caseload data'!$B:$B,{"licence","community"},'caseload data'!$C:$C,'community %'!$T$78)),"")</f>
        <v/>
      </c>
      <c r="AE82" s="167" t="str" cm="1">
        <f t="array" ref="AE82">IFERROR(SUM(SUMIFS('caseload data'!O:O,'caseload data'!$C:$C,'community %'!$T$78,'caseload data'!$D:$D,"TPO",'caseload data'!$B:$B,{"licence","community"}))/SUM(SUMIFS('caseload data'!O:O,'caseload data'!$B:$B,{"licence","community"},'caseload data'!$C:$C,'community %'!$T$78)),"")</f>
        <v/>
      </c>
      <c r="AF82" s="167" t="str" cm="1">
        <f t="array" ref="AF82">IFERROR(SUM(SUMIFS('caseload data'!P:P,'caseload data'!$C:$C,'community %'!$T$78,'caseload data'!$D:$D,"TPO",'caseload data'!$B:$B,{"licence","community"}))/SUM(SUMIFS('caseload data'!P:P,'caseload data'!$B:$B,{"licence","community"},'caseload data'!$C:$C,'community %'!$T$78)),"")</f>
        <v/>
      </c>
      <c r="AG82" s="167" t="str" cm="1">
        <f t="array" ref="AG82">IFERROR(SUM(SUMIFS('caseload data'!Q:Q,'caseload data'!$C:$C,'community %'!$T$78,'caseload data'!$D:$D,"TPO",'caseload data'!$B:$B,{"licence","community"}))/SUM(SUMIFS('caseload data'!Q:Q,'caseload data'!$B:$B,{"licence","community"},'caseload data'!$C:$C,'community %'!$T$78)),"")</f>
        <v/>
      </c>
      <c r="AH82" s="167" t="str" cm="1">
        <f t="array" ref="AH82">IFERROR(SUM(SUMIFS('caseload data'!R:R,'caseload data'!$C:$C,'community %'!$T$78,'caseload data'!$D:$D,"TPO",'caseload data'!$B:$B,{"licence","community"}))/SUM(SUMIFS('caseload data'!R:R,'caseload data'!$B:$B,{"licence","community"},'caseload data'!$C:$C,'community %'!$T$78)),"")</f>
        <v/>
      </c>
      <c r="AI82" s="167" t="str" cm="1">
        <f t="array" ref="AI82">IFERROR(SUM(SUMIFS('caseload data'!S:S,'caseload data'!$C:$C,'community %'!$T$78,'caseload data'!$D:$D,"TPO",'caseload data'!$B:$B,{"licence","community"}))/SUM(SUMIFS('caseload data'!S:S,'caseload data'!$B:$B,{"licence","community"},'caseload data'!$C:$C,'community %'!$T$78)),"")</f>
        <v/>
      </c>
      <c r="AJ82" s="167" t="str" cm="1">
        <f t="array" ref="AJ82">IFERROR(SUM(SUMIFS('caseload data'!T:T,'caseload data'!$C:$C,'community %'!$T$78,'caseload data'!$D:$D,"TPO",'caseload data'!$B:$B,{"licence","community"}))/SUM(SUMIFS('caseload data'!T:T,'caseload data'!$B:$B,{"licence","community"},'caseload data'!$C:$C,'community %'!$T$78)),"")</f>
        <v/>
      </c>
    </row>
    <row r="83" spans="2:36" x14ac:dyDescent="0.15">
      <c r="B83" s="98" t="s">
        <v>1009</v>
      </c>
      <c r="C83" s="167" t="str" cm="1">
        <f t="array" ref="C83">IFERROR(SUM(SUMIFS('caseload data'!E:E,'caseload data'!$C:$C,'community %'!$B$78,'caseload data'!$D:$D,"SPO",'caseload data'!$B:$B,{"licence","community"}))/SUM(SUMIFS('caseload data'!E:E,'caseload data'!$B:$B,{"licence","community"},'caseload data'!$C:$C,'community %'!$B$78)),"")</f>
        <v/>
      </c>
      <c r="D83" s="167" t="str" cm="1">
        <f t="array" ref="D83">IFERROR(SUM(SUMIFS('caseload data'!F:F,'caseload data'!$C:$C,'community %'!$B$78,'caseload data'!$D:$D,"SPO",'caseload data'!$B:$B,{"licence","community"}))/SUM(SUMIFS('caseload data'!F:F,'caseload data'!$B:$B,{"licence","community"},'caseload data'!$C:$C,'community %'!$B$78)),"")</f>
        <v/>
      </c>
      <c r="E83" s="167" t="str" cm="1">
        <f t="array" ref="E83">IFERROR(SUM(SUMIFS('caseload data'!G:G,'caseload data'!$C:$C,'community %'!$B$78,'caseload data'!$D:$D,"SPO",'caseload data'!$B:$B,{"licence","community"}))/SUM(SUMIFS('caseload data'!G:G,'caseload data'!$B:$B,{"licence","community"},'caseload data'!$C:$C,'community %'!$B$78)),"")</f>
        <v/>
      </c>
      <c r="F83" s="167" t="str" cm="1">
        <f t="array" ref="F83">IFERROR(SUM(SUMIFS('caseload data'!H:H,'caseload data'!$C:$C,'community %'!$B$78,'caseload data'!$D:$D,"SPO",'caseload data'!$B:$B,{"licence","community"}))/SUM(SUMIFS('caseload data'!H:H,'caseload data'!$B:$B,{"licence","community"},'caseload data'!$C:$C,'community %'!$B$78)),"")</f>
        <v/>
      </c>
      <c r="G83" s="167" t="str" cm="1">
        <f t="array" ref="G83">IFERROR(SUM(SUMIFS('caseload data'!I:I,'caseload data'!$C:$C,'community %'!$B$78,'caseload data'!$D:$D,"SPO",'caseload data'!$B:$B,{"licence","community"}))/SUM(SUMIFS('caseload data'!I:I,'caseload data'!$B:$B,{"licence","community"},'caseload data'!$C:$C,'community %'!$B$78)),"")</f>
        <v/>
      </c>
      <c r="H83" s="167" t="str" cm="1">
        <f t="array" ref="H83">IFERROR(SUM(SUMIFS('caseload data'!J:J,'caseload data'!$C:$C,'community %'!$B$78,'caseload data'!$D:$D,"SPO",'caseload data'!$B:$B,{"licence","community"}))/SUM(SUMIFS('caseload data'!J:J,'caseload data'!$B:$B,{"licence","community"},'caseload data'!$C:$C,'community %'!$B$78)),"")</f>
        <v/>
      </c>
      <c r="I83" s="167" t="str" cm="1">
        <f t="array" ref="I83">IFERROR(SUM(SUMIFS('caseload data'!K:K,'caseload data'!$C:$C,'community %'!$B$78,'caseload data'!$D:$D,"SPO",'caseload data'!$B:$B,{"licence","community"}))/SUM(SUMIFS('caseload data'!K:K,'caseload data'!$B:$B,{"licence","community"},'caseload data'!$C:$C,'community %'!$B$78)),"")</f>
        <v/>
      </c>
      <c r="J83" s="167" t="str" cm="1">
        <f t="array" ref="J83">IFERROR(SUM(SUMIFS('caseload data'!L:L,'caseload data'!$C:$C,'community %'!$B$78,'caseload data'!$D:$D,"SPO",'caseload data'!$B:$B,{"licence","community"}))/SUM(SUMIFS('caseload data'!L:L,'caseload data'!$B:$B,{"licence","community"},'caseload data'!$C:$C,'community %'!$B$78)),"")</f>
        <v/>
      </c>
      <c r="K83" s="167" t="str" cm="1">
        <f t="array" ref="K83">IFERROR(SUM(SUMIFS('caseload data'!M:M,'caseload data'!$C:$C,'community %'!$B$78,'caseload data'!$D:$D,"SPO",'caseload data'!$B:$B,{"licence","community"}))/SUM(SUMIFS('caseload data'!M:M,'caseload data'!$B:$B,{"licence","community"},'caseload data'!$C:$C,'community %'!$B$78)),"")</f>
        <v/>
      </c>
      <c r="L83" s="167" t="str" cm="1">
        <f t="array" ref="L83">IFERROR(SUM(SUMIFS('caseload data'!N:N,'caseload data'!$C:$C,'community %'!$B$78,'caseload data'!$D:$D,"SPO",'caseload data'!$B:$B,{"licence","community"}))/SUM(SUMIFS('caseload data'!N:N,'caseload data'!$B:$B,{"licence","community"},'caseload data'!$C:$C,'community %'!$B$78)),"")</f>
        <v/>
      </c>
      <c r="M83" s="167" t="str" cm="1">
        <f t="array" ref="M83">IFERROR(SUM(SUMIFS('caseload data'!O:O,'caseload data'!$C:$C,'community %'!$B$78,'caseload data'!$D:$D,"SPO",'caseload data'!$B:$B,{"licence","community"}))/SUM(SUMIFS('caseload data'!O:O,'caseload data'!$B:$B,{"licence","community"},'caseload data'!$C:$C,'community %'!$B$78)),"")</f>
        <v/>
      </c>
      <c r="N83" s="167" t="str" cm="1">
        <f t="array" ref="N83">IFERROR(SUM(SUMIFS('caseload data'!P:P,'caseload data'!$C:$C,'community %'!$B$78,'caseload data'!$D:$D,"SPO",'caseload data'!$B:$B,{"licence","community"}))/SUM(SUMIFS('caseload data'!P:P,'caseload data'!$B:$B,{"licence","community"},'caseload data'!$C:$C,'community %'!$B$78)),"")</f>
        <v/>
      </c>
      <c r="O83" s="167" t="str" cm="1">
        <f t="array" ref="O83">IFERROR(SUM(SUMIFS('caseload data'!Q:Q,'caseload data'!$C:$C,'community %'!$B$78,'caseload data'!$D:$D,"SPO",'caseload data'!$B:$B,{"licence","community"}))/SUM(SUMIFS('caseload data'!Q:Q,'caseload data'!$B:$B,{"licence","community"},'caseload data'!$C:$C,'community %'!$B$78)),"")</f>
        <v/>
      </c>
      <c r="P83" s="167" t="str" cm="1">
        <f t="array" ref="P83">IFERROR(SUM(SUMIFS('caseload data'!R:R,'caseload data'!$C:$C,'community %'!$B$78,'caseload data'!$D:$D,"SPO",'caseload data'!$B:$B,{"licence","community"}))/SUM(SUMIFS('caseload data'!R:R,'caseload data'!$B:$B,{"licence","community"},'caseload data'!$C:$C,'community %'!$B$78)),"")</f>
        <v/>
      </c>
      <c r="Q83" s="167" t="str" cm="1">
        <f t="array" ref="Q83">IFERROR(SUM(SUMIFS('caseload data'!S:S,'caseload data'!$C:$C,'community %'!$B$78,'caseload data'!$D:$D,"SPO",'caseload data'!$B:$B,{"licence","community"}))/SUM(SUMIFS('caseload data'!S:S,'caseload data'!$B:$B,{"licence","community"},'caseload data'!$C:$C,'community %'!$B$78)),"")</f>
        <v/>
      </c>
      <c r="R83" s="167" t="str" cm="1">
        <f t="array" ref="R83">IFERROR(SUM(SUMIFS('caseload data'!T:T,'caseload data'!$C:$C,'community %'!$B$78,'caseload data'!$D:$D,"SPO",'caseload data'!$B:$B,{"licence","community"}))/SUM(SUMIFS('caseload data'!T:T,'caseload data'!$B:$B,{"licence","community"},'caseload data'!$C:$C,'community %'!$B$78)),"")</f>
        <v/>
      </c>
      <c r="T83" s="98" t="s">
        <v>1009</v>
      </c>
      <c r="U83" s="167" t="str" cm="1">
        <f t="array" ref="U83">IFERROR(SUM(SUMIFS('caseload data'!E:E,'caseload data'!$C:$C,'community %'!$T$78,'caseload data'!$D:$D,"SPO",'caseload data'!$B:$B,{"licence","community"}))/SUM(SUMIFS('caseload data'!E:E,'caseload data'!$B:$B,{"licence","community"},'caseload data'!$C:$C,'community %'!$T$78)),"")</f>
        <v/>
      </c>
      <c r="V83" s="167" t="str" cm="1">
        <f t="array" ref="V83">IFERROR(SUM(SUMIFS('caseload data'!F:F,'caseload data'!$C:$C,'community %'!$T$78,'caseload data'!$D:$D,"SPO",'caseload data'!$B:$B,{"licence","community"}))/SUM(SUMIFS('caseload data'!F:F,'caseload data'!$B:$B,{"licence","community"},'caseload data'!$C:$C,'community %'!$T$78)),"")</f>
        <v/>
      </c>
      <c r="W83" s="167" t="str" cm="1">
        <f t="array" ref="W83">IFERROR(SUM(SUMIFS('caseload data'!G:G,'caseload data'!$C:$C,'community %'!$T$78,'caseload data'!$D:$D,"SPO",'caseload data'!$B:$B,{"licence","community"}))/SUM(SUMIFS('caseload data'!G:G,'caseload data'!$B:$B,{"licence","community"},'caseload data'!$C:$C,'community %'!$T$78)),"")</f>
        <v/>
      </c>
      <c r="X83" s="167" t="str" cm="1">
        <f t="array" ref="X83">IFERROR(SUM(SUMIFS('caseload data'!H:H,'caseload data'!$C:$C,'community %'!$T$78,'caseload data'!$D:$D,"SPO",'caseload data'!$B:$B,{"licence","community"}))/SUM(SUMIFS('caseload data'!H:H,'caseload data'!$B:$B,{"licence","community"},'caseload data'!$C:$C,'community %'!$T$78)),"")</f>
        <v/>
      </c>
      <c r="Y83" s="167" t="str" cm="1">
        <f t="array" ref="Y83">IFERROR(SUM(SUMIFS('caseload data'!I:I,'caseload data'!$C:$C,'community %'!$T$78,'caseload data'!$D:$D,"SPO",'caseload data'!$B:$B,{"licence","community"}))/SUM(SUMIFS('caseload data'!I:I,'caseload data'!$B:$B,{"licence","community"},'caseload data'!$C:$C,'community %'!$T$78)),"")</f>
        <v/>
      </c>
      <c r="Z83" s="167" t="str" cm="1">
        <f t="array" ref="Z83">IFERROR(SUM(SUMIFS('caseload data'!J:J,'caseload data'!$C:$C,'community %'!$T$78,'caseload data'!$D:$D,"SPO",'caseload data'!$B:$B,{"licence","community"}))/SUM(SUMIFS('caseload data'!J:J,'caseload data'!$B:$B,{"licence","community"},'caseload data'!$C:$C,'community %'!$T$78)),"")</f>
        <v/>
      </c>
      <c r="AA83" s="167" t="str" cm="1">
        <f t="array" ref="AA83">IFERROR(SUM(SUMIFS('caseload data'!K:K,'caseload data'!$C:$C,'community %'!$T$78,'caseload data'!$D:$D,"SPO",'caseload data'!$B:$B,{"licence","community"}))/SUM(SUMIFS('caseload data'!K:K,'caseload data'!$B:$B,{"licence","community"},'caseload data'!$C:$C,'community %'!$T$78)),"")</f>
        <v/>
      </c>
      <c r="AB83" s="167" t="str" cm="1">
        <f t="array" ref="AB83">IFERROR(SUM(SUMIFS('caseload data'!L:L,'caseload data'!$C:$C,'community %'!$T$78,'caseload data'!$D:$D,"SPO",'caseload data'!$B:$B,{"licence","community"}))/SUM(SUMIFS('caseload data'!L:L,'caseload data'!$B:$B,{"licence","community"},'caseload data'!$C:$C,'community %'!$T$78)),"")</f>
        <v/>
      </c>
      <c r="AC83" s="167" t="str" cm="1">
        <f t="array" ref="AC83">IFERROR(SUM(SUMIFS('caseload data'!M:M,'caseload data'!$C:$C,'community %'!$T$78,'caseload data'!$D:$D,"SPO",'caseload data'!$B:$B,{"licence","community"}))/SUM(SUMIFS('caseload data'!M:M,'caseload data'!$B:$B,{"licence","community"},'caseload data'!$C:$C,'community %'!$T$78)),"")</f>
        <v/>
      </c>
      <c r="AD83" s="167" t="str" cm="1">
        <f t="array" ref="AD83">IFERROR(SUM(SUMIFS('caseload data'!N:N,'caseload data'!$C:$C,'community %'!$T$78,'caseload data'!$D:$D,"SPO",'caseload data'!$B:$B,{"licence","community"}))/SUM(SUMIFS('caseload data'!N:N,'caseload data'!$B:$B,{"licence","community"},'caseload data'!$C:$C,'community %'!$T$78)),"")</f>
        <v/>
      </c>
      <c r="AE83" s="167" t="str" cm="1">
        <f t="array" ref="AE83">IFERROR(SUM(SUMIFS('caseload data'!O:O,'caseload data'!$C:$C,'community %'!$T$78,'caseload data'!$D:$D,"SPO",'caseload data'!$B:$B,{"licence","community"}))/SUM(SUMIFS('caseload data'!O:O,'caseload data'!$B:$B,{"licence","community"},'caseload data'!$C:$C,'community %'!$T$78)),"")</f>
        <v/>
      </c>
      <c r="AF83" s="167" t="str" cm="1">
        <f t="array" ref="AF83">IFERROR(SUM(SUMIFS('caseload data'!P:P,'caseload data'!$C:$C,'community %'!$T$78,'caseload data'!$D:$D,"SPO",'caseload data'!$B:$B,{"licence","community"}))/SUM(SUMIFS('caseload data'!P:P,'caseload data'!$B:$B,{"licence","community"},'caseload data'!$C:$C,'community %'!$T$78)),"")</f>
        <v/>
      </c>
      <c r="AG83" s="167" t="str" cm="1">
        <f t="array" ref="AG83">IFERROR(SUM(SUMIFS('caseload data'!Q:Q,'caseload data'!$C:$C,'community %'!$T$78,'caseload data'!$D:$D,"SPO",'caseload data'!$B:$B,{"licence","community"}))/SUM(SUMIFS('caseload data'!Q:Q,'caseload data'!$B:$B,{"licence","community"},'caseload data'!$C:$C,'community %'!$T$78)),"")</f>
        <v/>
      </c>
      <c r="AH83" s="167" t="str" cm="1">
        <f t="array" ref="AH83">IFERROR(SUM(SUMIFS('caseload data'!R:R,'caseload data'!$C:$C,'community %'!$T$78,'caseload data'!$D:$D,"SPO",'caseload data'!$B:$B,{"licence","community"}))/SUM(SUMIFS('caseload data'!R:R,'caseload data'!$B:$B,{"licence","community"},'caseload data'!$C:$C,'community %'!$T$78)),"")</f>
        <v/>
      </c>
      <c r="AI83" s="167" t="str" cm="1">
        <f t="array" ref="AI83">IFERROR(SUM(SUMIFS('caseload data'!S:S,'caseload data'!$C:$C,'community %'!$T$78,'caseload data'!$D:$D,"SPO",'caseload data'!$B:$B,{"licence","community"}))/SUM(SUMIFS('caseload data'!S:S,'caseload data'!$B:$B,{"licence","community"},'caseload data'!$C:$C,'community %'!$T$78)),"")</f>
        <v/>
      </c>
      <c r="AJ83" s="167" t="str" cm="1">
        <f t="array" ref="AJ83">IFERROR(SUM(SUMIFS('caseload data'!T:T,'caseload data'!$C:$C,'community %'!$T$78,'caseload data'!$D:$D,"SPO",'caseload data'!$B:$B,{"licence","community"}))/SUM(SUMIFS('caseload data'!T:T,'caseload data'!$B:$B,{"licence","community"},'caseload data'!$C:$C,'community %'!$T$78)),"")</f>
        <v/>
      </c>
    </row>
    <row r="85" spans="2:36" ht="16" x14ac:dyDescent="0.15">
      <c r="B85" s="289">
        <f>HLOOKUP($B$5,Region_Table,24,0)</f>
        <v>0</v>
      </c>
      <c r="C85" s="507" t="s">
        <v>1139</v>
      </c>
      <c r="D85" s="508"/>
      <c r="E85" s="508"/>
      <c r="F85" s="508"/>
      <c r="G85" s="508"/>
      <c r="H85" s="508"/>
      <c r="I85" s="508"/>
      <c r="J85" s="508"/>
      <c r="K85" s="508"/>
      <c r="L85" s="508"/>
      <c r="M85" s="537"/>
      <c r="N85" s="537"/>
      <c r="O85" s="538"/>
      <c r="P85" s="510" cm="1">
        <f t="array" ref="P85">SUM(SUMIFS('caseload data'!V:V,'caseload data'!B:B,{"licence","community"},'caseload data'!$C:$C,B85))</f>
        <v>0</v>
      </c>
      <c r="Q85" s="527"/>
      <c r="R85" s="528"/>
      <c r="T85" s="289">
        <f>HLOOKUP($B$5,Region_Table,25,0)</f>
        <v>0</v>
      </c>
      <c r="U85" s="507" t="s">
        <v>1139</v>
      </c>
      <c r="V85" s="508"/>
      <c r="W85" s="508"/>
      <c r="X85" s="508"/>
      <c r="Y85" s="508"/>
      <c r="Z85" s="508"/>
      <c r="AA85" s="508"/>
      <c r="AB85" s="508"/>
      <c r="AC85" s="508"/>
      <c r="AD85" s="508"/>
      <c r="AE85" s="537"/>
      <c r="AF85" s="537"/>
      <c r="AG85" s="538"/>
      <c r="AH85" s="510" cm="1">
        <f t="array" ref="AH85">SUM(SUMIFS('caseload data'!V:V,'caseload data'!B:B,{"licence","community"},'caseload data'!$C:$C,T85))</f>
        <v>0</v>
      </c>
      <c r="AI85" s="527"/>
      <c r="AJ85" s="528"/>
    </row>
    <row r="86" spans="2:36" x14ac:dyDescent="0.15">
      <c r="B86" s="95" t="s">
        <v>1005</v>
      </c>
      <c r="C86" s="38" t="s">
        <v>869</v>
      </c>
      <c r="D86" s="38" t="s">
        <v>870</v>
      </c>
      <c r="E86" s="38" t="s">
        <v>871</v>
      </c>
      <c r="F86" s="38" t="s">
        <v>872</v>
      </c>
      <c r="G86" s="38" t="s">
        <v>873</v>
      </c>
      <c r="H86" s="38" t="s">
        <v>874</v>
      </c>
      <c r="I86" s="38" t="s">
        <v>875</v>
      </c>
      <c r="J86" s="38" t="s">
        <v>876</v>
      </c>
      <c r="K86" s="38" t="s">
        <v>877</v>
      </c>
      <c r="L86" s="38" t="s">
        <v>878</v>
      </c>
      <c r="M86" s="38" t="s">
        <v>879</v>
      </c>
      <c r="N86" s="38" t="s">
        <v>880</v>
      </c>
      <c r="O86" s="38" t="s">
        <v>881</v>
      </c>
      <c r="P86" s="38" t="s">
        <v>882</v>
      </c>
      <c r="Q86" s="38" t="s">
        <v>883</v>
      </c>
      <c r="R86" s="38" t="s">
        <v>884</v>
      </c>
      <c r="T86" s="95" t="s">
        <v>1005</v>
      </c>
      <c r="U86" s="38" t="s">
        <v>869</v>
      </c>
      <c r="V86" s="38" t="s">
        <v>870</v>
      </c>
      <c r="W86" s="38" t="s">
        <v>871</v>
      </c>
      <c r="X86" s="38" t="s">
        <v>872</v>
      </c>
      <c r="Y86" s="38" t="s">
        <v>873</v>
      </c>
      <c r="Z86" s="38" t="s">
        <v>874</v>
      </c>
      <c r="AA86" s="38" t="s">
        <v>875</v>
      </c>
      <c r="AB86" s="38" t="s">
        <v>876</v>
      </c>
      <c r="AC86" s="38" t="s">
        <v>877</v>
      </c>
      <c r="AD86" s="38" t="s">
        <v>878</v>
      </c>
      <c r="AE86" s="38" t="s">
        <v>879</v>
      </c>
      <c r="AF86" s="38" t="s">
        <v>880</v>
      </c>
      <c r="AG86" s="38" t="s">
        <v>881</v>
      </c>
      <c r="AH86" s="38" t="s">
        <v>882</v>
      </c>
      <c r="AI86" s="38" t="s">
        <v>883</v>
      </c>
      <c r="AJ86" s="38" t="s">
        <v>884</v>
      </c>
    </row>
    <row r="87" spans="2:36" x14ac:dyDescent="0.15">
      <c r="B87" s="96" t="s">
        <v>1002</v>
      </c>
      <c r="C87" s="167" t="str" cm="1">
        <f t="array" ref="C87">IFERROR(SUM(SUMIFS('caseload data'!E:E,'caseload data'!$C:$C,'community %'!$B$85,'caseload data'!$D:$D,"PO",'caseload data'!$B:$B,{"licence","community"}))/SUM(SUMIFS('caseload data'!E:E,'caseload data'!$B:$B,{"licence","community"},'caseload data'!$C:$C,'community %'!$B$85)),"")</f>
        <v/>
      </c>
      <c r="D87" s="167" t="str" cm="1">
        <f t="array" ref="D87">IFERROR(SUM(SUMIFS('caseload data'!F:F,'caseload data'!$C:$C,'community %'!$B$85,'caseload data'!$D:$D,"PO",'caseload data'!$B:$B,{"licence","community"}))/SUM(SUMIFS('caseload data'!F:F,'caseload data'!$B:$B,{"licence","community"},'caseload data'!$C:$C,'community %'!$B$85)),"")</f>
        <v/>
      </c>
      <c r="E87" s="167" t="str" cm="1">
        <f t="array" ref="E87">IFERROR(SUM(SUMIFS('caseload data'!G:G,'caseload data'!$C:$C,'community %'!$B$85,'caseload data'!$D:$D,"PO",'caseload data'!$B:$B,{"licence","community"}))/SUM(SUMIFS('caseload data'!G:G,'caseload data'!$B:$B,{"licence","community"},'caseload data'!$C:$C,'community %'!$B$85)),"")</f>
        <v/>
      </c>
      <c r="F87" s="167" t="str" cm="1">
        <f t="array" ref="F87">IFERROR(SUM(SUMIFS('caseload data'!H:H,'caseload data'!$C:$C,'community %'!$B$85,'caseload data'!$D:$D,"PO",'caseload data'!$B:$B,{"licence","community"}))/SUM(SUMIFS('caseload data'!H:H,'caseload data'!$B:$B,{"licence","community"},'caseload data'!$C:$C,'community %'!$B$85)),"")</f>
        <v/>
      </c>
      <c r="G87" s="167" t="str" cm="1">
        <f t="array" ref="G87">IFERROR(SUM(SUMIFS('caseload data'!I:I,'caseload data'!$C:$C,'community %'!$B$85,'caseload data'!$D:$D,"PO",'caseload data'!$B:$B,{"licence","community"}))/SUM(SUMIFS('caseload data'!I:I,'caseload data'!$B:$B,{"licence","community"},'caseload data'!$C:$C,'community %'!$B$85)),"")</f>
        <v/>
      </c>
      <c r="H87" s="167" t="str" cm="1">
        <f t="array" ref="H87">IFERROR(SUM(SUMIFS('caseload data'!J:J,'caseload data'!$C:$C,'community %'!$B$85,'caseload data'!$D:$D,"PO",'caseload data'!$B:$B,{"licence","community"}))/SUM(SUMIFS('caseload data'!J:J,'caseload data'!$B:$B,{"licence","community"},'caseload data'!$C:$C,'community %'!$B$85)),"")</f>
        <v/>
      </c>
      <c r="I87" s="167" t="str" cm="1">
        <f t="array" ref="I87">IFERROR(SUM(SUMIFS('caseload data'!K:K,'caseload data'!$C:$C,'community %'!$B$85,'caseload data'!$D:$D,"PO",'caseload data'!$B:$B,{"licence","community"}))/SUM(SUMIFS('caseload data'!K:K,'caseload data'!$B:$B,{"licence","community"},'caseload data'!$C:$C,'community %'!$B$85)),"")</f>
        <v/>
      </c>
      <c r="J87" s="167" t="str" cm="1">
        <f t="array" ref="J87">IFERROR(SUM(SUMIFS('caseload data'!L:L,'caseload data'!$C:$C,'community %'!$B$85,'caseload data'!$D:$D,"PO",'caseload data'!$B:$B,{"licence","community"}))/SUM(SUMIFS('caseload data'!L:L,'caseload data'!$B:$B,{"licence","community"},'caseload data'!$C:$C,'community %'!$B$85)),"")</f>
        <v/>
      </c>
      <c r="K87" s="167" t="str" cm="1">
        <f t="array" ref="K87">IFERROR(SUM(SUMIFS('caseload data'!M:M,'caseload data'!$C:$C,'community %'!$B$85,'caseload data'!$D:$D,"PO",'caseload data'!$B:$B,{"licence","community"}))/SUM(SUMIFS('caseload data'!M:M,'caseload data'!$B:$B,{"licence","community"},'caseload data'!$C:$C,'community %'!$B$85)),"")</f>
        <v/>
      </c>
      <c r="L87" s="167" t="str" cm="1">
        <f t="array" ref="L87">IFERROR(SUM(SUMIFS('caseload data'!N:N,'caseload data'!$C:$C,'community %'!$B$85,'caseload data'!$D:$D,"PO",'caseload data'!$B:$B,{"licence","community"}))/SUM(SUMIFS('caseload data'!N:N,'caseload data'!$B:$B,{"licence","community"},'caseload data'!$C:$C,'community %'!$B$85)),"")</f>
        <v/>
      </c>
      <c r="M87" s="167" t="str" cm="1">
        <f t="array" ref="M87">IFERROR(SUM(SUMIFS('caseload data'!O:O,'caseload data'!$C:$C,'community %'!$B$85,'caseload data'!$D:$D,"PO",'caseload data'!$B:$B,{"licence","community"}))/SUM(SUMIFS('caseload data'!O:O,'caseload data'!$B:$B,{"licence","community"},'caseload data'!$C:$C,'community %'!$B$85)),"")</f>
        <v/>
      </c>
      <c r="N87" s="167" t="str" cm="1">
        <f t="array" ref="N87">IFERROR(SUM(SUMIFS('caseload data'!P:P,'caseload data'!$C:$C,'community %'!$B$85,'caseload data'!$D:$D,"PO",'caseload data'!$B:$B,{"licence","community"}))/SUM(SUMIFS('caseload data'!P:P,'caseload data'!$B:$B,{"licence","community"},'caseload data'!$C:$C,'community %'!$B$85)),"")</f>
        <v/>
      </c>
      <c r="O87" s="167" t="str" cm="1">
        <f t="array" ref="O87">IFERROR(SUM(SUMIFS('caseload data'!Q:Q,'caseload data'!$C:$C,'community %'!$B$85,'caseload data'!$D:$D,"PO",'caseload data'!$B:$B,{"licence","community"}))/SUM(SUMIFS('caseload data'!Q:Q,'caseload data'!$B:$B,{"licence","community"},'caseload data'!$C:$C,'community %'!$B$85)),"")</f>
        <v/>
      </c>
      <c r="P87" s="167" t="str" cm="1">
        <f t="array" ref="P87">IFERROR(SUM(SUMIFS('caseload data'!R:R,'caseload data'!$C:$C,'community %'!$B$85,'caseload data'!$D:$D,"PO",'caseload data'!$B:$B,{"licence","community"}))/SUM(SUMIFS('caseload data'!R:R,'caseload data'!$B:$B,{"licence","community"},'caseload data'!$C:$C,'community %'!$B$85)),"")</f>
        <v/>
      </c>
      <c r="Q87" s="167" t="str" cm="1">
        <f t="array" ref="Q87">IFERROR(SUM(SUMIFS('caseload data'!S:S,'caseload data'!$C:$C,'community %'!$B$85,'caseload data'!$D:$D,"PO",'caseload data'!$B:$B,{"licence","community"}))/SUM(SUMIFS('caseload data'!S:S,'caseload data'!$B:$B,{"licence","community"},'caseload data'!$C:$C,'community %'!$B$85)),"")</f>
        <v/>
      </c>
      <c r="R87" s="167" t="str" cm="1">
        <f t="array" ref="R87">IFERROR(SUM(SUMIFS('caseload data'!T:T,'caseload data'!$C:$C,'community %'!$B$85,'caseload data'!$D:$D,"PO",'caseload data'!$B:$B,{"licence","community"}))/SUM(SUMIFS('caseload data'!T:T,'caseload data'!$B:$B,{"licence","community"},'caseload data'!$C:$C,'community %'!$B$85)),"")</f>
        <v/>
      </c>
      <c r="T87" s="96" t="s">
        <v>1002</v>
      </c>
      <c r="U87" s="167" t="str" cm="1">
        <f t="array" ref="U87">IFERROR(SUM(SUMIFS('caseload data'!E:E,'caseload data'!$C:$C,'community %'!$T$85,'caseload data'!$D:$D,"PO",'caseload data'!$B:$B,{"licence","community"}))/SUM(SUMIFS('caseload data'!E:E,'caseload data'!$B:$B,{"licence","community"},'caseload data'!$C:$C,'community %'!$T$85)),"")</f>
        <v/>
      </c>
      <c r="V87" s="167" t="str" cm="1">
        <f t="array" ref="V87">IFERROR(SUM(SUMIFS('caseload data'!F:F,'caseload data'!$C:$C,'community %'!$T$85,'caseload data'!$D:$D,"PO",'caseload data'!$B:$B,{"licence","community"}))/SUM(SUMIFS('caseload data'!F:F,'caseload data'!$B:$B,{"licence","community"},'caseload data'!$C:$C,'community %'!$T$85)),"")</f>
        <v/>
      </c>
      <c r="W87" s="167" t="str" cm="1">
        <f t="array" ref="W87">IFERROR(SUM(SUMIFS('caseload data'!G:G,'caseload data'!$C:$C,'community %'!$T$85,'caseload data'!$D:$D,"PO",'caseload data'!$B:$B,{"licence","community"}))/SUM(SUMIFS('caseload data'!G:G,'caseload data'!$B:$B,{"licence","community"},'caseload data'!$C:$C,'community %'!$T$85)),"")</f>
        <v/>
      </c>
      <c r="X87" s="167" t="str" cm="1">
        <f t="array" ref="X87">IFERROR(SUM(SUMIFS('caseload data'!H:H,'caseload data'!$C:$C,'community %'!$T$85,'caseload data'!$D:$D,"PO",'caseload data'!$B:$B,{"licence","community"}))/SUM(SUMIFS('caseload data'!H:H,'caseload data'!$B:$B,{"licence","community"},'caseload data'!$C:$C,'community %'!$T$85)),"")</f>
        <v/>
      </c>
      <c r="Y87" s="167" t="str" cm="1">
        <f t="array" ref="Y87">IFERROR(SUM(SUMIFS('caseload data'!I:I,'caseload data'!$C:$C,'community %'!$T$85,'caseload data'!$D:$D,"PO",'caseload data'!$B:$B,{"licence","community"}))/SUM(SUMIFS('caseload data'!I:I,'caseload data'!$B:$B,{"licence","community"},'caseload data'!$C:$C,'community %'!$T$85)),"")</f>
        <v/>
      </c>
      <c r="Z87" s="167" t="str" cm="1">
        <f t="array" ref="Z87">IFERROR(SUM(SUMIFS('caseload data'!J:J,'caseload data'!$C:$C,'community %'!$T$85,'caseload data'!$D:$D,"PO",'caseload data'!$B:$B,{"licence","community"}))/SUM(SUMIFS('caseload data'!J:J,'caseload data'!$B:$B,{"licence","community"},'caseload data'!$C:$C,'community %'!$T$85)),"")</f>
        <v/>
      </c>
      <c r="AA87" s="167" t="str" cm="1">
        <f t="array" ref="AA87">IFERROR(SUM(SUMIFS('caseload data'!K:K,'caseload data'!$C:$C,'community %'!$T$85,'caseload data'!$D:$D,"PO",'caseload data'!$B:$B,{"licence","community"}))/SUM(SUMIFS('caseload data'!K:K,'caseload data'!$B:$B,{"licence","community"},'caseload data'!$C:$C,'community %'!$T$85)),"")</f>
        <v/>
      </c>
      <c r="AB87" s="167" t="str" cm="1">
        <f t="array" ref="AB87">IFERROR(SUM(SUMIFS('caseload data'!L:L,'caseload data'!$C:$C,'community %'!$T$85,'caseload data'!$D:$D,"PO",'caseload data'!$B:$B,{"licence","community"}))/SUM(SUMIFS('caseload data'!L:L,'caseload data'!$B:$B,{"licence","community"},'caseload data'!$C:$C,'community %'!$T$85)),"")</f>
        <v/>
      </c>
      <c r="AC87" s="167" t="str" cm="1">
        <f t="array" ref="AC87">IFERROR(SUM(SUMIFS('caseload data'!M:M,'caseload data'!$C:$C,'community %'!$T$85,'caseload data'!$D:$D,"PO",'caseload data'!$B:$B,{"licence","community"}))/SUM(SUMIFS('caseload data'!M:M,'caseload data'!$B:$B,{"licence","community"},'caseload data'!$C:$C,'community %'!$T$85)),"")</f>
        <v/>
      </c>
      <c r="AD87" s="167" t="str" cm="1">
        <f t="array" ref="AD87">IFERROR(SUM(SUMIFS('caseload data'!N:N,'caseload data'!$C:$C,'community %'!$T$85,'caseload data'!$D:$D,"PO",'caseload data'!$B:$B,{"licence","community"}))/SUM(SUMIFS('caseload data'!N:N,'caseload data'!$B:$B,{"licence","community"},'caseload data'!$C:$C,'community %'!$T$85)),"")</f>
        <v/>
      </c>
      <c r="AE87" s="167" t="str" cm="1">
        <f t="array" ref="AE87">IFERROR(SUM(SUMIFS('caseload data'!O:O,'caseload data'!$C:$C,'community %'!$T$85,'caseload data'!$D:$D,"PO",'caseload data'!$B:$B,{"licence","community"}))/SUM(SUMIFS('caseload data'!O:O,'caseload data'!$B:$B,{"licence","community"},'caseload data'!$C:$C,'community %'!$T$85)),"")</f>
        <v/>
      </c>
      <c r="AF87" s="167" t="str" cm="1">
        <f t="array" ref="AF87">IFERROR(SUM(SUMIFS('caseload data'!P:P,'caseload data'!$C:$C,'community %'!$T$85,'caseload data'!$D:$D,"PO",'caseload data'!$B:$B,{"licence","community"}))/SUM(SUMIFS('caseload data'!P:P,'caseload data'!$B:$B,{"licence","community"},'caseload data'!$C:$C,'community %'!$T$85)),"")</f>
        <v/>
      </c>
      <c r="AG87" s="167" t="str" cm="1">
        <f t="array" ref="AG87">IFERROR(SUM(SUMIFS('caseload data'!Q:Q,'caseload data'!$C:$C,'community %'!$T$85,'caseload data'!$D:$D,"PO",'caseload data'!$B:$B,{"licence","community"}))/SUM(SUMIFS('caseload data'!Q:Q,'caseload data'!$B:$B,{"licence","community"},'caseload data'!$C:$C,'community %'!$T$85)),"")</f>
        <v/>
      </c>
      <c r="AH87" s="167" t="str" cm="1">
        <f t="array" ref="AH87">IFERROR(SUM(SUMIFS('caseload data'!R:R,'caseload data'!$C:$C,'community %'!$T$85,'caseload data'!$D:$D,"PO",'caseload data'!$B:$B,{"licence","community"}))/SUM(SUMIFS('caseload data'!R:R,'caseload data'!$B:$B,{"licence","community"},'caseload data'!$C:$C,'community %'!$T$85)),"")</f>
        <v/>
      </c>
      <c r="AI87" s="167" t="str" cm="1">
        <f t="array" ref="AI87">IFERROR(SUM(SUMIFS('caseload data'!S:S,'caseload data'!$C:$C,'community %'!$T$85,'caseload data'!$D:$D,"PO",'caseload data'!$B:$B,{"licence","community"}))/SUM(SUMIFS('caseload data'!S:S,'caseload data'!$B:$B,{"licence","community"},'caseload data'!$C:$C,'community %'!$T$85)),"")</f>
        <v/>
      </c>
      <c r="AJ87" s="167" t="str" cm="1">
        <f t="array" ref="AJ87">IFERROR(SUM(SUMIFS('caseload data'!T:T,'caseload data'!$C:$C,'community %'!$T$85,'caseload data'!$D:$D,"PO",'caseload data'!$B:$B,{"licence","community"}))/SUM(SUMIFS('caseload data'!T:T,'caseload data'!$B:$B,{"licence","community"},'caseload data'!$C:$C,'community %'!$T$85)),"")</f>
        <v/>
      </c>
    </row>
    <row r="88" spans="2:36" x14ac:dyDescent="0.15">
      <c r="B88" s="97" t="s">
        <v>1007</v>
      </c>
      <c r="C88" s="167" t="str" cm="1">
        <f t="array" ref="C88">IFERROR(SUM(SUMIFS('caseload data'!E:E,'caseload data'!$C:$C,'community %'!$B$85,'caseload data'!$D:$D,"PSO",'caseload data'!$B:$B,{"licence","community"}))/SUM(SUMIFS('caseload data'!E:E,'caseload data'!$B:$B,{"licence","community"},'caseload data'!$C:$C,'community %'!$B$85)),"")</f>
        <v/>
      </c>
      <c r="D88" s="167" t="str" cm="1">
        <f t="array" ref="D88">IFERROR(SUM(SUMIFS('caseload data'!F:F,'caseload data'!$C:$C,'community %'!$B$85,'caseload data'!$D:$D,"PSO",'caseload data'!$B:$B,{"licence","community"}))/SUM(SUMIFS('caseload data'!F:F,'caseload data'!$B:$B,{"licence","community"},'caseload data'!$C:$C,'community %'!$B$85)),"")</f>
        <v/>
      </c>
      <c r="E88" s="167" t="str" cm="1">
        <f t="array" ref="E88">IFERROR(SUM(SUMIFS('caseload data'!G:G,'caseload data'!$C:$C,'community %'!$B$85,'caseload data'!$D:$D,"PSO",'caseload data'!$B:$B,{"licence","community"}))/SUM(SUMIFS('caseload data'!G:G,'caseload data'!$B:$B,{"licence","community"},'caseload data'!$C:$C,'community %'!$B$85)),"")</f>
        <v/>
      </c>
      <c r="F88" s="167" t="str" cm="1">
        <f t="array" ref="F88">IFERROR(SUM(SUMIFS('caseload data'!H:H,'caseload data'!$C:$C,'community %'!$B$85,'caseload data'!$D:$D,"PSO",'caseload data'!$B:$B,{"licence","community"}))/SUM(SUMIFS('caseload data'!H:H,'caseload data'!$B:$B,{"licence","community"},'caseload data'!$C:$C,'community %'!$B$85)),"")</f>
        <v/>
      </c>
      <c r="G88" s="167" t="str" cm="1">
        <f t="array" ref="G88">IFERROR(SUM(SUMIFS('caseload data'!I:I,'caseload data'!$C:$C,'community %'!$B$85,'caseload data'!$D:$D,"PSO",'caseload data'!$B:$B,{"licence","community"}))/SUM(SUMIFS('caseload data'!I:I,'caseload data'!$B:$B,{"licence","community"},'caseload data'!$C:$C,'community %'!$B$85)),"")</f>
        <v/>
      </c>
      <c r="H88" s="167" t="str" cm="1">
        <f t="array" ref="H88">IFERROR(SUM(SUMIFS('caseload data'!J:J,'caseload data'!$C:$C,'community %'!$B$85,'caseload data'!$D:$D,"PSO",'caseload data'!$B:$B,{"licence","community"}))/SUM(SUMIFS('caseload data'!J:J,'caseload data'!$B:$B,{"licence","community"},'caseload data'!$C:$C,'community %'!$B$85)),"")</f>
        <v/>
      </c>
      <c r="I88" s="167" t="str" cm="1">
        <f t="array" ref="I88">IFERROR(SUM(SUMIFS('caseload data'!K:K,'caseload data'!$C:$C,'community %'!$B$85,'caseload data'!$D:$D,"PSO",'caseload data'!$B:$B,{"licence","community"}))/SUM(SUMIFS('caseload data'!K:K,'caseload data'!$B:$B,{"licence","community"},'caseload data'!$C:$C,'community %'!$B$85)),"")</f>
        <v/>
      </c>
      <c r="J88" s="167" t="str" cm="1">
        <f t="array" ref="J88">IFERROR(SUM(SUMIFS('caseload data'!L:L,'caseload data'!$C:$C,'community %'!$B$85,'caseload data'!$D:$D,"PSO",'caseload data'!$B:$B,{"licence","community"}))/SUM(SUMIFS('caseload data'!L:L,'caseload data'!$B:$B,{"licence","community"},'caseload data'!$C:$C,'community %'!$B$85)),"")</f>
        <v/>
      </c>
      <c r="K88" s="167" t="str" cm="1">
        <f t="array" ref="K88">IFERROR(SUM(SUMIFS('caseload data'!M:M,'caseload data'!$C:$C,'community %'!$B$85,'caseload data'!$D:$D,"PSO",'caseload data'!$B:$B,{"licence","community"}))/SUM(SUMIFS('caseload data'!M:M,'caseload data'!$B:$B,{"licence","community"},'caseload data'!$C:$C,'community %'!$B$85)),"")</f>
        <v/>
      </c>
      <c r="L88" s="167" t="str" cm="1">
        <f t="array" ref="L88">IFERROR(SUM(SUMIFS('caseload data'!N:N,'caseload data'!$C:$C,'community %'!$B$85,'caseload data'!$D:$D,"PSO",'caseload data'!$B:$B,{"licence","community"}))/SUM(SUMIFS('caseload data'!N:N,'caseload data'!$B:$B,{"licence","community"},'caseload data'!$C:$C,'community %'!$B$85)),"")</f>
        <v/>
      </c>
      <c r="M88" s="167" t="str" cm="1">
        <f t="array" ref="M88">IFERROR(SUM(SUMIFS('caseload data'!O:O,'caseload data'!$C:$C,'community %'!$B$85,'caseload data'!$D:$D,"PSO",'caseload data'!$B:$B,{"licence","community"}))/SUM(SUMIFS('caseload data'!O:O,'caseload data'!$B:$B,{"licence","community"},'caseload data'!$C:$C,'community %'!$B$85)),"")</f>
        <v/>
      </c>
      <c r="N88" s="167" t="str" cm="1">
        <f t="array" ref="N88">IFERROR(SUM(SUMIFS('caseload data'!P:P,'caseload data'!$C:$C,'community %'!$B$85,'caseload data'!$D:$D,"PSO",'caseload data'!$B:$B,{"licence","community"}))/SUM(SUMIFS('caseload data'!P:P,'caseload data'!$B:$B,{"licence","community"},'caseload data'!$C:$C,'community %'!$B$85)),"")</f>
        <v/>
      </c>
      <c r="O88" s="167" t="str" cm="1">
        <f t="array" ref="O88">IFERROR(SUM(SUMIFS('caseload data'!Q:Q,'caseload data'!$C:$C,'community %'!$B$85,'caseload data'!$D:$D,"PSO",'caseload data'!$B:$B,{"licence","community"}))/SUM(SUMIFS('caseload data'!Q:Q,'caseload data'!$B:$B,{"licence","community"},'caseload data'!$C:$C,'community %'!$B$85)),"")</f>
        <v/>
      </c>
      <c r="P88" s="167" t="str" cm="1">
        <f t="array" ref="P88">IFERROR(SUM(SUMIFS('caseload data'!R:R,'caseload data'!$C:$C,'community %'!$B$85,'caseload data'!$D:$D,"PSO",'caseload data'!$B:$B,{"licence","community"}))/SUM(SUMIFS('caseload data'!R:R,'caseload data'!$B:$B,{"licence","community"},'caseload data'!$C:$C,'community %'!$B$85)),"")</f>
        <v/>
      </c>
      <c r="Q88" s="167" t="str" cm="1">
        <f t="array" ref="Q88">IFERROR(SUM(SUMIFS('caseload data'!S:S,'caseload data'!$C:$C,'community %'!$B$85,'caseload data'!$D:$D,"PSO",'caseload data'!$B:$B,{"licence","community"}))/SUM(SUMIFS('caseload data'!S:S,'caseload data'!$B:$B,{"licence","community"},'caseload data'!$C:$C,'community %'!$B$85)),"")</f>
        <v/>
      </c>
      <c r="R88" s="167" t="str" cm="1">
        <f t="array" ref="R88">IFERROR(SUM(SUMIFS('caseload data'!T:T,'caseload data'!$C:$C,'community %'!$B$85,'caseload data'!$D:$D,"PSO",'caseload data'!$B:$B,{"licence","community"}))/SUM(SUMIFS('caseload data'!T:T,'caseload data'!$B:$B,{"licence","community"},'caseload data'!$C:$C,'community %'!$B$85)),"")</f>
        <v/>
      </c>
      <c r="T88" s="97" t="s">
        <v>1007</v>
      </c>
      <c r="U88" s="167" t="str" cm="1">
        <f t="array" ref="U88">IFERROR(SUM(SUMIFS('caseload data'!E:E,'caseload data'!$C:$C,'community %'!$T$85,'caseload data'!$D:$D,"PSO",'caseload data'!$B:$B,{"licence","community"}))/SUM(SUMIFS('caseload data'!E:E,'caseload data'!$B:$B,{"licence","community"},'caseload data'!$C:$C,'community %'!$T$85)),"")</f>
        <v/>
      </c>
      <c r="V88" s="167" t="str" cm="1">
        <f t="array" ref="V88">IFERROR(SUM(SUMIFS('caseload data'!F:F,'caseload data'!$C:$C,'community %'!$T$85,'caseload data'!$D:$D,"PSO",'caseload data'!$B:$B,{"licence","community"}))/SUM(SUMIFS('caseload data'!F:F,'caseload data'!$B:$B,{"licence","community"},'caseload data'!$C:$C,'community %'!$T$85)),"")</f>
        <v/>
      </c>
      <c r="W88" s="167" t="str" cm="1">
        <f t="array" ref="W88">IFERROR(SUM(SUMIFS('caseload data'!G:G,'caseload data'!$C:$C,'community %'!$T$85,'caseload data'!$D:$D,"PSO",'caseload data'!$B:$B,{"licence","community"}))/SUM(SUMIFS('caseload data'!G:G,'caseload data'!$B:$B,{"licence","community"},'caseload data'!$C:$C,'community %'!$T$85)),"")</f>
        <v/>
      </c>
      <c r="X88" s="167" t="str" cm="1">
        <f t="array" ref="X88">IFERROR(SUM(SUMIFS('caseload data'!H:H,'caseload data'!$C:$C,'community %'!$T$85,'caseload data'!$D:$D,"PSO",'caseload data'!$B:$B,{"licence","community"}))/SUM(SUMIFS('caseload data'!H:H,'caseload data'!$B:$B,{"licence","community"},'caseload data'!$C:$C,'community %'!$T$85)),"")</f>
        <v/>
      </c>
      <c r="Y88" s="167" t="str" cm="1">
        <f t="array" ref="Y88">IFERROR(SUM(SUMIFS('caseload data'!I:I,'caseload data'!$C:$C,'community %'!$T$85,'caseload data'!$D:$D,"PSO",'caseload data'!$B:$B,{"licence","community"}))/SUM(SUMIFS('caseload data'!I:I,'caseload data'!$B:$B,{"licence","community"},'caseload data'!$C:$C,'community %'!$T$85)),"")</f>
        <v/>
      </c>
      <c r="Z88" s="167" t="str" cm="1">
        <f t="array" ref="Z88">IFERROR(SUM(SUMIFS('caseload data'!J:J,'caseload data'!$C:$C,'community %'!$T$85,'caseload data'!$D:$D,"PSO",'caseload data'!$B:$B,{"licence","community"}))/SUM(SUMIFS('caseload data'!J:J,'caseload data'!$B:$B,{"licence","community"},'caseload data'!$C:$C,'community %'!$T$85)),"")</f>
        <v/>
      </c>
      <c r="AA88" s="167" t="str" cm="1">
        <f t="array" ref="AA88">IFERROR(SUM(SUMIFS('caseload data'!K:K,'caseload data'!$C:$C,'community %'!$T$85,'caseload data'!$D:$D,"PSO",'caseload data'!$B:$B,{"licence","community"}))/SUM(SUMIFS('caseload data'!K:K,'caseload data'!$B:$B,{"licence","community"},'caseload data'!$C:$C,'community %'!$T$85)),"")</f>
        <v/>
      </c>
      <c r="AB88" s="167" t="str" cm="1">
        <f t="array" ref="AB88">IFERROR(SUM(SUMIFS('caseload data'!L:L,'caseload data'!$C:$C,'community %'!$T$85,'caseload data'!$D:$D,"PSO",'caseload data'!$B:$B,{"licence","community"}))/SUM(SUMIFS('caseload data'!L:L,'caseload data'!$B:$B,{"licence","community"},'caseload data'!$C:$C,'community %'!$T$85)),"")</f>
        <v/>
      </c>
      <c r="AC88" s="167" t="str" cm="1">
        <f t="array" ref="AC88">IFERROR(SUM(SUMIFS('caseload data'!M:M,'caseload data'!$C:$C,'community %'!$T$85,'caseload data'!$D:$D,"PSO",'caseload data'!$B:$B,{"licence","community"}))/SUM(SUMIFS('caseload data'!M:M,'caseload data'!$B:$B,{"licence","community"},'caseload data'!$C:$C,'community %'!$T$85)),"")</f>
        <v/>
      </c>
      <c r="AD88" s="167" t="str" cm="1">
        <f t="array" ref="AD88">IFERROR(SUM(SUMIFS('caseload data'!N:N,'caseload data'!$C:$C,'community %'!$T$85,'caseload data'!$D:$D,"PSO",'caseload data'!$B:$B,{"licence","community"}))/SUM(SUMIFS('caseload data'!N:N,'caseload data'!$B:$B,{"licence","community"},'caseload data'!$C:$C,'community %'!$T$85)),"")</f>
        <v/>
      </c>
      <c r="AE88" s="167" t="str" cm="1">
        <f t="array" ref="AE88">IFERROR(SUM(SUMIFS('caseload data'!O:O,'caseload data'!$C:$C,'community %'!$T$85,'caseload data'!$D:$D,"PSO",'caseload data'!$B:$B,{"licence","community"}))/SUM(SUMIFS('caseload data'!O:O,'caseload data'!$B:$B,{"licence","community"},'caseload data'!$C:$C,'community %'!$T$85)),"")</f>
        <v/>
      </c>
      <c r="AF88" s="167" t="str" cm="1">
        <f t="array" ref="AF88">IFERROR(SUM(SUMIFS('caseload data'!P:P,'caseload data'!$C:$C,'community %'!$T$85,'caseload data'!$D:$D,"PSO",'caseload data'!$B:$B,{"licence","community"}))/SUM(SUMIFS('caseload data'!P:P,'caseload data'!$B:$B,{"licence","community"},'caseload data'!$C:$C,'community %'!$T$85)),"")</f>
        <v/>
      </c>
      <c r="AG88" s="167" t="str" cm="1">
        <f t="array" ref="AG88">IFERROR(SUM(SUMIFS('caseload data'!Q:Q,'caseload data'!$C:$C,'community %'!$T$85,'caseload data'!$D:$D,"PSO",'caseload data'!$B:$B,{"licence","community"}))/SUM(SUMIFS('caseload data'!Q:Q,'caseload data'!$B:$B,{"licence","community"},'caseload data'!$C:$C,'community %'!$T$85)),"")</f>
        <v/>
      </c>
      <c r="AH88" s="167" t="str" cm="1">
        <f t="array" ref="AH88">IFERROR(SUM(SUMIFS('caseload data'!R:R,'caseload data'!$C:$C,'community %'!$T$85,'caseload data'!$D:$D,"PSO",'caseload data'!$B:$B,{"licence","community"}))/SUM(SUMIFS('caseload data'!R:R,'caseload data'!$B:$B,{"licence","community"},'caseload data'!$C:$C,'community %'!$T$85)),"")</f>
        <v/>
      </c>
      <c r="AI88" s="167" t="str" cm="1">
        <f t="array" ref="AI88">IFERROR(SUM(SUMIFS('caseload data'!S:S,'caseload data'!$C:$C,'community %'!$T$85,'caseload data'!$D:$D,"PSO",'caseload data'!$B:$B,{"licence","community"}))/SUM(SUMIFS('caseload data'!S:S,'caseload data'!$B:$B,{"licence","community"},'caseload data'!$C:$C,'community %'!$T$85)),"")</f>
        <v/>
      </c>
      <c r="AJ88" s="167" t="str" cm="1">
        <f t="array" ref="AJ88">IFERROR(SUM(SUMIFS('caseload data'!T:T,'caseload data'!$C:$C,'community %'!$T$85,'caseload data'!$D:$D,"PSO",'caseload data'!$B:$B,{"licence","community"}))/SUM(SUMIFS('caseload data'!T:T,'caseload data'!$B:$B,{"licence","community"},'caseload data'!$C:$C,'community %'!$T$85)),"")</f>
        <v/>
      </c>
    </row>
    <row r="89" spans="2:36" x14ac:dyDescent="0.15">
      <c r="B89" s="97" t="s">
        <v>1008</v>
      </c>
      <c r="C89" s="167" t="str" cm="1">
        <f t="array" ref="C89">IFERROR(SUM(SUMIFS('caseload data'!E:E,'caseload data'!$C:$C,'community %'!$B$85,'caseload data'!$D:$D,"TPO",'caseload data'!$B:$B,{"licence","community"}))/SUM(SUMIFS('caseload data'!E:E,'caseload data'!$B:$B,{"licence","community"},'caseload data'!$C:$C,'community %'!$B$85)),"")</f>
        <v/>
      </c>
      <c r="D89" s="167" t="str" cm="1">
        <f t="array" ref="D89">IFERROR(SUM(SUMIFS('caseload data'!F:F,'caseload data'!$C:$C,'community %'!$B$85,'caseload data'!$D:$D,"TPO",'caseload data'!$B:$B,{"licence","community"}))/SUM(SUMIFS('caseload data'!F:F,'caseload data'!$B:$B,{"licence","community"},'caseload data'!$C:$C,'community %'!$B$85)),"")</f>
        <v/>
      </c>
      <c r="E89" s="167" t="str" cm="1">
        <f t="array" ref="E89">IFERROR(SUM(SUMIFS('caseload data'!G:G,'caseload data'!$C:$C,'community %'!$B$85,'caseload data'!$D:$D,"TPO",'caseload data'!$B:$B,{"licence","community"}))/SUM(SUMIFS('caseload data'!G:G,'caseload data'!$B:$B,{"licence","community"},'caseload data'!$C:$C,'community %'!$B$85)),"")</f>
        <v/>
      </c>
      <c r="F89" s="167" t="str" cm="1">
        <f t="array" ref="F89">IFERROR(SUM(SUMIFS('caseload data'!H:H,'caseload data'!$C:$C,'community %'!$B$85,'caseload data'!$D:$D,"TPO",'caseload data'!$B:$B,{"licence","community"}))/SUM(SUMIFS('caseload data'!H:H,'caseload data'!$B:$B,{"licence","community"},'caseload data'!$C:$C,'community %'!$B$85)),"")</f>
        <v/>
      </c>
      <c r="G89" s="167" t="str" cm="1">
        <f t="array" ref="G89">IFERROR(SUM(SUMIFS('caseload data'!I:I,'caseload data'!$C:$C,'community %'!$B$85,'caseload data'!$D:$D,"TPO",'caseload data'!$B:$B,{"licence","community"}))/SUM(SUMIFS('caseload data'!I:I,'caseload data'!$B:$B,{"licence","community"},'caseload data'!$C:$C,'community %'!$B$85)),"")</f>
        <v/>
      </c>
      <c r="H89" s="167" t="str" cm="1">
        <f t="array" ref="H89">IFERROR(SUM(SUMIFS('caseload data'!J:J,'caseload data'!$C:$C,'community %'!$B$85,'caseload data'!$D:$D,"TPO",'caseload data'!$B:$B,{"licence","community"}))/SUM(SUMIFS('caseload data'!J:J,'caseload data'!$B:$B,{"licence","community"},'caseload data'!$C:$C,'community %'!$B$85)),"")</f>
        <v/>
      </c>
      <c r="I89" s="167" t="str" cm="1">
        <f t="array" ref="I89">IFERROR(SUM(SUMIFS('caseload data'!K:K,'caseload data'!$C:$C,'community %'!$B$85,'caseload data'!$D:$D,"TPO",'caseload data'!$B:$B,{"licence","community"}))/SUM(SUMIFS('caseload data'!K:K,'caseload data'!$B:$B,{"licence","community"},'caseload data'!$C:$C,'community %'!$B$85)),"")</f>
        <v/>
      </c>
      <c r="J89" s="167" t="str" cm="1">
        <f t="array" ref="J89">IFERROR(SUM(SUMIFS('caseload data'!L:L,'caseload data'!$C:$C,'community %'!$B$85,'caseload data'!$D:$D,"TPO",'caseload data'!$B:$B,{"licence","community"}))/SUM(SUMIFS('caseload data'!L:L,'caseload data'!$B:$B,{"licence","community"},'caseload data'!$C:$C,'community %'!$B$85)),"")</f>
        <v/>
      </c>
      <c r="K89" s="167" t="str" cm="1">
        <f t="array" ref="K89">IFERROR(SUM(SUMIFS('caseload data'!M:M,'caseload data'!$C:$C,'community %'!$B$85,'caseload data'!$D:$D,"TPO",'caseload data'!$B:$B,{"licence","community"}))/SUM(SUMIFS('caseload data'!M:M,'caseload data'!$B:$B,{"licence","community"},'caseload data'!$C:$C,'community %'!$B$85)),"")</f>
        <v/>
      </c>
      <c r="L89" s="167" t="str" cm="1">
        <f t="array" ref="L89">IFERROR(SUM(SUMIFS('caseload data'!N:N,'caseload data'!$C:$C,'community %'!$B$85,'caseload data'!$D:$D,"TPO",'caseload data'!$B:$B,{"licence","community"}))/SUM(SUMIFS('caseload data'!N:N,'caseload data'!$B:$B,{"licence","community"},'caseload data'!$C:$C,'community %'!$B$85)),"")</f>
        <v/>
      </c>
      <c r="M89" s="167" t="str" cm="1">
        <f t="array" ref="M89">IFERROR(SUM(SUMIFS('caseload data'!O:O,'caseload data'!$C:$C,'community %'!$B$85,'caseload data'!$D:$D,"TPO",'caseload data'!$B:$B,{"licence","community"}))/SUM(SUMIFS('caseload data'!O:O,'caseload data'!$B:$B,{"licence","community"},'caseload data'!$C:$C,'community %'!$B$85)),"")</f>
        <v/>
      </c>
      <c r="N89" s="167" t="str" cm="1">
        <f t="array" ref="N89">IFERROR(SUM(SUMIFS('caseload data'!P:P,'caseload data'!$C:$C,'community %'!$B$85,'caseload data'!$D:$D,"TPO",'caseload data'!$B:$B,{"licence","community"}))/SUM(SUMIFS('caseload data'!P:P,'caseload data'!$B:$B,{"licence","community"},'caseload data'!$C:$C,'community %'!$B$85)),"")</f>
        <v/>
      </c>
      <c r="O89" s="167" t="str" cm="1">
        <f t="array" ref="O89">IFERROR(SUM(SUMIFS('caseload data'!Q:Q,'caseload data'!$C:$C,'community %'!$B$85,'caseload data'!$D:$D,"TPO",'caseload data'!$B:$B,{"licence","community"}))/SUM(SUMIFS('caseload data'!Q:Q,'caseload data'!$B:$B,{"licence","community"},'caseload data'!$C:$C,'community %'!$B$85)),"")</f>
        <v/>
      </c>
      <c r="P89" s="167" t="str" cm="1">
        <f t="array" ref="P89">IFERROR(SUM(SUMIFS('caseload data'!R:R,'caseload data'!$C:$C,'community %'!$B$85,'caseload data'!$D:$D,"TPO",'caseload data'!$B:$B,{"licence","community"}))/SUM(SUMIFS('caseload data'!R:R,'caseload data'!$B:$B,{"licence","community"},'caseload data'!$C:$C,'community %'!$B$85)),"")</f>
        <v/>
      </c>
      <c r="Q89" s="167" t="str" cm="1">
        <f t="array" ref="Q89">IFERROR(SUM(SUMIFS('caseload data'!S:S,'caseload data'!$C:$C,'community %'!$B$85,'caseload data'!$D:$D,"TPO",'caseload data'!$B:$B,{"licence","community"}))/SUM(SUMIFS('caseload data'!S:S,'caseload data'!$B:$B,{"licence","community"},'caseload data'!$C:$C,'community %'!$B$85)),"")</f>
        <v/>
      </c>
      <c r="R89" s="167" t="str" cm="1">
        <f t="array" ref="R89">IFERROR(SUM(SUMIFS('caseload data'!T:T,'caseload data'!$C:$C,'community %'!$B$85,'caseload data'!$D:$D,"TPO",'caseload data'!$B:$B,{"licence","community"}))/SUM(SUMIFS('caseload data'!T:T,'caseload data'!$B:$B,{"licence","community"},'caseload data'!$C:$C,'community %'!$B$85)),"")</f>
        <v/>
      </c>
      <c r="T89" s="97" t="s">
        <v>1008</v>
      </c>
      <c r="U89" s="167" t="str" cm="1">
        <f t="array" ref="U89">IFERROR(SUM(SUMIFS('caseload data'!E:E,'caseload data'!$C:$C,'community %'!$T$85,'caseload data'!$D:$D,"TPO",'caseload data'!$B:$B,{"licence","community"}))/SUM(SUMIFS('caseload data'!E:E,'caseload data'!$B:$B,{"licence","community"},'caseload data'!$C:$C,'community %'!$T$85)),"")</f>
        <v/>
      </c>
      <c r="V89" s="167" t="str" cm="1">
        <f t="array" ref="V89">IFERROR(SUM(SUMIFS('caseload data'!F:F,'caseload data'!$C:$C,'community %'!$T$85,'caseload data'!$D:$D,"TPO",'caseload data'!$B:$B,{"licence","community"}))/SUM(SUMIFS('caseload data'!F:F,'caseload data'!$B:$B,{"licence","community"},'caseload data'!$C:$C,'community %'!$T$85)),"")</f>
        <v/>
      </c>
      <c r="W89" s="167" t="str" cm="1">
        <f t="array" ref="W89">IFERROR(SUM(SUMIFS('caseload data'!G:G,'caseload data'!$C:$C,'community %'!$T$85,'caseload data'!$D:$D,"TPO",'caseload data'!$B:$B,{"licence","community"}))/SUM(SUMIFS('caseload data'!G:G,'caseload data'!$B:$B,{"licence","community"},'caseload data'!$C:$C,'community %'!$T$85)),"")</f>
        <v/>
      </c>
      <c r="X89" s="167" t="str" cm="1">
        <f t="array" ref="X89">IFERROR(SUM(SUMIFS('caseload data'!H:H,'caseload data'!$C:$C,'community %'!$T$85,'caseload data'!$D:$D,"TPO",'caseload data'!$B:$B,{"licence","community"}))/SUM(SUMIFS('caseload data'!H:H,'caseload data'!$B:$B,{"licence","community"},'caseload data'!$C:$C,'community %'!$T$85)),"")</f>
        <v/>
      </c>
      <c r="Y89" s="167" t="str" cm="1">
        <f t="array" ref="Y89">IFERROR(SUM(SUMIFS('caseload data'!I:I,'caseload data'!$C:$C,'community %'!$T$85,'caseload data'!$D:$D,"TPO",'caseload data'!$B:$B,{"licence","community"}))/SUM(SUMIFS('caseload data'!I:I,'caseload data'!$B:$B,{"licence","community"},'caseload data'!$C:$C,'community %'!$T$85)),"")</f>
        <v/>
      </c>
      <c r="Z89" s="167" t="str" cm="1">
        <f t="array" ref="Z89">IFERROR(SUM(SUMIFS('caseload data'!J:J,'caseload data'!$C:$C,'community %'!$T$85,'caseload data'!$D:$D,"TPO",'caseload data'!$B:$B,{"licence","community"}))/SUM(SUMIFS('caseload data'!J:J,'caseload data'!$B:$B,{"licence","community"},'caseload data'!$C:$C,'community %'!$T$85)),"")</f>
        <v/>
      </c>
      <c r="AA89" s="167" t="str" cm="1">
        <f t="array" ref="AA89">IFERROR(SUM(SUMIFS('caseload data'!K:K,'caseload data'!$C:$C,'community %'!$T$85,'caseload data'!$D:$D,"TPO",'caseload data'!$B:$B,{"licence","community"}))/SUM(SUMIFS('caseload data'!K:K,'caseload data'!$B:$B,{"licence","community"},'caseload data'!$C:$C,'community %'!$T$85)),"")</f>
        <v/>
      </c>
      <c r="AB89" s="167" t="str" cm="1">
        <f t="array" ref="AB89">IFERROR(SUM(SUMIFS('caseload data'!L:L,'caseload data'!$C:$C,'community %'!$T$85,'caseload data'!$D:$D,"TPO",'caseload data'!$B:$B,{"licence","community"}))/SUM(SUMIFS('caseload data'!L:L,'caseload data'!$B:$B,{"licence","community"},'caseload data'!$C:$C,'community %'!$T$85)),"")</f>
        <v/>
      </c>
      <c r="AC89" s="167" t="str" cm="1">
        <f t="array" ref="AC89">IFERROR(SUM(SUMIFS('caseload data'!M:M,'caseload data'!$C:$C,'community %'!$T$85,'caseload data'!$D:$D,"TPO",'caseload data'!$B:$B,{"licence","community"}))/SUM(SUMIFS('caseload data'!M:M,'caseload data'!$B:$B,{"licence","community"},'caseload data'!$C:$C,'community %'!$T$85)),"")</f>
        <v/>
      </c>
      <c r="AD89" s="167" t="str" cm="1">
        <f t="array" ref="AD89">IFERROR(SUM(SUMIFS('caseload data'!N:N,'caseload data'!$C:$C,'community %'!$T$85,'caseload data'!$D:$D,"TPO",'caseload data'!$B:$B,{"licence","community"}))/SUM(SUMIFS('caseload data'!N:N,'caseload data'!$B:$B,{"licence","community"},'caseload data'!$C:$C,'community %'!$T$85)),"")</f>
        <v/>
      </c>
      <c r="AE89" s="167" t="str" cm="1">
        <f t="array" ref="AE89">IFERROR(SUM(SUMIFS('caseload data'!O:O,'caseload data'!$C:$C,'community %'!$T$85,'caseload data'!$D:$D,"TPO",'caseload data'!$B:$B,{"licence","community"}))/SUM(SUMIFS('caseload data'!O:O,'caseload data'!$B:$B,{"licence","community"},'caseload data'!$C:$C,'community %'!$T$85)),"")</f>
        <v/>
      </c>
      <c r="AF89" s="167" t="str" cm="1">
        <f t="array" ref="AF89">IFERROR(SUM(SUMIFS('caseload data'!P:P,'caseload data'!$C:$C,'community %'!$T$85,'caseload data'!$D:$D,"TPO",'caseload data'!$B:$B,{"licence","community"}))/SUM(SUMIFS('caseload data'!P:P,'caseload data'!$B:$B,{"licence","community"},'caseload data'!$C:$C,'community %'!$T$85)),"")</f>
        <v/>
      </c>
      <c r="AG89" s="167" t="str" cm="1">
        <f t="array" ref="AG89">IFERROR(SUM(SUMIFS('caseload data'!Q:Q,'caseload data'!$C:$C,'community %'!$T$85,'caseload data'!$D:$D,"TPO",'caseload data'!$B:$B,{"licence","community"}))/SUM(SUMIFS('caseload data'!Q:Q,'caseload data'!$B:$B,{"licence","community"},'caseload data'!$C:$C,'community %'!$T$85)),"")</f>
        <v/>
      </c>
      <c r="AH89" s="167" t="str" cm="1">
        <f t="array" ref="AH89">IFERROR(SUM(SUMIFS('caseload data'!R:R,'caseload data'!$C:$C,'community %'!$T$85,'caseload data'!$D:$D,"TPO",'caseload data'!$B:$B,{"licence","community"}))/SUM(SUMIFS('caseload data'!R:R,'caseload data'!$B:$B,{"licence","community"},'caseload data'!$C:$C,'community %'!$T$85)),"")</f>
        <v/>
      </c>
      <c r="AI89" s="167" t="str" cm="1">
        <f t="array" ref="AI89">IFERROR(SUM(SUMIFS('caseload data'!S:S,'caseload data'!$C:$C,'community %'!$T$85,'caseload data'!$D:$D,"TPO",'caseload data'!$B:$B,{"licence","community"}))/SUM(SUMIFS('caseload data'!S:S,'caseload data'!$B:$B,{"licence","community"},'caseload data'!$C:$C,'community %'!$T$85)),"")</f>
        <v/>
      </c>
      <c r="AJ89" s="167" t="str" cm="1">
        <f t="array" ref="AJ89">IFERROR(SUM(SUMIFS('caseload data'!T:T,'caseload data'!$C:$C,'community %'!$T$85,'caseload data'!$D:$D,"TPO",'caseload data'!$B:$B,{"licence","community"}))/SUM(SUMIFS('caseload data'!T:T,'caseload data'!$B:$B,{"licence","community"},'caseload data'!$C:$C,'community %'!$T$85)),"")</f>
        <v/>
      </c>
    </row>
    <row r="90" spans="2:36" x14ac:dyDescent="0.15">
      <c r="B90" s="98" t="s">
        <v>1009</v>
      </c>
      <c r="C90" s="167" t="str" cm="1">
        <f t="array" ref="C90">IFERROR(SUM(SUMIFS('caseload data'!E:E,'caseload data'!$C:$C,'community %'!$B$85,'caseload data'!$D:$D,"SPO",'caseload data'!$B:$B,{"licence","community"}))/SUM(SUMIFS('caseload data'!E:E,'caseload data'!$B:$B,{"licence","community"},'caseload data'!$C:$C,'community %'!$B$85)),"")</f>
        <v/>
      </c>
      <c r="D90" s="167" t="str" cm="1">
        <f t="array" ref="D90">IFERROR(SUM(SUMIFS('caseload data'!F:F,'caseload data'!$C:$C,'community %'!$B$85,'caseload data'!$D:$D,"SPO",'caseload data'!$B:$B,{"licence","community"}))/SUM(SUMIFS('caseload data'!F:F,'caseload data'!$B:$B,{"licence","community"},'caseload data'!$C:$C,'community %'!$B$85)),"")</f>
        <v/>
      </c>
      <c r="E90" s="167" t="str" cm="1">
        <f t="array" ref="E90">IFERROR(SUM(SUMIFS('caseload data'!G:G,'caseload data'!$C:$C,'community %'!$B$85,'caseload data'!$D:$D,"SPO",'caseload data'!$B:$B,{"licence","community"}))/SUM(SUMIFS('caseload data'!G:G,'caseload data'!$B:$B,{"licence","community"},'caseload data'!$C:$C,'community %'!$B$85)),"")</f>
        <v/>
      </c>
      <c r="F90" s="167" t="str" cm="1">
        <f t="array" ref="F90">IFERROR(SUM(SUMIFS('caseload data'!H:H,'caseload data'!$C:$C,'community %'!$B$85,'caseload data'!$D:$D,"SPO",'caseload data'!$B:$B,{"licence","community"}))/SUM(SUMIFS('caseload data'!H:H,'caseload data'!$B:$B,{"licence","community"},'caseload data'!$C:$C,'community %'!$B$85)),"")</f>
        <v/>
      </c>
      <c r="G90" s="167" t="str" cm="1">
        <f t="array" ref="G90">IFERROR(SUM(SUMIFS('caseload data'!I:I,'caseload data'!$C:$C,'community %'!$B$85,'caseload data'!$D:$D,"SPO",'caseload data'!$B:$B,{"licence","community"}))/SUM(SUMIFS('caseload data'!I:I,'caseload data'!$B:$B,{"licence","community"},'caseload data'!$C:$C,'community %'!$B$85)),"")</f>
        <v/>
      </c>
      <c r="H90" s="167" t="str" cm="1">
        <f t="array" ref="H90">IFERROR(SUM(SUMIFS('caseload data'!J:J,'caseload data'!$C:$C,'community %'!$B$85,'caseload data'!$D:$D,"SPO",'caseload data'!$B:$B,{"licence","community"}))/SUM(SUMIFS('caseload data'!J:J,'caseload data'!$B:$B,{"licence","community"},'caseload data'!$C:$C,'community %'!$B$85)),"")</f>
        <v/>
      </c>
      <c r="I90" s="167" t="str" cm="1">
        <f t="array" ref="I90">IFERROR(SUM(SUMIFS('caseload data'!K:K,'caseload data'!$C:$C,'community %'!$B$85,'caseload data'!$D:$D,"SPO",'caseload data'!$B:$B,{"licence","community"}))/SUM(SUMIFS('caseload data'!K:K,'caseload data'!$B:$B,{"licence","community"},'caseload data'!$C:$C,'community %'!$B$85)),"")</f>
        <v/>
      </c>
      <c r="J90" s="167" t="str" cm="1">
        <f t="array" ref="J90">IFERROR(SUM(SUMIFS('caseload data'!L:L,'caseload data'!$C:$C,'community %'!$B$85,'caseload data'!$D:$D,"SPO",'caseload data'!$B:$B,{"licence","community"}))/SUM(SUMIFS('caseload data'!L:L,'caseload data'!$B:$B,{"licence","community"},'caseload data'!$C:$C,'community %'!$B$85)),"")</f>
        <v/>
      </c>
      <c r="K90" s="167" t="str" cm="1">
        <f t="array" ref="K90">IFERROR(SUM(SUMIFS('caseload data'!M:M,'caseload data'!$C:$C,'community %'!$B$85,'caseload data'!$D:$D,"SPO",'caseload data'!$B:$B,{"licence","community"}))/SUM(SUMIFS('caseload data'!M:M,'caseload data'!$B:$B,{"licence","community"},'caseload data'!$C:$C,'community %'!$B$85)),"")</f>
        <v/>
      </c>
      <c r="L90" s="167" t="str" cm="1">
        <f t="array" ref="L90">IFERROR(SUM(SUMIFS('caseload data'!N:N,'caseload data'!$C:$C,'community %'!$B$85,'caseload data'!$D:$D,"SPO",'caseload data'!$B:$B,{"licence","community"}))/SUM(SUMIFS('caseload data'!N:N,'caseload data'!$B:$B,{"licence","community"},'caseload data'!$C:$C,'community %'!$B$85)),"")</f>
        <v/>
      </c>
      <c r="M90" s="167" t="str" cm="1">
        <f t="array" ref="M90">IFERROR(SUM(SUMIFS('caseload data'!O:O,'caseload data'!$C:$C,'community %'!$B$85,'caseload data'!$D:$D,"SPO",'caseload data'!$B:$B,{"licence","community"}))/SUM(SUMIFS('caseload data'!O:O,'caseload data'!$B:$B,{"licence","community"},'caseload data'!$C:$C,'community %'!$B$85)),"")</f>
        <v/>
      </c>
      <c r="N90" s="167" t="str" cm="1">
        <f t="array" ref="N90">IFERROR(SUM(SUMIFS('caseload data'!P:P,'caseload data'!$C:$C,'community %'!$B$85,'caseload data'!$D:$D,"SPO",'caseload data'!$B:$B,{"licence","community"}))/SUM(SUMIFS('caseload data'!P:P,'caseload data'!$B:$B,{"licence","community"},'caseload data'!$C:$C,'community %'!$B$85)),"")</f>
        <v/>
      </c>
      <c r="O90" s="167" t="str" cm="1">
        <f t="array" ref="O90">IFERROR(SUM(SUMIFS('caseload data'!Q:Q,'caseload data'!$C:$C,'community %'!$B$85,'caseload data'!$D:$D,"SPO",'caseload data'!$B:$B,{"licence","community"}))/SUM(SUMIFS('caseload data'!Q:Q,'caseload data'!$B:$B,{"licence","community"},'caseload data'!$C:$C,'community %'!$B$85)),"")</f>
        <v/>
      </c>
      <c r="P90" s="167" t="str" cm="1">
        <f t="array" ref="P90">IFERROR(SUM(SUMIFS('caseload data'!R:R,'caseload data'!$C:$C,'community %'!$B$85,'caseload data'!$D:$D,"SPO",'caseload data'!$B:$B,{"licence","community"}))/SUM(SUMIFS('caseload data'!R:R,'caseload data'!$B:$B,{"licence","community"},'caseload data'!$C:$C,'community %'!$B$85)),"")</f>
        <v/>
      </c>
      <c r="Q90" s="167" t="str" cm="1">
        <f t="array" ref="Q90">IFERROR(SUM(SUMIFS('caseload data'!S:S,'caseload data'!$C:$C,'community %'!$B$85,'caseload data'!$D:$D,"SPO",'caseload data'!$B:$B,{"licence","community"}))/SUM(SUMIFS('caseload data'!S:S,'caseload data'!$B:$B,{"licence","community"},'caseload data'!$C:$C,'community %'!$B$85)),"")</f>
        <v/>
      </c>
      <c r="R90" s="167" t="str" cm="1">
        <f t="array" ref="R90">IFERROR(SUM(SUMIFS('caseload data'!T:T,'caseload data'!$C:$C,'community %'!$B$85,'caseload data'!$D:$D,"SPO",'caseload data'!$B:$B,{"licence","community"}))/SUM(SUMIFS('caseload data'!T:T,'caseload data'!$B:$B,{"licence","community"},'caseload data'!$C:$C,'community %'!$B$85)),"")</f>
        <v/>
      </c>
      <c r="T90" s="98" t="s">
        <v>1009</v>
      </c>
      <c r="U90" s="167" t="str" cm="1">
        <f t="array" ref="U90">IFERROR(SUM(SUMIFS('caseload data'!E:E,'caseload data'!$C:$C,'community %'!$T$85,'caseload data'!$D:$D,"SPO",'caseload data'!$B:$B,{"licence","community"}))/SUM(SUMIFS('caseload data'!E:E,'caseload data'!$B:$B,{"licence","community"},'caseload data'!$C:$C,'community %'!$T$85)),"")</f>
        <v/>
      </c>
      <c r="V90" s="167" t="str" cm="1">
        <f t="array" ref="V90">IFERROR(SUM(SUMIFS('caseload data'!F:F,'caseload data'!$C:$C,'community %'!$T$85,'caseload data'!$D:$D,"SPO",'caseload data'!$B:$B,{"licence","community"}))/SUM(SUMIFS('caseload data'!F:F,'caseload data'!$B:$B,{"licence","community"},'caseload data'!$C:$C,'community %'!$T$85)),"")</f>
        <v/>
      </c>
      <c r="W90" s="167" t="str" cm="1">
        <f t="array" ref="W90">IFERROR(SUM(SUMIFS('caseload data'!G:G,'caseload data'!$C:$C,'community %'!$T$85,'caseload data'!$D:$D,"SPO",'caseload data'!$B:$B,{"licence","community"}))/SUM(SUMIFS('caseload data'!G:G,'caseload data'!$B:$B,{"licence","community"},'caseload data'!$C:$C,'community %'!$T$85)),"")</f>
        <v/>
      </c>
      <c r="X90" s="167" t="str" cm="1">
        <f t="array" ref="X90">IFERROR(SUM(SUMIFS('caseload data'!H:H,'caseload data'!$C:$C,'community %'!$T$85,'caseload data'!$D:$D,"SPO",'caseload data'!$B:$B,{"licence","community"}))/SUM(SUMIFS('caseload data'!H:H,'caseload data'!$B:$B,{"licence","community"},'caseload data'!$C:$C,'community %'!$T$85)),"")</f>
        <v/>
      </c>
      <c r="Y90" s="167" t="str" cm="1">
        <f t="array" ref="Y90">IFERROR(SUM(SUMIFS('caseload data'!I:I,'caseload data'!$C:$C,'community %'!$T$85,'caseload data'!$D:$D,"SPO",'caseload data'!$B:$B,{"licence","community"}))/SUM(SUMIFS('caseload data'!I:I,'caseload data'!$B:$B,{"licence","community"},'caseload data'!$C:$C,'community %'!$T$85)),"")</f>
        <v/>
      </c>
      <c r="Z90" s="167" t="str" cm="1">
        <f t="array" ref="Z90">IFERROR(SUM(SUMIFS('caseload data'!J:J,'caseload data'!$C:$C,'community %'!$T$85,'caseload data'!$D:$D,"SPO",'caseload data'!$B:$B,{"licence","community"}))/SUM(SUMIFS('caseload data'!J:J,'caseload data'!$B:$B,{"licence","community"},'caseload data'!$C:$C,'community %'!$T$85)),"")</f>
        <v/>
      </c>
      <c r="AA90" s="167" t="str" cm="1">
        <f t="array" ref="AA90">IFERROR(SUM(SUMIFS('caseload data'!K:K,'caseload data'!$C:$C,'community %'!$T$85,'caseload data'!$D:$D,"SPO",'caseload data'!$B:$B,{"licence","community"}))/SUM(SUMIFS('caseload data'!K:K,'caseload data'!$B:$B,{"licence","community"},'caseload data'!$C:$C,'community %'!$T$85)),"")</f>
        <v/>
      </c>
      <c r="AB90" s="167" t="str" cm="1">
        <f t="array" ref="AB90">IFERROR(SUM(SUMIFS('caseload data'!L:L,'caseload data'!$C:$C,'community %'!$T$85,'caseload data'!$D:$D,"SPO",'caseload data'!$B:$B,{"licence","community"}))/SUM(SUMIFS('caseload data'!L:L,'caseload data'!$B:$B,{"licence","community"},'caseload data'!$C:$C,'community %'!$T$85)),"")</f>
        <v/>
      </c>
      <c r="AC90" s="167" t="str" cm="1">
        <f t="array" ref="AC90">IFERROR(SUM(SUMIFS('caseload data'!M:M,'caseload data'!$C:$C,'community %'!$T$85,'caseload data'!$D:$D,"SPO",'caseload data'!$B:$B,{"licence","community"}))/SUM(SUMIFS('caseload data'!M:M,'caseload data'!$B:$B,{"licence","community"},'caseload data'!$C:$C,'community %'!$T$85)),"")</f>
        <v/>
      </c>
      <c r="AD90" s="167" t="str" cm="1">
        <f t="array" ref="AD90">IFERROR(SUM(SUMIFS('caseload data'!N:N,'caseload data'!$C:$C,'community %'!$T$85,'caseload data'!$D:$D,"SPO",'caseload data'!$B:$B,{"licence","community"}))/SUM(SUMIFS('caseload data'!N:N,'caseload data'!$B:$B,{"licence","community"},'caseload data'!$C:$C,'community %'!$T$85)),"")</f>
        <v/>
      </c>
      <c r="AE90" s="167" t="str" cm="1">
        <f t="array" ref="AE90">IFERROR(SUM(SUMIFS('caseload data'!O:O,'caseload data'!$C:$C,'community %'!$T$85,'caseload data'!$D:$D,"SPO",'caseload data'!$B:$B,{"licence","community"}))/SUM(SUMIFS('caseload data'!O:O,'caseload data'!$B:$B,{"licence","community"},'caseload data'!$C:$C,'community %'!$T$85)),"")</f>
        <v/>
      </c>
      <c r="AF90" s="167" t="str" cm="1">
        <f t="array" ref="AF90">IFERROR(SUM(SUMIFS('caseload data'!P:P,'caseload data'!$C:$C,'community %'!$T$85,'caseload data'!$D:$D,"SPO",'caseload data'!$B:$B,{"licence","community"}))/SUM(SUMIFS('caseload data'!P:P,'caseload data'!$B:$B,{"licence","community"},'caseload data'!$C:$C,'community %'!$T$85)),"")</f>
        <v/>
      </c>
      <c r="AG90" s="167" t="str" cm="1">
        <f t="array" ref="AG90">IFERROR(SUM(SUMIFS('caseload data'!Q:Q,'caseload data'!$C:$C,'community %'!$T$85,'caseload data'!$D:$D,"SPO",'caseload data'!$B:$B,{"licence","community"}))/SUM(SUMIFS('caseload data'!Q:Q,'caseload data'!$B:$B,{"licence","community"},'caseload data'!$C:$C,'community %'!$T$85)),"")</f>
        <v/>
      </c>
      <c r="AH90" s="167" t="str" cm="1">
        <f t="array" ref="AH90">IFERROR(SUM(SUMIFS('caseload data'!R:R,'caseload data'!$C:$C,'community %'!$T$85,'caseload data'!$D:$D,"SPO",'caseload data'!$B:$B,{"licence","community"}))/SUM(SUMIFS('caseload data'!R:R,'caseload data'!$B:$B,{"licence","community"},'caseload data'!$C:$C,'community %'!$T$85)),"")</f>
        <v/>
      </c>
      <c r="AI90" s="167" t="str" cm="1">
        <f t="array" ref="AI90">IFERROR(SUM(SUMIFS('caseload data'!S:S,'caseload data'!$C:$C,'community %'!$T$85,'caseload data'!$D:$D,"SPO",'caseload data'!$B:$B,{"licence","community"}))/SUM(SUMIFS('caseload data'!S:S,'caseload data'!$B:$B,{"licence","community"},'caseload data'!$C:$C,'community %'!$T$85)),"")</f>
        <v/>
      </c>
      <c r="AJ90" s="167" t="str" cm="1">
        <f t="array" ref="AJ90">IFERROR(SUM(SUMIFS('caseload data'!T:T,'caseload data'!$C:$C,'community %'!$T$85,'caseload data'!$D:$D,"SPO",'caseload data'!$B:$B,{"licence","community"}))/SUM(SUMIFS('caseload data'!T:T,'caseload data'!$B:$B,{"licence","community"},'caseload data'!$C:$C,'community %'!$T$85)),"")</f>
        <v/>
      </c>
    </row>
    <row r="92" spans="2:36" ht="21" customHeight="1" x14ac:dyDescent="0.15">
      <c r="B92" s="289">
        <f>HLOOKUP($B$5,Region_Table,26,0)</f>
        <v>0</v>
      </c>
      <c r="C92" s="507" t="s">
        <v>1139</v>
      </c>
      <c r="D92" s="508"/>
      <c r="E92" s="508"/>
      <c r="F92" s="508"/>
      <c r="G92" s="508"/>
      <c r="H92" s="508"/>
      <c r="I92" s="508"/>
      <c r="J92" s="508"/>
      <c r="K92" s="508"/>
      <c r="L92" s="508"/>
      <c r="M92" s="537"/>
      <c r="N92" s="537"/>
      <c r="O92" s="538"/>
      <c r="P92" s="510" cm="1">
        <f t="array" ref="P92">SUM(SUMIFS('caseload data'!V:V,'caseload data'!B:B,{"licence","community"},'caseload data'!$C:$C,B92))</f>
        <v>0</v>
      </c>
      <c r="Q92" s="527"/>
      <c r="R92" s="528"/>
      <c r="T92" s="289">
        <f>HLOOKUP($B$5,Region_Table,27,0)</f>
        <v>0</v>
      </c>
      <c r="U92" s="507" t="s">
        <v>1139</v>
      </c>
      <c r="V92" s="508"/>
      <c r="W92" s="508"/>
      <c r="X92" s="508"/>
      <c r="Y92" s="508"/>
      <c r="Z92" s="508"/>
      <c r="AA92" s="508"/>
      <c r="AB92" s="508"/>
      <c r="AC92" s="508"/>
      <c r="AD92" s="508"/>
      <c r="AE92" s="537"/>
      <c r="AF92" s="537"/>
      <c r="AG92" s="538"/>
      <c r="AH92" s="510" cm="1">
        <f t="array" ref="AH92">SUM(SUMIFS('caseload data'!V:V,'caseload data'!B:B,{"licence","community"},'caseload data'!$C:$C,T92))</f>
        <v>0</v>
      </c>
      <c r="AI92" s="527"/>
      <c r="AJ92" s="528"/>
    </row>
    <row r="93" spans="2:36" x14ac:dyDescent="0.15">
      <c r="B93" s="95" t="s">
        <v>1005</v>
      </c>
      <c r="C93" s="38" t="s">
        <v>869</v>
      </c>
      <c r="D93" s="38" t="s">
        <v>870</v>
      </c>
      <c r="E93" s="38" t="s">
        <v>871</v>
      </c>
      <c r="F93" s="38" t="s">
        <v>872</v>
      </c>
      <c r="G93" s="38" t="s">
        <v>873</v>
      </c>
      <c r="H93" s="38" t="s">
        <v>874</v>
      </c>
      <c r="I93" s="38" t="s">
        <v>875</v>
      </c>
      <c r="J93" s="38" t="s">
        <v>876</v>
      </c>
      <c r="K93" s="38" t="s">
        <v>877</v>
      </c>
      <c r="L93" s="38" t="s">
        <v>878</v>
      </c>
      <c r="M93" s="38" t="s">
        <v>879</v>
      </c>
      <c r="N93" s="38" t="s">
        <v>880</v>
      </c>
      <c r="O93" s="38" t="s">
        <v>881</v>
      </c>
      <c r="P93" s="38" t="s">
        <v>882</v>
      </c>
      <c r="Q93" s="38" t="s">
        <v>883</v>
      </c>
      <c r="R93" s="38" t="s">
        <v>884</v>
      </c>
      <c r="T93" s="95" t="s">
        <v>1005</v>
      </c>
      <c r="U93" s="38" t="s">
        <v>869</v>
      </c>
      <c r="V93" s="38" t="s">
        <v>870</v>
      </c>
      <c r="W93" s="38" t="s">
        <v>871</v>
      </c>
      <c r="X93" s="38" t="s">
        <v>872</v>
      </c>
      <c r="Y93" s="38" t="s">
        <v>873</v>
      </c>
      <c r="Z93" s="38" t="s">
        <v>874</v>
      </c>
      <c r="AA93" s="38" t="s">
        <v>875</v>
      </c>
      <c r="AB93" s="38" t="s">
        <v>876</v>
      </c>
      <c r="AC93" s="38" t="s">
        <v>877</v>
      </c>
      <c r="AD93" s="38" t="s">
        <v>878</v>
      </c>
      <c r="AE93" s="38" t="s">
        <v>879</v>
      </c>
      <c r="AF93" s="38" t="s">
        <v>880</v>
      </c>
      <c r="AG93" s="38" t="s">
        <v>881</v>
      </c>
      <c r="AH93" s="38" t="s">
        <v>882</v>
      </c>
      <c r="AI93" s="38" t="s">
        <v>883</v>
      </c>
      <c r="AJ93" s="38" t="s">
        <v>884</v>
      </c>
    </row>
    <row r="94" spans="2:36" x14ac:dyDescent="0.15">
      <c r="B94" s="96" t="s">
        <v>1002</v>
      </c>
      <c r="C94" s="167" t="str" cm="1">
        <f t="array" ref="C94">IFERROR(SUM(SUMIFS('caseload data'!E:E,'caseload data'!$C:$C,'community %'!$B$92,'caseload data'!$D:$D,"PO",'caseload data'!$B:$B,{"licence","community"}))/SUM(SUMIFS('caseload data'!E:E,'caseload data'!$B:$B,{"licence","community"},'caseload data'!$C:$C,'community %'!$B$92)),"")</f>
        <v/>
      </c>
      <c r="D94" s="167" t="str" cm="1">
        <f t="array" ref="D94">IFERROR(SUM(SUMIFS('caseload data'!F:F,'caseload data'!$C:$C,'community %'!$B$92,'caseload data'!$D:$D,"PO",'caseload data'!$B:$B,{"licence","community"}))/SUM(SUMIFS('caseload data'!F:F,'caseload data'!$B:$B,{"licence","community"},'caseload data'!$C:$C,'community %'!$B$92)),"")</f>
        <v/>
      </c>
      <c r="E94" s="167" t="str" cm="1">
        <f t="array" ref="E94">IFERROR(SUM(SUMIFS('caseload data'!G:G,'caseload data'!$C:$C,'community %'!$B$92,'caseload data'!$D:$D,"PO",'caseload data'!$B:$B,{"licence","community"}))/SUM(SUMIFS('caseload data'!G:G,'caseload data'!$B:$B,{"licence","community"},'caseload data'!$C:$C,'community %'!$B$92)),"")</f>
        <v/>
      </c>
      <c r="F94" s="167" t="str" cm="1">
        <f t="array" ref="F94">IFERROR(SUM(SUMIFS('caseload data'!H:H,'caseload data'!$C:$C,'community %'!$B$92,'caseload data'!$D:$D,"PO",'caseload data'!$B:$B,{"licence","community"}))/SUM(SUMIFS('caseload data'!H:H,'caseload data'!$B:$B,{"licence","community"},'caseload data'!$C:$C,'community %'!$B$92)),"")</f>
        <v/>
      </c>
      <c r="G94" s="167" t="str" cm="1">
        <f t="array" ref="G94">IFERROR(SUM(SUMIFS('caseload data'!I:I,'caseload data'!$C:$C,'community %'!$B$92,'caseload data'!$D:$D,"PO",'caseload data'!$B:$B,{"licence","community"}))/SUM(SUMIFS('caseload data'!I:I,'caseload data'!$B:$B,{"licence","community"},'caseload data'!$C:$C,'community %'!$B$92)),"")</f>
        <v/>
      </c>
      <c r="H94" s="167" t="str" cm="1">
        <f t="array" ref="H94">IFERROR(SUM(SUMIFS('caseload data'!J:J,'caseload data'!$C:$C,'community %'!$B$92,'caseload data'!$D:$D,"PO",'caseload data'!$B:$B,{"licence","community"}))/SUM(SUMIFS('caseload data'!J:J,'caseload data'!$B:$B,{"licence","community"},'caseload data'!$C:$C,'community %'!$B$92)),"")</f>
        <v/>
      </c>
      <c r="I94" s="167" t="str" cm="1">
        <f t="array" ref="I94">IFERROR(SUM(SUMIFS('caseload data'!K:K,'caseload data'!$C:$C,'community %'!$B$92,'caseload data'!$D:$D,"PO",'caseload data'!$B:$B,{"licence","community"}))/SUM(SUMIFS('caseload data'!K:K,'caseload data'!$B:$B,{"licence","community"},'caseload data'!$C:$C,'community %'!$B$92)),"")</f>
        <v/>
      </c>
      <c r="J94" s="167" t="str" cm="1">
        <f t="array" ref="J94">IFERROR(SUM(SUMIFS('caseload data'!L:L,'caseload data'!$C:$C,'community %'!$B$92,'caseload data'!$D:$D,"PO",'caseload data'!$B:$B,{"licence","community"}))/SUM(SUMIFS('caseload data'!L:L,'caseload data'!$B:$B,{"licence","community"},'caseload data'!$C:$C,'community %'!$B$92)),"")</f>
        <v/>
      </c>
      <c r="K94" s="167" t="str" cm="1">
        <f t="array" ref="K94">IFERROR(SUM(SUMIFS('caseload data'!M:M,'caseload data'!$C:$C,'community %'!$B$92,'caseload data'!$D:$D,"PO",'caseload data'!$B:$B,{"licence","community"}))/SUM(SUMIFS('caseload data'!M:M,'caseload data'!$B:$B,{"licence","community"},'caseload data'!$C:$C,'community %'!$B$92)),"")</f>
        <v/>
      </c>
      <c r="L94" s="167" t="str" cm="1">
        <f t="array" ref="L94">IFERROR(SUM(SUMIFS('caseload data'!N:N,'caseload data'!$C:$C,'community %'!$B$92,'caseload data'!$D:$D,"PO",'caseload data'!$B:$B,{"licence","community"}))/SUM(SUMIFS('caseload data'!N:N,'caseload data'!$B:$B,{"licence","community"},'caseload data'!$C:$C,'community %'!$B$92)),"")</f>
        <v/>
      </c>
      <c r="M94" s="167" t="str" cm="1">
        <f t="array" ref="M94">IFERROR(SUM(SUMIFS('caseload data'!O:O,'caseload data'!$C:$C,'community %'!$B$92,'caseload data'!$D:$D,"PO",'caseload data'!$B:$B,{"licence","community"}))/SUM(SUMIFS('caseload data'!O:O,'caseload data'!$B:$B,{"licence","community"},'caseload data'!$C:$C,'community %'!$B$92)),"")</f>
        <v/>
      </c>
      <c r="N94" s="167" t="str" cm="1">
        <f t="array" ref="N94">IFERROR(SUM(SUMIFS('caseload data'!P:P,'caseload data'!$C:$C,'community %'!$B$92,'caseload data'!$D:$D,"PO",'caseload data'!$B:$B,{"licence","community"}))/SUM(SUMIFS('caseload data'!P:P,'caseload data'!$B:$B,{"licence","community"},'caseload data'!$C:$C,'community %'!$B$92)),"")</f>
        <v/>
      </c>
      <c r="O94" s="167" t="str" cm="1">
        <f t="array" ref="O94">IFERROR(SUM(SUMIFS('caseload data'!Q:Q,'caseload data'!$C:$C,'community %'!$B$92,'caseload data'!$D:$D,"PO",'caseload data'!$B:$B,{"licence","community"}))/SUM(SUMIFS('caseload data'!Q:Q,'caseload data'!$B:$B,{"licence","community"},'caseload data'!$C:$C,'community %'!$B$92)),"")</f>
        <v/>
      </c>
      <c r="P94" s="167" t="str" cm="1">
        <f t="array" ref="P94">IFERROR(SUM(SUMIFS('caseload data'!R:R,'caseload data'!$C:$C,'community %'!$B$92,'caseload data'!$D:$D,"PO",'caseload data'!$B:$B,{"licence","community"}))/SUM(SUMIFS('caseload data'!R:R,'caseload data'!$B:$B,{"licence","community"},'caseload data'!$C:$C,'community %'!$B$92)),"")</f>
        <v/>
      </c>
      <c r="Q94" s="167" t="str" cm="1">
        <f t="array" ref="Q94">IFERROR(SUM(SUMIFS('caseload data'!S:S,'caseload data'!$C:$C,'community %'!$B$92,'caseload data'!$D:$D,"PO",'caseload data'!$B:$B,{"licence","community"}))/SUM(SUMIFS('caseload data'!S:S,'caseload data'!$B:$B,{"licence","community"},'caseload data'!$C:$C,'community %'!$B$92)),"")</f>
        <v/>
      </c>
      <c r="R94" s="167" t="str" cm="1">
        <f t="array" ref="R94">IFERROR(SUM(SUMIFS('caseload data'!T:T,'caseload data'!$C:$C,'community %'!$B$92,'caseload data'!$D:$D,"PO",'caseload data'!$B:$B,{"licence","community"}))/SUM(SUMIFS('caseload data'!T:T,'caseload data'!$B:$B,{"licence","community"},'caseload data'!$C:$C,'community %'!$B$92)),"")</f>
        <v/>
      </c>
      <c r="T94" s="96" t="s">
        <v>1002</v>
      </c>
      <c r="U94" s="167" t="str" cm="1">
        <f t="array" ref="U94">IFERROR(SUM(SUMIFS('caseload data'!E:E,'caseload data'!$C:$C,'community %'!$T$92,'caseload data'!$D:$D,"PO",'caseload data'!$B:$B,{"licence","community"}))/SUM(SUMIFS('caseload data'!E:E,'caseload data'!$B:$B,{"licence","community"},'caseload data'!$C:$C,'community %'!$T$92)),"")</f>
        <v/>
      </c>
      <c r="V94" s="167" t="str" cm="1">
        <f t="array" ref="V94">IFERROR(SUM(SUMIFS('caseload data'!F:F,'caseload data'!$C:$C,'community %'!$T$92,'caseload data'!$D:$D,"PO",'caseload data'!$B:$B,{"licence","community"}))/SUM(SUMIFS('caseload data'!F:F,'caseload data'!$B:$B,{"licence","community"},'caseload data'!$C:$C,'community %'!$T$92)),"")</f>
        <v/>
      </c>
      <c r="W94" s="167" t="str" cm="1">
        <f t="array" ref="W94">IFERROR(SUM(SUMIFS('caseload data'!G:G,'caseload data'!$C:$C,'community %'!$T$92,'caseload data'!$D:$D,"PO",'caseload data'!$B:$B,{"licence","community"}))/SUM(SUMIFS('caseload data'!G:G,'caseload data'!$B:$B,{"licence","community"},'caseload data'!$C:$C,'community %'!$T$92)),"")</f>
        <v/>
      </c>
      <c r="X94" s="167" t="str" cm="1">
        <f t="array" ref="X94">IFERROR(SUM(SUMIFS('caseload data'!H:H,'caseload data'!$C:$C,'community %'!$T$92,'caseload data'!$D:$D,"PO",'caseload data'!$B:$B,{"licence","community"}))/SUM(SUMIFS('caseload data'!H:H,'caseload data'!$B:$B,{"licence","community"},'caseload data'!$C:$C,'community %'!$T$92)),"")</f>
        <v/>
      </c>
      <c r="Y94" s="167" t="str" cm="1">
        <f t="array" ref="Y94">IFERROR(SUM(SUMIFS('caseload data'!I:I,'caseload data'!$C:$C,'community %'!$T$92,'caseload data'!$D:$D,"PO",'caseload data'!$B:$B,{"licence","community"}))/SUM(SUMIFS('caseload data'!I:I,'caseload data'!$B:$B,{"licence","community"},'caseload data'!$C:$C,'community %'!$T$92)),"")</f>
        <v/>
      </c>
      <c r="Z94" s="167" t="str" cm="1">
        <f t="array" ref="Z94">IFERROR(SUM(SUMIFS('caseload data'!J:J,'caseload data'!$C:$C,'community %'!$T$92,'caseload data'!$D:$D,"PO",'caseload data'!$B:$B,{"licence","community"}))/SUM(SUMIFS('caseload data'!J:J,'caseload data'!$B:$B,{"licence","community"},'caseload data'!$C:$C,'community %'!$T$92)),"")</f>
        <v/>
      </c>
      <c r="AA94" s="167" t="str" cm="1">
        <f t="array" ref="AA94">IFERROR(SUM(SUMIFS('caseload data'!K:K,'caseload data'!$C:$C,'community %'!$T$92,'caseload data'!$D:$D,"PO",'caseload data'!$B:$B,{"licence","community"}))/SUM(SUMIFS('caseload data'!K:K,'caseload data'!$B:$B,{"licence","community"},'caseload data'!$C:$C,'community %'!$T$92)),"")</f>
        <v/>
      </c>
      <c r="AB94" s="167" t="str" cm="1">
        <f t="array" ref="AB94">IFERROR(SUM(SUMIFS('caseload data'!L:L,'caseload data'!$C:$C,'community %'!$T$92,'caseload data'!$D:$D,"PO",'caseload data'!$B:$B,{"licence","community"}))/SUM(SUMIFS('caseload data'!L:L,'caseload data'!$B:$B,{"licence","community"},'caseload data'!$C:$C,'community %'!$T$92)),"")</f>
        <v/>
      </c>
      <c r="AC94" s="167" t="str" cm="1">
        <f t="array" ref="AC94">IFERROR(SUM(SUMIFS('caseload data'!M:M,'caseload data'!$C:$C,'community %'!$T$92,'caseload data'!$D:$D,"PO",'caseload data'!$B:$B,{"licence","community"}))/SUM(SUMIFS('caseload data'!M:M,'caseload data'!$B:$B,{"licence","community"},'caseload data'!$C:$C,'community %'!$T$92)),"")</f>
        <v/>
      </c>
      <c r="AD94" s="167" t="str" cm="1">
        <f t="array" ref="AD94">IFERROR(SUM(SUMIFS('caseload data'!N:N,'caseload data'!$C:$C,'community %'!$T$92,'caseload data'!$D:$D,"PO",'caseload data'!$B:$B,{"licence","community"}))/SUM(SUMIFS('caseload data'!N:N,'caseload data'!$B:$B,{"licence","community"},'caseload data'!$C:$C,'community %'!$T$92)),"")</f>
        <v/>
      </c>
      <c r="AE94" s="167" t="str" cm="1">
        <f t="array" ref="AE94">IFERROR(SUM(SUMIFS('caseload data'!O:O,'caseload data'!$C:$C,'community %'!$T$92,'caseload data'!$D:$D,"PO",'caseload data'!$B:$B,{"licence","community"}))/SUM(SUMIFS('caseload data'!O:O,'caseload data'!$B:$B,{"licence","community"},'caseload data'!$C:$C,'community %'!$T$92)),"")</f>
        <v/>
      </c>
      <c r="AF94" s="167" t="str" cm="1">
        <f t="array" ref="AF94">IFERROR(SUM(SUMIFS('caseload data'!P:P,'caseload data'!$C:$C,'community %'!$T$92,'caseload data'!$D:$D,"PO",'caseload data'!$B:$B,{"licence","community"}))/SUM(SUMIFS('caseload data'!P:P,'caseload data'!$B:$B,{"licence","community"},'caseload data'!$C:$C,'community %'!$T$92)),"")</f>
        <v/>
      </c>
      <c r="AG94" s="167" t="str" cm="1">
        <f t="array" ref="AG94">IFERROR(SUM(SUMIFS('caseload data'!Q:Q,'caseload data'!$C:$C,'community %'!$T$92,'caseload data'!$D:$D,"PO",'caseload data'!$B:$B,{"licence","community"}))/SUM(SUMIFS('caseload data'!Q:Q,'caseload data'!$B:$B,{"licence","community"},'caseload data'!$C:$C,'community %'!$T$92)),"")</f>
        <v/>
      </c>
      <c r="AH94" s="167" t="str" cm="1">
        <f t="array" ref="AH94">IFERROR(SUM(SUMIFS('caseload data'!R:R,'caseload data'!$C:$C,'community %'!$T$92,'caseload data'!$D:$D,"PO",'caseload data'!$B:$B,{"licence","community"}))/SUM(SUMIFS('caseload data'!R:R,'caseload data'!$B:$B,{"licence","community"},'caseload data'!$C:$C,'community %'!$T$92)),"")</f>
        <v/>
      </c>
      <c r="AI94" s="167" t="str" cm="1">
        <f t="array" ref="AI94">IFERROR(SUM(SUMIFS('caseload data'!S:S,'caseload data'!$C:$C,'community %'!$T$92,'caseload data'!$D:$D,"PO",'caseload data'!$B:$B,{"licence","community"}))/SUM(SUMIFS('caseload data'!S:S,'caseload data'!$B:$B,{"licence","community"},'caseload data'!$C:$C,'community %'!$T$92)),"")</f>
        <v/>
      </c>
      <c r="AJ94" s="167" t="str" cm="1">
        <f t="array" ref="AJ94">IFERROR(SUM(SUMIFS('caseload data'!T:T,'caseload data'!$C:$C,'community %'!$T$92,'caseload data'!$D:$D,"PO",'caseload data'!$B:$B,{"licence","community"}))/SUM(SUMIFS('caseload data'!T:T,'caseload data'!$B:$B,{"licence","community"},'caseload data'!$C:$C,'community %'!$T$92)),"")</f>
        <v/>
      </c>
    </row>
    <row r="95" spans="2:36" x14ac:dyDescent="0.15">
      <c r="B95" s="97" t="s">
        <v>1007</v>
      </c>
      <c r="C95" s="167" t="str" cm="1">
        <f t="array" ref="C95">IFERROR(SUM(SUMIFS('caseload data'!E:E,'caseload data'!$C:$C,'community %'!$B$92,'caseload data'!$D:$D,"PSO",'caseload data'!$B:$B,{"licence","community"}))/SUM(SUMIFS('caseload data'!E:E,'caseload data'!$B:$B,{"licence","community"},'caseload data'!$C:$C,'community %'!$B$92)),"")</f>
        <v/>
      </c>
      <c r="D95" s="167" t="str" cm="1">
        <f t="array" ref="D95">IFERROR(SUM(SUMIFS('caseload data'!F:F,'caseload data'!$C:$C,'community %'!$B$92,'caseload data'!$D:$D,"PSO",'caseload data'!$B:$B,{"licence","community"}))/SUM(SUMIFS('caseload data'!F:F,'caseload data'!$B:$B,{"licence","community"},'caseload data'!$C:$C,'community %'!$B$92)),"")</f>
        <v/>
      </c>
      <c r="E95" s="167" t="str" cm="1">
        <f t="array" ref="E95">IFERROR(SUM(SUMIFS('caseload data'!G:G,'caseload data'!$C:$C,'community %'!$B$92,'caseload data'!$D:$D,"PSO",'caseload data'!$B:$B,{"licence","community"}))/SUM(SUMIFS('caseload data'!G:G,'caseload data'!$B:$B,{"licence","community"},'caseload data'!$C:$C,'community %'!$B$92)),"")</f>
        <v/>
      </c>
      <c r="F95" s="167" t="str" cm="1">
        <f t="array" ref="F95">IFERROR(SUM(SUMIFS('caseload data'!H:H,'caseload data'!$C:$C,'community %'!$B$92,'caseload data'!$D:$D,"PSO",'caseload data'!$B:$B,{"licence","community"}))/SUM(SUMIFS('caseload data'!H:H,'caseload data'!$B:$B,{"licence","community"},'caseload data'!$C:$C,'community %'!$B$92)),"")</f>
        <v/>
      </c>
      <c r="G95" s="167" t="str" cm="1">
        <f t="array" ref="G95">IFERROR(SUM(SUMIFS('caseload data'!I:I,'caseload data'!$C:$C,'community %'!$B$92,'caseload data'!$D:$D,"PSO",'caseload data'!$B:$B,{"licence","community"}))/SUM(SUMIFS('caseload data'!I:I,'caseload data'!$B:$B,{"licence","community"},'caseload data'!$C:$C,'community %'!$B$92)),"")</f>
        <v/>
      </c>
      <c r="H95" s="167" t="str" cm="1">
        <f t="array" ref="H95">IFERROR(SUM(SUMIFS('caseload data'!J:J,'caseload data'!$C:$C,'community %'!$B$92,'caseload data'!$D:$D,"PSO",'caseload data'!$B:$B,{"licence","community"}))/SUM(SUMIFS('caseload data'!J:J,'caseload data'!$B:$B,{"licence","community"},'caseload data'!$C:$C,'community %'!$B$92)),"")</f>
        <v/>
      </c>
      <c r="I95" s="167" t="str" cm="1">
        <f t="array" ref="I95">IFERROR(SUM(SUMIFS('caseload data'!K:K,'caseload data'!$C:$C,'community %'!$B$92,'caseload data'!$D:$D,"PSO",'caseload data'!$B:$B,{"licence","community"}))/SUM(SUMIFS('caseload data'!K:K,'caseload data'!$B:$B,{"licence","community"},'caseload data'!$C:$C,'community %'!$B$92)),"")</f>
        <v/>
      </c>
      <c r="J95" s="167" t="str" cm="1">
        <f t="array" ref="J95">IFERROR(SUM(SUMIFS('caseload data'!L:L,'caseload data'!$C:$C,'community %'!$B$92,'caseload data'!$D:$D,"PSO",'caseload data'!$B:$B,{"licence","community"}))/SUM(SUMIFS('caseload data'!L:L,'caseload data'!$B:$B,{"licence","community"},'caseload data'!$C:$C,'community %'!$B$92)),"")</f>
        <v/>
      </c>
      <c r="K95" s="167" t="str" cm="1">
        <f t="array" ref="K95">IFERROR(SUM(SUMIFS('caseload data'!M:M,'caseload data'!$C:$C,'community %'!$B$92,'caseload data'!$D:$D,"PSO",'caseload data'!$B:$B,{"licence","community"}))/SUM(SUMIFS('caseload data'!M:M,'caseload data'!$B:$B,{"licence","community"},'caseload data'!$C:$C,'community %'!$B$92)),"")</f>
        <v/>
      </c>
      <c r="L95" s="167" t="str" cm="1">
        <f t="array" ref="L95">IFERROR(SUM(SUMIFS('caseload data'!N:N,'caseload data'!$C:$C,'community %'!$B$92,'caseload data'!$D:$D,"PSO",'caseload data'!$B:$B,{"licence","community"}))/SUM(SUMIFS('caseload data'!N:N,'caseload data'!$B:$B,{"licence","community"},'caseload data'!$C:$C,'community %'!$B$92)),"")</f>
        <v/>
      </c>
      <c r="M95" s="167" t="str" cm="1">
        <f t="array" ref="M95">IFERROR(SUM(SUMIFS('caseload data'!O:O,'caseload data'!$C:$C,'community %'!$B$92,'caseload data'!$D:$D,"PSO",'caseload data'!$B:$B,{"licence","community"}))/SUM(SUMIFS('caseload data'!O:O,'caseload data'!$B:$B,{"licence","community"},'caseload data'!$C:$C,'community %'!$B$92)),"")</f>
        <v/>
      </c>
      <c r="N95" s="167" t="str" cm="1">
        <f t="array" ref="N95">IFERROR(SUM(SUMIFS('caseload data'!P:P,'caseload data'!$C:$C,'community %'!$B$92,'caseload data'!$D:$D,"PSO",'caseload data'!$B:$B,{"licence","community"}))/SUM(SUMIFS('caseload data'!P:P,'caseload data'!$B:$B,{"licence","community"},'caseload data'!$C:$C,'community %'!$B$92)),"")</f>
        <v/>
      </c>
      <c r="O95" s="167" t="str" cm="1">
        <f t="array" ref="O95">IFERROR(SUM(SUMIFS('caseload data'!Q:Q,'caseload data'!$C:$C,'community %'!$B$92,'caseload data'!$D:$D,"PSO",'caseload data'!$B:$B,{"licence","community"}))/SUM(SUMIFS('caseload data'!Q:Q,'caseload data'!$B:$B,{"licence","community"},'caseload data'!$C:$C,'community %'!$B$92)),"")</f>
        <v/>
      </c>
      <c r="P95" s="167" t="str" cm="1">
        <f t="array" ref="P95">IFERROR(SUM(SUMIFS('caseload data'!R:R,'caseload data'!$C:$C,'community %'!$B$92,'caseload data'!$D:$D,"PSO",'caseload data'!$B:$B,{"licence","community"}))/SUM(SUMIFS('caseload data'!R:R,'caseload data'!$B:$B,{"licence","community"},'caseload data'!$C:$C,'community %'!$B$92)),"")</f>
        <v/>
      </c>
      <c r="Q95" s="167" t="str" cm="1">
        <f t="array" ref="Q95">IFERROR(SUM(SUMIFS('caseload data'!S:S,'caseload data'!$C:$C,'community %'!$B$92,'caseload data'!$D:$D,"PSO",'caseload data'!$B:$B,{"licence","community"}))/SUM(SUMIFS('caseload data'!S:S,'caseload data'!$B:$B,{"licence","community"},'caseload data'!$C:$C,'community %'!$B$92)),"")</f>
        <v/>
      </c>
      <c r="R95" s="167" t="str" cm="1">
        <f t="array" ref="R95">IFERROR(SUM(SUMIFS('caseload data'!T:T,'caseload data'!$C:$C,'community %'!$B$92,'caseload data'!$D:$D,"PSO",'caseload data'!$B:$B,{"licence","community"}))/SUM(SUMIFS('caseload data'!T:T,'caseload data'!$B:$B,{"licence","community"},'caseload data'!$C:$C,'community %'!$B$92)),"")</f>
        <v/>
      </c>
      <c r="T95" s="97" t="s">
        <v>1007</v>
      </c>
      <c r="U95" s="167" t="str" cm="1">
        <f t="array" ref="U95">IFERROR(SUM(SUMIFS('caseload data'!E:E,'caseload data'!$C:$C,'community %'!$T$92,'caseload data'!$D:$D,"PSO",'caseload data'!$B:$B,{"licence","community"}))/SUM(SUMIFS('caseload data'!E:E,'caseload data'!$B:$B,{"licence","community"},'caseload data'!$C:$C,'community %'!$T$92)),"")</f>
        <v/>
      </c>
      <c r="V95" s="167" t="str" cm="1">
        <f t="array" ref="V95">IFERROR(SUM(SUMIFS('caseload data'!F:F,'caseload data'!$C:$C,'community %'!$T$92,'caseload data'!$D:$D,"PSO",'caseload data'!$B:$B,{"licence","community"}))/SUM(SUMIFS('caseload data'!F:F,'caseload data'!$B:$B,{"licence","community"},'caseload data'!$C:$C,'community %'!$T$92)),"")</f>
        <v/>
      </c>
      <c r="W95" s="167" t="str" cm="1">
        <f t="array" ref="W95">IFERROR(SUM(SUMIFS('caseload data'!G:G,'caseload data'!$C:$C,'community %'!$T$92,'caseload data'!$D:$D,"PSO",'caseload data'!$B:$B,{"licence","community"}))/SUM(SUMIFS('caseload data'!G:G,'caseload data'!$B:$B,{"licence","community"},'caseload data'!$C:$C,'community %'!$T$92)),"")</f>
        <v/>
      </c>
      <c r="X95" s="167" t="str" cm="1">
        <f t="array" ref="X95">IFERROR(SUM(SUMIFS('caseload data'!H:H,'caseload data'!$C:$C,'community %'!$T$92,'caseload data'!$D:$D,"PSO",'caseload data'!$B:$B,{"licence","community"}))/SUM(SUMIFS('caseload data'!H:H,'caseload data'!$B:$B,{"licence","community"},'caseload data'!$C:$C,'community %'!$T$92)),"")</f>
        <v/>
      </c>
      <c r="Y95" s="167" t="str" cm="1">
        <f t="array" ref="Y95">IFERROR(SUM(SUMIFS('caseload data'!I:I,'caseload data'!$C:$C,'community %'!$T$92,'caseload data'!$D:$D,"PSO",'caseload data'!$B:$B,{"licence","community"}))/SUM(SUMIFS('caseload data'!I:I,'caseload data'!$B:$B,{"licence","community"},'caseload data'!$C:$C,'community %'!$T$92)),"")</f>
        <v/>
      </c>
      <c r="Z95" s="167" t="str" cm="1">
        <f t="array" ref="Z95">IFERROR(SUM(SUMIFS('caseload data'!J:J,'caseload data'!$C:$C,'community %'!$T$92,'caseload data'!$D:$D,"PSO",'caseload data'!$B:$B,{"licence","community"}))/SUM(SUMIFS('caseload data'!J:J,'caseload data'!$B:$B,{"licence","community"},'caseload data'!$C:$C,'community %'!$T$92)),"")</f>
        <v/>
      </c>
      <c r="AA95" s="167" t="str" cm="1">
        <f t="array" ref="AA95">IFERROR(SUM(SUMIFS('caseload data'!K:K,'caseload data'!$C:$C,'community %'!$T$92,'caseload data'!$D:$D,"PSO",'caseload data'!$B:$B,{"licence","community"}))/SUM(SUMIFS('caseload data'!K:K,'caseload data'!$B:$B,{"licence","community"},'caseload data'!$C:$C,'community %'!$T$92)),"")</f>
        <v/>
      </c>
      <c r="AB95" s="167" t="str" cm="1">
        <f t="array" ref="AB95">IFERROR(SUM(SUMIFS('caseload data'!L:L,'caseload data'!$C:$C,'community %'!$T$92,'caseload data'!$D:$D,"PSO",'caseload data'!$B:$B,{"licence","community"}))/SUM(SUMIFS('caseload data'!L:L,'caseload data'!$B:$B,{"licence","community"},'caseload data'!$C:$C,'community %'!$T$92)),"")</f>
        <v/>
      </c>
      <c r="AC95" s="167" t="str" cm="1">
        <f t="array" ref="AC95">IFERROR(SUM(SUMIFS('caseload data'!M:M,'caseload data'!$C:$C,'community %'!$T$92,'caseload data'!$D:$D,"PSO",'caseload data'!$B:$B,{"licence","community"}))/SUM(SUMIFS('caseload data'!M:M,'caseload data'!$B:$B,{"licence","community"},'caseload data'!$C:$C,'community %'!$T$92)),"")</f>
        <v/>
      </c>
      <c r="AD95" s="167" t="str" cm="1">
        <f t="array" ref="AD95">IFERROR(SUM(SUMIFS('caseload data'!N:N,'caseload data'!$C:$C,'community %'!$T$92,'caseload data'!$D:$D,"PSO",'caseload data'!$B:$B,{"licence","community"}))/SUM(SUMIFS('caseload data'!N:N,'caseload data'!$B:$B,{"licence","community"},'caseload data'!$C:$C,'community %'!$T$92)),"")</f>
        <v/>
      </c>
      <c r="AE95" s="167" t="str" cm="1">
        <f t="array" ref="AE95">IFERROR(SUM(SUMIFS('caseload data'!O:O,'caseload data'!$C:$C,'community %'!$T$92,'caseload data'!$D:$D,"PSO",'caseload data'!$B:$B,{"licence","community"}))/SUM(SUMIFS('caseload data'!O:O,'caseload data'!$B:$B,{"licence","community"},'caseload data'!$C:$C,'community %'!$T$92)),"")</f>
        <v/>
      </c>
      <c r="AF95" s="167" t="str" cm="1">
        <f t="array" ref="AF95">IFERROR(SUM(SUMIFS('caseload data'!P:P,'caseload data'!$C:$C,'community %'!$T$92,'caseload data'!$D:$D,"PSO",'caseload data'!$B:$B,{"licence","community"}))/SUM(SUMIFS('caseload data'!P:P,'caseload data'!$B:$B,{"licence","community"},'caseload data'!$C:$C,'community %'!$T$92)),"")</f>
        <v/>
      </c>
      <c r="AG95" s="167" t="str" cm="1">
        <f t="array" ref="AG95">IFERROR(SUM(SUMIFS('caseload data'!Q:Q,'caseload data'!$C:$C,'community %'!$T$92,'caseload data'!$D:$D,"PSO",'caseload data'!$B:$B,{"licence","community"}))/SUM(SUMIFS('caseload data'!Q:Q,'caseload data'!$B:$B,{"licence","community"},'caseload data'!$C:$C,'community %'!$T$92)),"")</f>
        <v/>
      </c>
      <c r="AH95" s="167" t="str" cm="1">
        <f t="array" ref="AH95">IFERROR(SUM(SUMIFS('caseload data'!R:R,'caseload data'!$C:$C,'community %'!$T$92,'caseload data'!$D:$D,"PSO",'caseload data'!$B:$B,{"licence","community"}))/SUM(SUMIFS('caseload data'!R:R,'caseload data'!$B:$B,{"licence","community"},'caseload data'!$C:$C,'community %'!$T$92)),"")</f>
        <v/>
      </c>
      <c r="AI95" s="167" t="str" cm="1">
        <f t="array" ref="AI95">IFERROR(SUM(SUMIFS('caseload data'!S:S,'caseload data'!$C:$C,'community %'!$T$92,'caseload data'!$D:$D,"PSO",'caseload data'!$B:$B,{"licence","community"}))/SUM(SUMIFS('caseload data'!S:S,'caseload data'!$B:$B,{"licence","community"},'caseload data'!$C:$C,'community %'!$T$92)),"")</f>
        <v/>
      </c>
      <c r="AJ95" s="167" t="str" cm="1">
        <f t="array" ref="AJ95">IFERROR(SUM(SUMIFS('caseload data'!T:T,'caseload data'!$C:$C,'community %'!$T$92,'caseload data'!$D:$D,"PSO",'caseload data'!$B:$B,{"licence","community"}))/SUM(SUMIFS('caseload data'!T:T,'caseload data'!$B:$B,{"licence","community"},'caseload data'!$C:$C,'community %'!$T$92)),"")</f>
        <v/>
      </c>
    </row>
    <row r="96" spans="2:36" x14ac:dyDescent="0.15">
      <c r="B96" s="97" t="s">
        <v>1008</v>
      </c>
      <c r="C96" s="167" t="str" cm="1">
        <f t="array" ref="C96">IFERROR(SUM(SUMIFS('caseload data'!E:E,'caseload data'!$C:$C,'community %'!$B$92,'caseload data'!$D:$D,"TPO",'caseload data'!$B:$B,{"licence","community"}))/SUM(SUMIFS('caseload data'!E:E,'caseload data'!$B:$B,{"licence","community"},'caseload data'!$C:$C,'community %'!$B$92)),"")</f>
        <v/>
      </c>
      <c r="D96" s="167" t="str" cm="1">
        <f t="array" ref="D96">IFERROR(SUM(SUMIFS('caseload data'!F:F,'caseload data'!$C:$C,'community %'!$B$92,'caseload data'!$D:$D,"TPO",'caseload data'!$B:$B,{"licence","community"}))/SUM(SUMIFS('caseload data'!F:F,'caseload data'!$B:$B,{"licence","community"},'caseload data'!$C:$C,'community %'!$B$92)),"")</f>
        <v/>
      </c>
      <c r="E96" s="167" t="str" cm="1">
        <f t="array" ref="E96">IFERROR(SUM(SUMIFS('caseload data'!G:G,'caseload data'!$C:$C,'community %'!$B$92,'caseload data'!$D:$D,"TPO",'caseload data'!$B:$B,{"licence","community"}))/SUM(SUMIFS('caseload data'!G:G,'caseload data'!$B:$B,{"licence","community"},'caseload data'!$C:$C,'community %'!$B$92)),"")</f>
        <v/>
      </c>
      <c r="F96" s="167" t="str" cm="1">
        <f t="array" ref="F96">IFERROR(SUM(SUMIFS('caseload data'!H:H,'caseload data'!$C:$C,'community %'!$B$92,'caseload data'!$D:$D,"TPO",'caseload data'!$B:$B,{"licence","community"}))/SUM(SUMIFS('caseload data'!H:H,'caseload data'!$B:$B,{"licence","community"},'caseload data'!$C:$C,'community %'!$B$92)),"")</f>
        <v/>
      </c>
      <c r="G96" s="167" t="str" cm="1">
        <f t="array" ref="G96">IFERROR(SUM(SUMIFS('caseload data'!I:I,'caseload data'!$C:$C,'community %'!$B$92,'caseload data'!$D:$D,"TPO",'caseload data'!$B:$B,{"licence","community"}))/SUM(SUMIFS('caseload data'!I:I,'caseload data'!$B:$B,{"licence","community"},'caseload data'!$C:$C,'community %'!$B$92)),"")</f>
        <v/>
      </c>
      <c r="H96" s="167" t="str" cm="1">
        <f t="array" ref="H96">IFERROR(SUM(SUMIFS('caseload data'!J:J,'caseload data'!$C:$C,'community %'!$B$92,'caseload data'!$D:$D,"TPO",'caseload data'!$B:$B,{"licence","community"}))/SUM(SUMIFS('caseload data'!J:J,'caseload data'!$B:$B,{"licence","community"},'caseload data'!$C:$C,'community %'!$B$92)),"")</f>
        <v/>
      </c>
      <c r="I96" s="167" t="str" cm="1">
        <f t="array" ref="I96">IFERROR(SUM(SUMIFS('caseload data'!K:K,'caseload data'!$C:$C,'community %'!$B$92,'caseload data'!$D:$D,"TPO",'caseload data'!$B:$B,{"licence","community"}))/SUM(SUMIFS('caseload data'!K:K,'caseload data'!$B:$B,{"licence","community"},'caseload data'!$C:$C,'community %'!$B$92)),"")</f>
        <v/>
      </c>
      <c r="J96" s="167" t="str" cm="1">
        <f t="array" ref="J96">IFERROR(SUM(SUMIFS('caseload data'!L:L,'caseload data'!$C:$C,'community %'!$B$92,'caseload data'!$D:$D,"TPO",'caseload data'!$B:$B,{"licence","community"}))/SUM(SUMIFS('caseload data'!L:L,'caseload data'!$B:$B,{"licence","community"},'caseload data'!$C:$C,'community %'!$B$92)),"")</f>
        <v/>
      </c>
      <c r="K96" s="167" t="str" cm="1">
        <f t="array" ref="K96">IFERROR(SUM(SUMIFS('caseload data'!M:M,'caseload data'!$C:$C,'community %'!$B$92,'caseload data'!$D:$D,"TPO",'caseload data'!$B:$B,{"licence","community"}))/SUM(SUMIFS('caseload data'!M:M,'caseload data'!$B:$B,{"licence","community"},'caseload data'!$C:$C,'community %'!$B$92)),"")</f>
        <v/>
      </c>
      <c r="L96" s="167" t="str" cm="1">
        <f t="array" ref="L96">IFERROR(SUM(SUMIFS('caseload data'!N:N,'caseload data'!$C:$C,'community %'!$B$92,'caseload data'!$D:$D,"TPO",'caseload data'!$B:$B,{"licence","community"}))/SUM(SUMIFS('caseload data'!N:N,'caseload data'!$B:$B,{"licence","community"},'caseload data'!$C:$C,'community %'!$B$92)),"")</f>
        <v/>
      </c>
      <c r="M96" s="167" t="str" cm="1">
        <f t="array" ref="M96">IFERROR(SUM(SUMIFS('caseload data'!O:O,'caseload data'!$C:$C,'community %'!$B$92,'caseload data'!$D:$D,"TPO",'caseload data'!$B:$B,{"licence","community"}))/SUM(SUMIFS('caseload data'!O:O,'caseload data'!$B:$B,{"licence","community"},'caseload data'!$C:$C,'community %'!$B$92)),"")</f>
        <v/>
      </c>
      <c r="N96" s="167" t="str" cm="1">
        <f t="array" ref="N96">IFERROR(SUM(SUMIFS('caseload data'!P:P,'caseload data'!$C:$C,'community %'!$B$92,'caseload data'!$D:$D,"TPO",'caseload data'!$B:$B,{"licence","community"}))/SUM(SUMIFS('caseload data'!P:P,'caseload data'!$B:$B,{"licence","community"},'caseload data'!$C:$C,'community %'!$B$92)),"")</f>
        <v/>
      </c>
      <c r="O96" s="167" t="str" cm="1">
        <f t="array" ref="O96">IFERROR(SUM(SUMIFS('caseload data'!Q:Q,'caseload data'!$C:$C,'community %'!$B$92,'caseload data'!$D:$D,"TPO",'caseload data'!$B:$B,{"licence","community"}))/SUM(SUMIFS('caseload data'!Q:Q,'caseload data'!$B:$B,{"licence","community"},'caseload data'!$C:$C,'community %'!$B$92)),"")</f>
        <v/>
      </c>
      <c r="P96" s="167" t="str" cm="1">
        <f t="array" ref="P96">IFERROR(SUM(SUMIFS('caseload data'!R:R,'caseload data'!$C:$C,'community %'!$B$92,'caseload data'!$D:$D,"TPO",'caseload data'!$B:$B,{"licence","community"}))/SUM(SUMIFS('caseload data'!R:R,'caseload data'!$B:$B,{"licence","community"},'caseload data'!$C:$C,'community %'!$B$92)),"")</f>
        <v/>
      </c>
      <c r="Q96" s="167" t="str" cm="1">
        <f t="array" ref="Q96">IFERROR(SUM(SUMIFS('caseload data'!S:S,'caseload data'!$C:$C,'community %'!$B$92,'caseload data'!$D:$D,"TPO",'caseload data'!$B:$B,{"licence","community"}))/SUM(SUMIFS('caseload data'!S:S,'caseload data'!$B:$B,{"licence","community"},'caseload data'!$C:$C,'community %'!$B$92)),"")</f>
        <v/>
      </c>
      <c r="R96" s="167" t="str" cm="1">
        <f t="array" ref="R96">IFERROR(SUM(SUMIFS('caseload data'!T:T,'caseload data'!$C:$C,'community %'!$B$92,'caseload data'!$D:$D,"TPO",'caseload data'!$B:$B,{"licence","community"}))/SUM(SUMIFS('caseload data'!T:T,'caseload data'!$B:$B,{"licence","community"},'caseload data'!$C:$C,'community %'!$B$92)),"")</f>
        <v/>
      </c>
      <c r="T96" s="97" t="s">
        <v>1008</v>
      </c>
      <c r="U96" s="167" t="str" cm="1">
        <f t="array" ref="U96">IFERROR(SUM(SUMIFS('caseload data'!E:E,'caseload data'!$C:$C,'community %'!$T$92,'caseload data'!$D:$D,"TPO",'caseload data'!$B:$B,{"licence","community"}))/SUM(SUMIFS('caseload data'!E:E,'caseload data'!$B:$B,{"licence","community"},'caseload data'!$C:$C,'community %'!$T$92)),"")</f>
        <v/>
      </c>
      <c r="V96" s="167" t="str" cm="1">
        <f t="array" ref="V96">IFERROR(SUM(SUMIFS('caseload data'!F:F,'caseload data'!$C:$C,'community %'!$T$92,'caseload data'!$D:$D,"TPO",'caseload data'!$B:$B,{"licence","community"}))/SUM(SUMIFS('caseload data'!F:F,'caseload data'!$B:$B,{"licence","community"},'caseload data'!$C:$C,'community %'!$T$92)),"")</f>
        <v/>
      </c>
      <c r="W96" s="167" t="str" cm="1">
        <f t="array" ref="W96">IFERROR(SUM(SUMIFS('caseload data'!G:G,'caseload data'!$C:$C,'community %'!$T$92,'caseload data'!$D:$D,"TPO",'caseload data'!$B:$B,{"licence","community"}))/SUM(SUMIFS('caseload data'!G:G,'caseload data'!$B:$B,{"licence","community"},'caseload data'!$C:$C,'community %'!$T$92)),"")</f>
        <v/>
      </c>
      <c r="X96" s="167" t="str" cm="1">
        <f t="array" ref="X96">IFERROR(SUM(SUMIFS('caseload data'!H:H,'caseload data'!$C:$C,'community %'!$T$92,'caseload data'!$D:$D,"TPO",'caseload data'!$B:$B,{"licence","community"}))/SUM(SUMIFS('caseload data'!H:H,'caseload data'!$B:$B,{"licence","community"},'caseload data'!$C:$C,'community %'!$T$92)),"")</f>
        <v/>
      </c>
      <c r="Y96" s="167" t="str" cm="1">
        <f t="array" ref="Y96">IFERROR(SUM(SUMIFS('caseload data'!I:I,'caseload data'!$C:$C,'community %'!$T$92,'caseload data'!$D:$D,"TPO",'caseload data'!$B:$B,{"licence","community"}))/SUM(SUMIFS('caseload data'!I:I,'caseload data'!$B:$B,{"licence","community"},'caseload data'!$C:$C,'community %'!$T$92)),"")</f>
        <v/>
      </c>
      <c r="Z96" s="167" t="str" cm="1">
        <f t="array" ref="Z96">IFERROR(SUM(SUMIFS('caseload data'!J:J,'caseload data'!$C:$C,'community %'!$T$92,'caseload data'!$D:$D,"TPO",'caseload data'!$B:$B,{"licence","community"}))/SUM(SUMIFS('caseload data'!J:J,'caseload data'!$B:$B,{"licence","community"},'caseload data'!$C:$C,'community %'!$T$92)),"")</f>
        <v/>
      </c>
      <c r="AA96" s="167" t="str" cm="1">
        <f t="array" ref="AA96">IFERROR(SUM(SUMIFS('caseload data'!K:K,'caseload data'!$C:$C,'community %'!$T$92,'caseload data'!$D:$D,"TPO",'caseload data'!$B:$B,{"licence","community"}))/SUM(SUMIFS('caseload data'!K:K,'caseload data'!$B:$B,{"licence","community"},'caseload data'!$C:$C,'community %'!$T$92)),"")</f>
        <v/>
      </c>
      <c r="AB96" s="167" t="str" cm="1">
        <f t="array" ref="AB96">IFERROR(SUM(SUMIFS('caseload data'!L:L,'caseload data'!$C:$C,'community %'!$T$92,'caseload data'!$D:$D,"TPO",'caseload data'!$B:$B,{"licence","community"}))/SUM(SUMIFS('caseload data'!L:L,'caseload data'!$B:$B,{"licence","community"},'caseload data'!$C:$C,'community %'!$T$92)),"")</f>
        <v/>
      </c>
      <c r="AC96" s="167" t="str" cm="1">
        <f t="array" ref="AC96">IFERROR(SUM(SUMIFS('caseload data'!M:M,'caseload data'!$C:$C,'community %'!$T$92,'caseload data'!$D:$D,"TPO",'caseload data'!$B:$B,{"licence","community"}))/SUM(SUMIFS('caseload data'!M:M,'caseload data'!$B:$B,{"licence","community"},'caseload data'!$C:$C,'community %'!$T$92)),"")</f>
        <v/>
      </c>
      <c r="AD96" s="167" t="str" cm="1">
        <f t="array" ref="AD96">IFERROR(SUM(SUMIFS('caseload data'!N:N,'caseload data'!$C:$C,'community %'!$T$92,'caseload data'!$D:$D,"TPO",'caseload data'!$B:$B,{"licence","community"}))/SUM(SUMIFS('caseload data'!N:N,'caseload data'!$B:$B,{"licence","community"},'caseload data'!$C:$C,'community %'!$T$92)),"")</f>
        <v/>
      </c>
      <c r="AE96" s="167" t="str" cm="1">
        <f t="array" ref="AE96">IFERROR(SUM(SUMIFS('caseload data'!O:O,'caseload data'!$C:$C,'community %'!$T$92,'caseload data'!$D:$D,"TPO",'caseload data'!$B:$B,{"licence","community"}))/SUM(SUMIFS('caseload data'!O:O,'caseload data'!$B:$B,{"licence","community"},'caseload data'!$C:$C,'community %'!$T$92)),"")</f>
        <v/>
      </c>
      <c r="AF96" s="167" t="str" cm="1">
        <f t="array" ref="AF96">IFERROR(SUM(SUMIFS('caseload data'!P:P,'caseload data'!$C:$C,'community %'!$T$92,'caseload data'!$D:$D,"TPO",'caseload data'!$B:$B,{"licence","community"}))/SUM(SUMIFS('caseload data'!P:P,'caseload data'!$B:$B,{"licence","community"},'caseload data'!$C:$C,'community %'!$T$92)),"")</f>
        <v/>
      </c>
      <c r="AG96" s="167" t="str" cm="1">
        <f t="array" ref="AG96">IFERROR(SUM(SUMIFS('caseload data'!Q:Q,'caseload data'!$C:$C,'community %'!$T$92,'caseload data'!$D:$D,"TPO",'caseload data'!$B:$B,{"licence","community"}))/SUM(SUMIFS('caseload data'!Q:Q,'caseload data'!$B:$B,{"licence","community"},'caseload data'!$C:$C,'community %'!$T$92)),"")</f>
        <v/>
      </c>
      <c r="AH96" s="167" t="str" cm="1">
        <f t="array" ref="AH96">IFERROR(SUM(SUMIFS('caseload data'!R:R,'caseload data'!$C:$C,'community %'!$T$92,'caseload data'!$D:$D,"TPO",'caseload data'!$B:$B,{"licence","community"}))/SUM(SUMIFS('caseload data'!R:R,'caseload data'!$B:$B,{"licence","community"},'caseload data'!$C:$C,'community %'!$T$92)),"")</f>
        <v/>
      </c>
      <c r="AI96" s="167" t="str" cm="1">
        <f t="array" ref="AI96">IFERROR(SUM(SUMIFS('caseload data'!S:S,'caseload data'!$C:$C,'community %'!$T$92,'caseload data'!$D:$D,"TPO",'caseload data'!$B:$B,{"licence","community"}))/SUM(SUMIFS('caseload data'!S:S,'caseload data'!$B:$B,{"licence","community"},'caseload data'!$C:$C,'community %'!$T$92)),"")</f>
        <v/>
      </c>
      <c r="AJ96" s="167" t="str" cm="1">
        <f t="array" ref="AJ96">IFERROR(SUM(SUMIFS('caseload data'!T:T,'caseload data'!$C:$C,'community %'!$T$92,'caseload data'!$D:$D,"TPO",'caseload data'!$B:$B,{"licence","community"}))/SUM(SUMIFS('caseload data'!T:T,'caseload data'!$B:$B,{"licence","community"},'caseload data'!$C:$C,'community %'!$T$92)),"")</f>
        <v/>
      </c>
    </row>
    <row r="97" spans="2:36" x14ac:dyDescent="0.15">
      <c r="B97" s="98" t="s">
        <v>1009</v>
      </c>
      <c r="C97" s="167" t="str" cm="1">
        <f t="array" ref="C97">IFERROR(SUM(SUMIFS('caseload data'!E:E,'caseload data'!$C:$C,'community %'!$B$92,'caseload data'!$D:$D,"SPO",'caseload data'!$B:$B,{"licence","community"}))/SUM(SUMIFS('caseload data'!E:E,'caseload data'!$B:$B,{"licence","community"},'caseload data'!$C:$C,'community %'!$B$92)),"")</f>
        <v/>
      </c>
      <c r="D97" s="167" t="str" cm="1">
        <f t="array" ref="D97">IFERROR(SUM(SUMIFS('caseload data'!F:F,'caseload data'!$C:$C,'community %'!$B$92,'caseload data'!$D:$D,"SPO",'caseload data'!$B:$B,{"licence","community"}))/SUM(SUMIFS('caseload data'!F:F,'caseload data'!$B:$B,{"licence","community"},'caseload data'!$C:$C,'community %'!$B$92)),"")</f>
        <v/>
      </c>
      <c r="E97" s="167" t="str" cm="1">
        <f t="array" ref="E97">IFERROR(SUM(SUMIFS('caseload data'!G:G,'caseload data'!$C:$C,'community %'!$B$92,'caseload data'!$D:$D,"SPO",'caseload data'!$B:$B,{"licence","community"}))/SUM(SUMIFS('caseload data'!G:G,'caseload data'!$B:$B,{"licence","community"},'caseload data'!$C:$C,'community %'!$B$92)),"")</f>
        <v/>
      </c>
      <c r="F97" s="167" t="str" cm="1">
        <f t="array" ref="F97">IFERROR(SUM(SUMIFS('caseload data'!H:H,'caseload data'!$C:$C,'community %'!$B$92,'caseload data'!$D:$D,"SPO",'caseload data'!$B:$B,{"licence","community"}))/SUM(SUMIFS('caseload data'!H:H,'caseload data'!$B:$B,{"licence","community"},'caseload data'!$C:$C,'community %'!$B$92)),"")</f>
        <v/>
      </c>
      <c r="G97" s="167" t="str" cm="1">
        <f t="array" ref="G97">IFERROR(SUM(SUMIFS('caseload data'!I:I,'caseload data'!$C:$C,'community %'!$B$92,'caseload data'!$D:$D,"SPO",'caseload data'!$B:$B,{"licence","community"}))/SUM(SUMIFS('caseload data'!I:I,'caseload data'!$B:$B,{"licence","community"},'caseload data'!$C:$C,'community %'!$B$92)),"")</f>
        <v/>
      </c>
      <c r="H97" s="167" t="str" cm="1">
        <f t="array" ref="H97">IFERROR(SUM(SUMIFS('caseload data'!J:J,'caseload data'!$C:$C,'community %'!$B$92,'caseload data'!$D:$D,"SPO",'caseload data'!$B:$B,{"licence","community"}))/SUM(SUMIFS('caseload data'!J:J,'caseload data'!$B:$B,{"licence","community"},'caseload data'!$C:$C,'community %'!$B$92)),"")</f>
        <v/>
      </c>
      <c r="I97" s="167" t="str" cm="1">
        <f t="array" ref="I97">IFERROR(SUM(SUMIFS('caseload data'!K:K,'caseload data'!$C:$C,'community %'!$B$92,'caseload data'!$D:$D,"SPO",'caseload data'!$B:$B,{"licence","community"}))/SUM(SUMIFS('caseload data'!K:K,'caseload data'!$B:$B,{"licence","community"},'caseload data'!$C:$C,'community %'!$B$92)),"")</f>
        <v/>
      </c>
      <c r="J97" s="167" t="str" cm="1">
        <f t="array" ref="J97">IFERROR(SUM(SUMIFS('caseload data'!L:L,'caseload data'!$C:$C,'community %'!$B$92,'caseload data'!$D:$D,"SPO",'caseload data'!$B:$B,{"licence","community"}))/SUM(SUMIFS('caseload data'!L:L,'caseload data'!$B:$B,{"licence","community"},'caseload data'!$C:$C,'community %'!$B$92)),"")</f>
        <v/>
      </c>
      <c r="K97" s="167" t="str" cm="1">
        <f t="array" ref="K97">IFERROR(SUM(SUMIFS('caseload data'!M:M,'caseload data'!$C:$C,'community %'!$B$92,'caseload data'!$D:$D,"SPO",'caseload data'!$B:$B,{"licence","community"}))/SUM(SUMIFS('caseload data'!M:M,'caseload data'!$B:$B,{"licence","community"},'caseload data'!$C:$C,'community %'!$B$92)),"")</f>
        <v/>
      </c>
      <c r="L97" s="167" t="str" cm="1">
        <f t="array" ref="L97">IFERROR(SUM(SUMIFS('caseload data'!N:N,'caseload data'!$C:$C,'community %'!$B$92,'caseload data'!$D:$D,"SPO",'caseload data'!$B:$B,{"licence","community"}))/SUM(SUMIFS('caseload data'!N:N,'caseload data'!$B:$B,{"licence","community"},'caseload data'!$C:$C,'community %'!$B$92)),"")</f>
        <v/>
      </c>
      <c r="M97" s="167" t="str" cm="1">
        <f t="array" ref="M97">IFERROR(SUM(SUMIFS('caseload data'!O:O,'caseload data'!$C:$C,'community %'!$B$92,'caseload data'!$D:$D,"SPO",'caseload data'!$B:$B,{"licence","community"}))/SUM(SUMIFS('caseload data'!O:O,'caseload data'!$B:$B,{"licence","community"},'caseload data'!$C:$C,'community %'!$B$92)),"")</f>
        <v/>
      </c>
      <c r="N97" s="167" t="str" cm="1">
        <f t="array" ref="N97">IFERROR(SUM(SUMIFS('caseload data'!P:P,'caseload data'!$C:$C,'community %'!$B$92,'caseload data'!$D:$D,"SPO",'caseload data'!$B:$B,{"licence","community"}))/SUM(SUMIFS('caseload data'!P:P,'caseload data'!$B:$B,{"licence","community"},'caseload data'!$C:$C,'community %'!$B$92)),"")</f>
        <v/>
      </c>
      <c r="O97" s="167" t="str" cm="1">
        <f t="array" ref="O97">IFERROR(SUM(SUMIFS('caseload data'!Q:Q,'caseload data'!$C:$C,'community %'!$B$92,'caseload data'!$D:$D,"SPO",'caseload data'!$B:$B,{"licence","community"}))/SUM(SUMIFS('caseload data'!Q:Q,'caseload data'!$B:$B,{"licence","community"},'caseload data'!$C:$C,'community %'!$B$92)),"")</f>
        <v/>
      </c>
      <c r="P97" s="167" t="str" cm="1">
        <f t="array" ref="P97">IFERROR(SUM(SUMIFS('caseload data'!R:R,'caseload data'!$C:$C,'community %'!$B$92,'caseload data'!$D:$D,"SPO",'caseload data'!$B:$B,{"licence","community"}))/SUM(SUMIFS('caseload data'!R:R,'caseload data'!$B:$B,{"licence","community"},'caseload data'!$C:$C,'community %'!$B$92)),"")</f>
        <v/>
      </c>
      <c r="Q97" s="167" t="str" cm="1">
        <f t="array" ref="Q97">IFERROR(SUM(SUMIFS('caseload data'!S:S,'caseload data'!$C:$C,'community %'!$B$92,'caseload data'!$D:$D,"SPO",'caseload data'!$B:$B,{"licence","community"}))/SUM(SUMIFS('caseload data'!S:S,'caseload data'!$B:$B,{"licence","community"},'caseload data'!$C:$C,'community %'!$B$92)),"")</f>
        <v/>
      </c>
      <c r="R97" s="167" t="str" cm="1">
        <f t="array" ref="R97">IFERROR(SUM(SUMIFS('caseload data'!T:T,'caseload data'!$C:$C,'community %'!$B$92,'caseload data'!$D:$D,"SPO",'caseload data'!$B:$B,{"licence","community"}))/SUM(SUMIFS('caseload data'!T:T,'caseload data'!$B:$B,{"licence","community"},'caseload data'!$C:$C,'community %'!$B$92)),"")</f>
        <v/>
      </c>
      <c r="T97" s="98" t="s">
        <v>1009</v>
      </c>
      <c r="U97" s="167" t="str" cm="1">
        <f t="array" ref="U97">IFERROR(SUM(SUMIFS('caseload data'!E:E,'caseload data'!$C:$C,'community %'!$T$92,'caseload data'!$D:$D,"SPO",'caseload data'!$B:$B,{"licence","community"}))/SUM(SUMIFS('caseload data'!E:E,'caseload data'!$B:$B,{"licence","community"},'caseload data'!$C:$C,'community %'!$T$92)),"")</f>
        <v/>
      </c>
      <c r="V97" s="167" t="str" cm="1">
        <f t="array" ref="V97">IFERROR(SUM(SUMIFS('caseload data'!F:F,'caseload data'!$C:$C,'community %'!$T$92,'caseload data'!$D:$D,"SPO",'caseload data'!$B:$B,{"licence","community"}))/SUM(SUMIFS('caseload data'!F:F,'caseload data'!$B:$B,{"licence","community"},'caseload data'!$C:$C,'community %'!$T$92)),"")</f>
        <v/>
      </c>
      <c r="W97" s="167" t="str" cm="1">
        <f t="array" ref="W97">IFERROR(SUM(SUMIFS('caseload data'!G:G,'caseload data'!$C:$C,'community %'!$T$92,'caseload data'!$D:$D,"SPO",'caseload data'!$B:$B,{"licence","community"}))/SUM(SUMIFS('caseload data'!G:G,'caseload data'!$B:$B,{"licence","community"},'caseload data'!$C:$C,'community %'!$T$92)),"")</f>
        <v/>
      </c>
      <c r="X97" s="167" t="str" cm="1">
        <f t="array" ref="X97">IFERROR(SUM(SUMIFS('caseload data'!H:H,'caseload data'!$C:$C,'community %'!$T$92,'caseload data'!$D:$D,"SPO",'caseload data'!$B:$B,{"licence","community"}))/SUM(SUMIFS('caseload data'!H:H,'caseload data'!$B:$B,{"licence","community"},'caseload data'!$C:$C,'community %'!$T$92)),"")</f>
        <v/>
      </c>
      <c r="Y97" s="167" t="str" cm="1">
        <f t="array" ref="Y97">IFERROR(SUM(SUMIFS('caseload data'!I:I,'caseload data'!$C:$C,'community %'!$T$92,'caseload data'!$D:$D,"SPO",'caseload data'!$B:$B,{"licence","community"}))/SUM(SUMIFS('caseload data'!I:I,'caseload data'!$B:$B,{"licence","community"},'caseload data'!$C:$C,'community %'!$T$92)),"")</f>
        <v/>
      </c>
      <c r="Z97" s="167" t="str" cm="1">
        <f t="array" ref="Z97">IFERROR(SUM(SUMIFS('caseload data'!J:J,'caseload data'!$C:$C,'community %'!$T$92,'caseload data'!$D:$D,"SPO",'caseload data'!$B:$B,{"licence","community"}))/SUM(SUMIFS('caseload data'!J:J,'caseload data'!$B:$B,{"licence","community"},'caseload data'!$C:$C,'community %'!$T$92)),"")</f>
        <v/>
      </c>
      <c r="AA97" s="167" t="str" cm="1">
        <f t="array" ref="AA97">IFERROR(SUM(SUMIFS('caseload data'!K:K,'caseload data'!$C:$C,'community %'!$T$92,'caseload data'!$D:$D,"SPO",'caseload data'!$B:$B,{"licence","community"}))/SUM(SUMIFS('caseload data'!K:K,'caseload data'!$B:$B,{"licence","community"},'caseload data'!$C:$C,'community %'!$T$92)),"")</f>
        <v/>
      </c>
      <c r="AB97" s="167" t="str" cm="1">
        <f t="array" ref="AB97">IFERROR(SUM(SUMIFS('caseload data'!L:L,'caseload data'!$C:$C,'community %'!$T$92,'caseload data'!$D:$D,"SPO",'caseload data'!$B:$B,{"licence","community"}))/SUM(SUMIFS('caseload data'!L:L,'caseload data'!$B:$B,{"licence","community"},'caseload data'!$C:$C,'community %'!$T$92)),"")</f>
        <v/>
      </c>
      <c r="AC97" s="167" t="str" cm="1">
        <f t="array" ref="AC97">IFERROR(SUM(SUMIFS('caseload data'!M:M,'caseload data'!$C:$C,'community %'!$T$92,'caseload data'!$D:$D,"SPO",'caseload data'!$B:$B,{"licence","community"}))/SUM(SUMIFS('caseload data'!M:M,'caseload data'!$B:$B,{"licence","community"},'caseload data'!$C:$C,'community %'!$T$92)),"")</f>
        <v/>
      </c>
      <c r="AD97" s="167" t="str" cm="1">
        <f t="array" ref="AD97">IFERROR(SUM(SUMIFS('caseload data'!N:N,'caseload data'!$C:$C,'community %'!$T$92,'caseload data'!$D:$D,"SPO",'caseload data'!$B:$B,{"licence","community"}))/SUM(SUMIFS('caseload data'!N:N,'caseload data'!$B:$B,{"licence","community"},'caseload data'!$C:$C,'community %'!$T$92)),"")</f>
        <v/>
      </c>
      <c r="AE97" s="167" t="str" cm="1">
        <f t="array" ref="AE97">IFERROR(SUM(SUMIFS('caseload data'!O:O,'caseload data'!$C:$C,'community %'!$T$92,'caseload data'!$D:$D,"SPO",'caseload data'!$B:$B,{"licence","community"}))/SUM(SUMIFS('caseload data'!O:O,'caseload data'!$B:$B,{"licence","community"},'caseload data'!$C:$C,'community %'!$T$92)),"")</f>
        <v/>
      </c>
      <c r="AF97" s="167" t="str" cm="1">
        <f t="array" ref="AF97">IFERROR(SUM(SUMIFS('caseload data'!P:P,'caseload data'!$C:$C,'community %'!$T$92,'caseload data'!$D:$D,"SPO",'caseload data'!$B:$B,{"licence","community"}))/SUM(SUMIFS('caseload data'!P:P,'caseload data'!$B:$B,{"licence","community"},'caseload data'!$C:$C,'community %'!$T$92)),"")</f>
        <v/>
      </c>
      <c r="AG97" s="167" t="str" cm="1">
        <f t="array" ref="AG97">IFERROR(SUM(SUMIFS('caseload data'!Q:Q,'caseload data'!$C:$C,'community %'!$T$92,'caseload data'!$D:$D,"SPO",'caseload data'!$B:$B,{"licence","community"}))/SUM(SUMIFS('caseload data'!Q:Q,'caseload data'!$B:$B,{"licence","community"},'caseload data'!$C:$C,'community %'!$T$92)),"")</f>
        <v/>
      </c>
      <c r="AH97" s="167" t="str" cm="1">
        <f t="array" ref="AH97">IFERROR(SUM(SUMIFS('caseload data'!R:R,'caseload data'!$C:$C,'community %'!$T$92,'caseload data'!$D:$D,"SPO",'caseload data'!$B:$B,{"licence","community"}))/SUM(SUMIFS('caseload data'!R:R,'caseload data'!$B:$B,{"licence","community"},'caseload data'!$C:$C,'community %'!$T$92)),"")</f>
        <v/>
      </c>
      <c r="AI97" s="167" t="str" cm="1">
        <f t="array" ref="AI97">IFERROR(SUM(SUMIFS('caseload data'!S:S,'caseload data'!$C:$C,'community %'!$T$92,'caseload data'!$D:$D,"SPO",'caseload data'!$B:$B,{"licence","community"}))/SUM(SUMIFS('caseload data'!S:S,'caseload data'!$B:$B,{"licence","community"},'caseload data'!$C:$C,'community %'!$T$92)),"")</f>
        <v/>
      </c>
      <c r="AJ97" s="167" t="str" cm="1">
        <f t="array" ref="AJ97">IFERROR(SUM(SUMIFS('caseload data'!T:T,'caseload data'!$C:$C,'community %'!$T$92,'caseload data'!$D:$D,"SPO",'caseload data'!$B:$B,{"licence","community"}))/SUM(SUMIFS('caseload data'!T:T,'caseload data'!$B:$B,{"licence","community"},'caseload data'!$C:$C,'community %'!$T$92)),"")</f>
        <v/>
      </c>
    </row>
    <row r="99" spans="2:36" ht="22.5" customHeight="1" x14ac:dyDescent="0.15">
      <c r="B99" s="289">
        <f>HLOOKUP($B$5,Region_Table,28,0)</f>
        <v>0</v>
      </c>
      <c r="C99" s="507" t="s">
        <v>1139</v>
      </c>
      <c r="D99" s="508"/>
      <c r="E99" s="508"/>
      <c r="F99" s="508"/>
      <c r="G99" s="508"/>
      <c r="H99" s="508"/>
      <c r="I99" s="508"/>
      <c r="J99" s="508"/>
      <c r="K99" s="508"/>
      <c r="L99" s="508"/>
      <c r="M99" s="537"/>
      <c r="N99" s="537"/>
      <c r="O99" s="538"/>
      <c r="P99" s="510" cm="1">
        <f t="array" ref="P99">SUM(SUMIFS('caseload data'!V:V,'caseload data'!B:B,{"licence","community"},'caseload data'!$C:$C,B99))</f>
        <v>0</v>
      </c>
      <c r="Q99" s="527"/>
      <c r="R99" s="528"/>
      <c r="T99" s="289">
        <f>HLOOKUP($B$5,Region_Table,29,0)</f>
        <v>0</v>
      </c>
      <c r="U99" s="507" t="s">
        <v>1139</v>
      </c>
      <c r="V99" s="508"/>
      <c r="W99" s="508"/>
      <c r="X99" s="508"/>
      <c r="Y99" s="508"/>
      <c r="Z99" s="508"/>
      <c r="AA99" s="508"/>
      <c r="AB99" s="508"/>
      <c r="AC99" s="508"/>
      <c r="AD99" s="508"/>
      <c r="AE99" s="537"/>
      <c r="AF99" s="537"/>
      <c r="AG99" s="538"/>
      <c r="AH99" s="510" cm="1">
        <f t="array" ref="AH99">SUM(SUMIFS('caseload data'!V:V,'caseload data'!B:B,{"licence","community"},'caseload data'!$C:$C,T99))</f>
        <v>0</v>
      </c>
      <c r="AI99" s="527"/>
      <c r="AJ99" s="528"/>
    </row>
    <row r="100" spans="2:36" x14ac:dyDescent="0.15">
      <c r="B100" s="95" t="s">
        <v>1005</v>
      </c>
      <c r="C100" s="38" t="s">
        <v>869</v>
      </c>
      <c r="D100" s="38" t="s">
        <v>870</v>
      </c>
      <c r="E100" s="38" t="s">
        <v>871</v>
      </c>
      <c r="F100" s="38" t="s">
        <v>872</v>
      </c>
      <c r="G100" s="38" t="s">
        <v>873</v>
      </c>
      <c r="H100" s="38" t="s">
        <v>874</v>
      </c>
      <c r="I100" s="38" t="s">
        <v>875</v>
      </c>
      <c r="J100" s="38" t="s">
        <v>876</v>
      </c>
      <c r="K100" s="38" t="s">
        <v>877</v>
      </c>
      <c r="L100" s="38" t="s">
        <v>878</v>
      </c>
      <c r="M100" s="38" t="s">
        <v>879</v>
      </c>
      <c r="N100" s="38" t="s">
        <v>880</v>
      </c>
      <c r="O100" s="38" t="s">
        <v>881</v>
      </c>
      <c r="P100" s="38" t="s">
        <v>882</v>
      </c>
      <c r="Q100" s="38" t="s">
        <v>883</v>
      </c>
      <c r="R100" s="38" t="s">
        <v>884</v>
      </c>
      <c r="T100" s="290" t="s">
        <v>1005</v>
      </c>
      <c r="U100" s="38" t="s">
        <v>869</v>
      </c>
      <c r="V100" s="38" t="s">
        <v>870</v>
      </c>
      <c r="W100" s="38" t="s">
        <v>871</v>
      </c>
      <c r="X100" s="38" t="s">
        <v>872</v>
      </c>
      <c r="Y100" s="38" t="s">
        <v>873</v>
      </c>
      <c r="Z100" s="38" t="s">
        <v>874</v>
      </c>
      <c r="AA100" s="38" t="s">
        <v>875</v>
      </c>
      <c r="AB100" s="38" t="s">
        <v>876</v>
      </c>
      <c r="AC100" s="38" t="s">
        <v>877</v>
      </c>
      <c r="AD100" s="38" t="s">
        <v>878</v>
      </c>
      <c r="AE100" s="38" t="s">
        <v>879</v>
      </c>
      <c r="AF100" s="38" t="s">
        <v>880</v>
      </c>
      <c r="AG100" s="38" t="s">
        <v>881</v>
      </c>
      <c r="AH100" s="38" t="s">
        <v>882</v>
      </c>
      <c r="AI100" s="38" t="s">
        <v>883</v>
      </c>
      <c r="AJ100" s="38" t="s">
        <v>884</v>
      </c>
    </row>
    <row r="101" spans="2:36" x14ac:dyDescent="0.15">
      <c r="B101" s="96" t="s">
        <v>1002</v>
      </c>
      <c r="C101" s="167" t="str" cm="1">
        <f t="array" ref="C101">IFERROR(SUM(SUMIFS('caseload data'!E:E,'caseload data'!$C:$C,'community %'!$B$99,'caseload data'!$D:$D,"PO",'caseload data'!$B:$B,{"licence","community"}))/SUM(SUMIFS('caseload data'!E:E,'caseload data'!$B:$B,{"licence","community"},'caseload data'!$C:$C,'community %'!$B$99)),"")</f>
        <v/>
      </c>
      <c r="D101" s="167" t="str" cm="1">
        <f t="array" ref="D101">IFERROR(SUM(SUMIFS('caseload data'!F:F,'caseload data'!$C:$C,'community %'!$B$99,'caseload data'!$D:$D,"PO",'caseload data'!$B:$B,{"licence","community"}))/SUM(SUMIFS('caseload data'!F:F,'caseload data'!$B:$B,{"licence","community"},'caseload data'!$C:$C,'community %'!$B$99)),"")</f>
        <v/>
      </c>
      <c r="E101" s="167" t="str" cm="1">
        <f t="array" ref="E101">IFERROR(SUM(SUMIFS('caseload data'!G:G,'caseload data'!$C:$C,'community %'!$B$99,'caseload data'!$D:$D,"PO",'caseload data'!$B:$B,{"licence","community"}))/SUM(SUMIFS('caseload data'!G:G,'caseload data'!$B:$B,{"licence","community"},'caseload data'!$C:$C,'community %'!$B$99)),"")</f>
        <v/>
      </c>
      <c r="F101" s="167" t="str" cm="1">
        <f t="array" ref="F101">IFERROR(SUM(SUMIFS('caseload data'!H:H,'caseload data'!$C:$C,'community %'!$B$99,'caseload data'!$D:$D,"PO",'caseload data'!$B:$B,{"licence","community"}))/SUM(SUMIFS('caseload data'!H:H,'caseload data'!$B:$B,{"licence","community"},'caseload data'!$C:$C,'community %'!$B$99)),"")</f>
        <v/>
      </c>
      <c r="G101" s="167" t="str" cm="1">
        <f t="array" ref="G101">IFERROR(SUM(SUMIFS('caseload data'!I:I,'caseload data'!$C:$C,'community %'!$B$99,'caseload data'!$D:$D,"PO",'caseload data'!$B:$B,{"licence","community"}))/SUM(SUMIFS('caseload data'!I:I,'caseload data'!$B:$B,{"licence","community"},'caseload data'!$C:$C,'community %'!$B$99)),"")</f>
        <v/>
      </c>
      <c r="H101" s="167" t="str" cm="1">
        <f t="array" ref="H101">IFERROR(SUM(SUMIFS('caseload data'!J:J,'caseload data'!$C:$C,'community %'!$B$99,'caseload data'!$D:$D,"PO",'caseload data'!$B:$B,{"licence","community"}))/SUM(SUMIFS('caseload data'!J:J,'caseload data'!$B:$B,{"licence","community"},'caseload data'!$C:$C,'community %'!$B$99)),"")</f>
        <v/>
      </c>
      <c r="I101" s="167" t="str" cm="1">
        <f t="array" ref="I101">IFERROR(SUM(SUMIFS('caseload data'!K:K,'caseload data'!$C:$C,'community %'!$B$99,'caseload data'!$D:$D,"PO",'caseload data'!$B:$B,{"licence","community"}))/SUM(SUMIFS('caseload data'!K:K,'caseload data'!$B:$B,{"licence","community"},'caseload data'!$C:$C,'community %'!$B$99)),"")</f>
        <v/>
      </c>
      <c r="J101" s="167" t="str" cm="1">
        <f t="array" ref="J101">IFERROR(SUM(SUMIFS('caseload data'!L:L,'caseload data'!$C:$C,'community %'!$B$99,'caseload data'!$D:$D,"PO",'caseload data'!$B:$B,{"licence","community"}))/SUM(SUMIFS('caseload data'!L:L,'caseload data'!$B:$B,{"licence","community"},'caseload data'!$C:$C,'community %'!$B$99)),"")</f>
        <v/>
      </c>
      <c r="K101" s="167" t="str" cm="1">
        <f t="array" ref="K101">IFERROR(SUM(SUMIFS('caseload data'!M:M,'caseload data'!$C:$C,'community %'!$B$99,'caseload data'!$D:$D,"PO",'caseload data'!$B:$B,{"licence","community"}))/SUM(SUMIFS('caseload data'!M:M,'caseload data'!$B:$B,{"licence","community"},'caseload data'!$C:$C,'community %'!$B$99)),"")</f>
        <v/>
      </c>
      <c r="L101" s="167" t="str" cm="1">
        <f t="array" ref="L101">IFERROR(SUM(SUMIFS('caseload data'!N:N,'caseload data'!$C:$C,'community %'!$B$99,'caseload data'!$D:$D,"PO",'caseload data'!$B:$B,{"licence","community"}))/SUM(SUMIFS('caseload data'!N:N,'caseload data'!$B:$B,{"licence","community"},'caseload data'!$C:$C,'community %'!$B$99)),"")</f>
        <v/>
      </c>
      <c r="M101" s="167" t="str" cm="1">
        <f t="array" ref="M101">IFERROR(SUM(SUMIFS('caseload data'!O:O,'caseload data'!$C:$C,'community %'!$B$99,'caseload data'!$D:$D,"PO",'caseload data'!$B:$B,{"licence","community"}))/SUM(SUMIFS('caseload data'!O:O,'caseload data'!$B:$B,{"licence","community"},'caseload data'!$C:$C,'community %'!$B$99)),"")</f>
        <v/>
      </c>
      <c r="N101" s="167" t="str" cm="1">
        <f t="array" ref="N101">IFERROR(SUM(SUMIFS('caseload data'!P:P,'caseload data'!$C:$C,'community %'!$B$99,'caseload data'!$D:$D,"PO",'caseload data'!$B:$B,{"licence","community"}))/SUM(SUMIFS('caseload data'!P:P,'caseload data'!$B:$B,{"licence","community"},'caseload data'!$C:$C,'community %'!$B$99)),"")</f>
        <v/>
      </c>
      <c r="O101" s="167" t="str" cm="1">
        <f t="array" ref="O101">IFERROR(SUM(SUMIFS('caseload data'!Q:Q,'caseload data'!$C:$C,'community %'!$B$99,'caseload data'!$D:$D,"PO",'caseload data'!$B:$B,{"licence","community"}))/SUM(SUMIFS('caseload data'!Q:Q,'caseload data'!$B:$B,{"licence","community"},'caseload data'!$C:$C,'community %'!$B$99)),"")</f>
        <v/>
      </c>
      <c r="P101" s="167" t="str" cm="1">
        <f t="array" ref="P101">IFERROR(SUM(SUMIFS('caseload data'!R:R,'caseload data'!$C:$C,'community %'!$B$99,'caseload data'!$D:$D,"PO",'caseload data'!$B:$B,{"licence","community"}))/SUM(SUMIFS('caseload data'!R:R,'caseload data'!$B:$B,{"licence","community"},'caseload data'!$C:$C,'community %'!$B$99)),"")</f>
        <v/>
      </c>
      <c r="Q101" s="167" t="str" cm="1">
        <f t="array" ref="Q101">IFERROR(SUM(SUMIFS('caseload data'!S:S,'caseload data'!$C:$C,'community %'!$B$99,'caseload data'!$D:$D,"PO",'caseload data'!$B:$B,{"licence","community"}))/SUM(SUMIFS('caseload data'!S:S,'caseload data'!$B:$B,{"licence","community"},'caseload data'!$C:$C,'community %'!$B$99)),"")</f>
        <v/>
      </c>
      <c r="R101" s="167" t="str" cm="1">
        <f t="array" ref="R101">IFERROR(SUM(SUMIFS('caseload data'!T:T,'caseload data'!$C:$C,'community %'!$B$99,'caseload data'!$D:$D,"PO",'caseload data'!$B:$B,{"licence","community"}))/SUM(SUMIFS('caseload data'!T:T,'caseload data'!$B:$B,{"licence","community"},'caseload data'!$C:$C,'community %'!$B$99)),"")</f>
        <v/>
      </c>
      <c r="T101" s="96" t="s">
        <v>1002</v>
      </c>
      <c r="U101" s="167" t="str" cm="1">
        <f t="array" ref="U101">IFERROR(SUM(SUMIFS('caseload data'!E:E,'caseload data'!$C:$C,'community %'!$T$99,'caseload data'!$D:$D,"PO",'caseload data'!$B:$B,{"licence","community"}))/SUM(SUMIFS('caseload data'!E:E,'caseload data'!$B:$B,{"licence","community"},'caseload data'!$C:$C,'community %'!$T$99)),"")</f>
        <v/>
      </c>
      <c r="V101" s="167" t="str" cm="1">
        <f t="array" ref="V101">IFERROR(SUM(SUMIFS('caseload data'!F:F,'caseload data'!$C:$C,'community %'!$T$99,'caseload data'!$D:$D,"PO",'caseload data'!$B:$B,{"licence","community"}))/SUM(SUMIFS('caseload data'!F:F,'caseload data'!$B:$B,{"licence","community"},'caseload data'!$C:$C,'community %'!$T$99)),"")</f>
        <v/>
      </c>
      <c r="W101" s="167" t="str" cm="1">
        <f t="array" ref="W101">IFERROR(SUM(SUMIFS('caseload data'!G:G,'caseload data'!$C:$C,'community %'!$T$99,'caseload data'!$D:$D,"PO",'caseload data'!$B:$B,{"licence","community"}))/SUM(SUMIFS('caseload data'!G:G,'caseload data'!$B:$B,{"licence","community"},'caseload data'!$C:$C,'community %'!$T$99)),"")</f>
        <v/>
      </c>
      <c r="X101" s="167" t="str" cm="1">
        <f t="array" ref="X101">IFERROR(SUM(SUMIFS('caseload data'!H:H,'caseload data'!$C:$C,'community %'!$T$99,'caseload data'!$D:$D,"PO",'caseload data'!$B:$B,{"licence","community"}))/SUM(SUMIFS('caseload data'!H:H,'caseload data'!$B:$B,{"licence","community"},'caseload data'!$C:$C,'community %'!$T$99)),"")</f>
        <v/>
      </c>
      <c r="Y101" s="167" t="str" cm="1">
        <f t="array" ref="Y101">IFERROR(SUM(SUMIFS('caseload data'!I:I,'caseload data'!$C:$C,'community %'!$T$99,'caseload data'!$D:$D,"PO",'caseload data'!$B:$B,{"licence","community"}))/SUM(SUMIFS('caseload data'!I:I,'caseload data'!$B:$B,{"licence","community"},'caseload data'!$C:$C,'community %'!$T$99)),"")</f>
        <v/>
      </c>
      <c r="Z101" s="167" t="str" cm="1">
        <f t="array" ref="Z101">IFERROR(SUM(SUMIFS('caseload data'!J:J,'caseload data'!$C:$C,'community %'!$T$99,'caseload data'!$D:$D,"PO",'caseload data'!$B:$B,{"licence","community"}))/SUM(SUMIFS('caseload data'!J:J,'caseload data'!$B:$B,{"licence","community"},'caseload data'!$C:$C,'community %'!$T$99)),"")</f>
        <v/>
      </c>
      <c r="AA101" s="167" t="str" cm="1">
        <f t="array" ref="AA101">IFERROR(SUM(SUMIFS('caseload data'!K:K,'caseload data'!$C:$C,'community %'!$T$99,'caseload data'!$D:$D,"PO",'caseload data'!$B:$B,{"licence","community"}))/SUM(SUMIFS('caseload data'!K:K,'caseload data'!$B:$B,{"licence","community"},'caseload data'!$C:$C,'community %'!$T$99)),"")</f>
        <v/>
      </c>
      <c r="AB101" s="167" t="str" cm="1">
        <f t="array" ref="AB101">IFERROR(SUM(SUMIFS('caseload data'!L:L,'caseload data'!$C:$C,'community %'!$T$99,'caseload data'!$D:$D,"PO",'caseload data'!$B:$B,{"licence","community"}))/SUM(SUMIFS('caseload data'!L:L,'caseload data'!$B:$B,{"licence","community"},'caseload data'!$C:$C,'community %'!$T$99)),"")</f>
        <v/>
      </c>
      <c r="AC101" s="167" t="str" cm="1">
        <f t="array" ref="AC101">IFERROR(SUM(SUMIFS('caseload data'!M:M,'caseload data'!$C:$C,'community %'!$T$99,'caseload data'!$D:$D,"PO",'caseload data'!$B:$B,{"licence","community"}))/SUM(SUMIFS('caseload data'!M:M,'caseload data'!$B:$B,{"licence","community"},'caseload data'!$C:$C,'community %'!$T$99)),"")</f>
        <v/>
      </c>
      <c r="AD101" s="167" t="str" cm="1">
        <f t="array" ref="AD101">IFERROR(SUM(SUMIFS('caseload data'!N:N,'caseload data'!$C:$C,'community %'!$T$99,'caseload data'!$D:$D,"PO",'caseload data'!$B:$B,{"licence","community"}))/SUM(SUMIFS('caseload data'!N:N,'caseload data'!$B:$B,{"licence","community"},'caseload data'!$C:$C,'community %'!$T$99)),"")</f>
        <v/>
      </c>
      <c r="AE101" s="167" t="str" cm="1">
        <f t="array" ref="AE101">IFERROR(SUM(SUMIFS('caseload data'!O:O,'caseload data'!$C:$C,'community %'!$T$99,'caseload data'!$D:$D,"PO",'caseload data'!$B:$B,{"licence","community"}))/SUM(SUMIFS('caseload data'!O:O,'caseload data'!$B:$B,{"licence","community"},'caseload data'!$C:$C,'community %'!$T$99)),"")</f>
        <v/>
      </c>
      <c r="AF101" s="167" t="str" cm="1">
        <f t="array" ref="AF101">IFERROR(SUM(SUMIFS('caseload data'!P:P,'caseload data'!$C:$C,'community %'!$T$99,'caseload data'!$D:$D,"PO",'caseload data'!$B:$B,{"licence","community"}))/SUM(SUMIFS('caseload data'!P:P,'caseload data'!$B:$B,{"licence","community"},'caseload data'!$C:$C,'community %'!$T$99)),"")</f>
        <v/>
      </c>
      <c r="AG101" s="167" t="str" cm="1">
        <f t="array" ref="AG101">IFERROR(SUM(SUMIFS('caseload data'!Q:Q,'caseload data'!$C:$C,'community %'!$T$99,'caseload data'!$D:$D,"PO",'caseload data'!$B:$B,{"licence","community"}))/SUM(SUMIFS('caseload data'!Q:Q,'caseload data'!$B:$B,{"licence","community"},'caseload data'!$C:$C,'community %'!$T$99)),"")</f>
        <v/>
      </c>
      <c r="AH101" s="167" t="str" cm="1">
        <f t="array" ref="AH101">IFERROR(SUM(SUMIFS('caseload data'!R:R,'caseload data'!$C:$C,'community %'!$T$99,'caseload data'!$D:$D,"PO",'caseload data'!$B:$B,{"licence","community"}))/SUM(SUMIFS('caseload data'!R:R,'caseload data'!$B:$B,{"licence","community"},'caseload data'!$C:$C,'community %'!$T$99)),"")</f>
        <v/>
      </c>
      <c r="AI101" s="167" t="str" cm="1">
        <f t="array" ref="AI101">IFERROR(SUM(SUMIFS('caseload data'!S:S,'caseload data'!$C:$C,'community %'!$T$99,'caseload data'!$D:$D,"PO",'caseload data'!$B:$B,{"licence","community"}))/SUM(SUMIFS('caseload data'!S:S,'caseload data'!$B:$B,{"licence","community"},'caseload data'!$C:$C,'community %'!$T$99)),"")</f>
        <v/>
      </c>
      <c r="AJ101" s="167" t="str" cm="1">
        <f t="array" ref="AJ101">IFERROR(SUM(SUMIFS('caseload data'!T:T,'caseload data'!$C:$C,'community %'!$T$99,'caseload data'!$D:$D,"PO",'caseload data'!$B:$B,{"licence","community"}))/SUM(SUMIFS('caseload data'!T:T,'caseload data'!$B:$B,{"licence","community"},'caseload data'!$C:$C,'community %'!$T$99)),"")</f>
        <v/>
      </c>
    </row>
    <row r="102" spans="2:36" x14ac:dyDescent="0.15">
      <c r="B102" s="97" t="s">
        <v>1007</v>
      </c>
      <c r="C102" s="167" t="str" cm="1">
        <f t="array" ref="C102">IFERROR(SUM(SUMIFS('caseload data'!E:E,'caseload data'!$C:$C,'community %'!$B$99,'caseload data'!$D:$D,"PSO",'caseload data'!$B:$B,{"licence","community"}))/SUM(SUMIFS('caseload data'!E:E,'caseload data'!$B:$B,{"licence","community"},'caseload data'!$C:$C,'community %'!$B$99)),"")</f>
        <v/>
      </c>
      <c r="D102" s="167" t="str" cm="1">
        <f t="array" ref="D102">IFERROR(SUM(SUMIFS('caseload data'!F:F,'caseload data'!$C:$C,'community %'!$B$99,'caseload data'!$D:$D,"PSO",'caseload data'!$B:$B,{"licence","community"}))/SUM(SUMIFS('caseload data'!F:F,'caseload data'!$B:$B,{"licence","community"},'caseload data'!$C:$C,'community %'!$B$99)),"")</f>
        <v/>
      </c>
      <c r="E102" s="167" t="str" cm="1">
        <f t="array" ref="E102">IFERROR(SUM(SUMIFS('caseload data'!G:G,'caseload data'!$C:$C,'community %'!$B$99,'caseload data'!$D:$D,"PSO",'caseload data'!$B:$B,{"licence","community"}))/SUM(SUMIFS('caseload data'!G:G,'caseload data'!$B:$B,{"licence","community"},'caseload data'!$C:$C,'community %'!$B$99)),"")</f>
        <v/>
      </c>
      <c r="F102" s="167" t="str" cm="1">
        <f t="array" ref="F102">IFERROR(SUM(SUMIFS('caseload data'!H:H,'caseload data'!$C:$C,'community %'!$B$99,'caseload data'!$D:$D,"PSO",'caseload data'!$B:$B,{"licence","community"}))/SUM(SUMIFS('caseload data'!H:H,'caseload data'!$B:$B,{"licence","community"},'caseload data'!$C:$C,'community %'!$B$99)),"")</f>
        <v/>
      </c>
      <c r="G102" s="167" t="str" cm="1">
        <f t="array" ref="G102">IFERROR(SUM(SUMIFS('caseload data'!I:I,'caseload data'!$C:$C,'community %'!$B$99,'caseload data'!$D:$D,"PSO",'caseload data'!$B:$B,{"licence","community"}))/SUM(SUMIFS('caseload data'!I:I,'caseload data'!$B:$B,{"licence","community"},'caseload data'!$C:$C,'community %'!$B$99)),"")</f>
        <v/>
      </c>
      <c r="H102" s="167" t="str" cm="1">
        <f t="array" ref="H102">IFERROR(SUM(SUMIFS('caseload data'!J:J,'caseload data'!$C:$C,'community %'!$B$99,'caseload data'!$D:$D,"PSO",'caseload data'!$B:$B,{"licence","community"}))/SUM(SUMIFS('caseload data'!J:J,'caseload data'!$B:$B,{"licence","community"},'caseload data'!$C:$C,'community %'!$B$99)),"")</f>
        <v/>
      </c>
      <c r="I102" s="167" t="str" cm="1">
        <f t="array" ref="I102">IFERROR(SUM(SUMIFS('caseload data'!K:K,'caseload data'!$C:$C,'community %'!$B$99,'caseload data'!$D:$D,"PSO",'caseload data'!$B:$B,{"licence","community"}))/SUM(SUMIFS('caseload data'!K:K,'caseload data'!$B:$B,{"licence","community"},'caseload data'!$C:$C,'community %'!$B$99)),"")</f>
        <v/>
      </c>
      <c r="J102" s="167" t="str" cm="1">
        <f t="array" ref="J102">IFERROR(SUM(SUMIFS('caseload data'!L:L,'caseload data'!$C:$C,'community %'!$B$99,'caseload data'!$D:$D,"PSO",'caseload data'!$B:$B,{"licence","community"}))/SUM(SUMIFS('caseload data'!L:L,'caseload data'!$B:$B,{"licence","community"},'caseload data'!$C:$C,'community %'!$B$99)),"")</f>
        <v/>
      </c>
      <c r="K102" s="167" t="str" cm="1">
        <f t="array" ref="K102">IFERROR(SUM(SUMIFS('caseload data'!M:M,'caseload data'!$C:$C,'community %'!$B$99,'caseload data'!$D:$D,"PSO",'caseload data'!$B:$B,{"licence","community"}))/SUM(SUMIFS('caseload data'!M:M,'caseload data'!$B:$B,{"licence","community"},'caseload data'!$C:$C,'community %'!$B$99)),"")</f>
        <v/>
      </c>
      <c r="L102" s="167" t="str" cm="1">
        <f t="array" ref="L102">IFERROR(SUM(SUMIFS('caseload data'!N:N,'caseload data'!$C:$C,'community %'!$B$99,'caseload data'!$D:$D,"PSO",'caseload data'!$B:$B,{"licence","community"}))/SUM(SUMIFS('caseload data'!N:N,'caseload data'!$B:$B,{"licence","community"},'caseload data'!$C:$C,'community %'!$B$99)),"")</f>
        <v/>
      </c>
      <c r="M102" s="167" t="str" cm="1">
        <f t="array" ref="M102">IFERROR(SUM(SUMIFS('caseload data'!O:O,'caseload data'!$C:$C,'community %'!$B$99,'caseload data'!$D:$D,"PSO",'caseload data'!$B:$B,{"licence","community"}))/SUM(SUMIFS('caseload data'!O:O,'caseload data'!$B:$B,{"licence","community"},'caseload data'!$C:$C,'community %'!$B$99)),"")</f>
        <v/>
      </c>
      <c r="N102" s="167" t="str" cm="1">
        <f t="array" ref="N102">IFERROR(SUM(SUMIFS('caseload data'!P:P,'caseload data'!$C:$C,'community %'!$B$99,'caseload data'!$D:$D,"PSO",'caseload data'!$B:$B,{"licence","community"}))/SUM(SUMIFS('caseload data'!P:P,'caseload data'!$B:$B,{"licence","community"},'caseload data'!$C:$C,'community %'!$B$99)),"")</f>
        <v/>
      </c>
      <c r="O102" s="167" t="str" cm="1">
        <f t="array" ref="O102">IFERROR(SUM(SUMIFS('caseload data'!Q:Q,'caseload data'!$C:$C,'community %'!$B$99,'caseload data'!$D:$D,"PSO",'caseload data'!$B:$B,{"licence","community"}))/SUM(SUMIFS('caseload data'!Q:Q,'caseload data'!$B:$B,{"licence","community"},'caseload data'!$C:$C,'community %'!$B$99)),"")</f>
        <v/>
      </c>
      <c r="P102" s="167" t="str" cm="1">
        <f t="array" ref="P102">IFERROR(SUM(SUMIFS('caseload data'!R:R,'caseload data'!$C:$C,'community %'!$B$99,'caseload data'!$D:$D,"PSO",'caseload data'!$B:$B,{"licence","community"}))/SUM(SUMIFS('caseload data'!R:R,'caseload data'!$B:$B,{"licence","community"},'caseload data'!$C:$C,'community %'!$B$99)),"")</f>
        <v/>
      </c>
      <c r="Q102" s="167" t="str" cm="1">
        <f t="array" ref="Q102">IFERROR(SUM(SUMIFS('caseload data'!S:S,'caseload data'!$C:$C,'community %'!$B$99,'caseload data'!$D:$D,"PSO",'caseload data'!$B:$B,{"licence","community"}))/SUM(SUMIFS('caseload data'!S:S,'caseload data'!$B:$B,{"licence","community"},'caseload data'!$C:$C,'community %'!$B$99)),"")</f>
        <v/>
      </c>
      <c r="R102" s="167" t="str" cm="1">
        <f t="array" ref="R102">IFERROR(SUM(SUMIFS('caseload data'!T:T,'caseload data'!$C:$C,'community %'!$B$99,'caseload data'!$D:$D,"PSO",'caseload data'!$B:$B,{"licence","community"}))/SUM(SUMIFS('caseload data'!T:T,'caseload data'!$B:$B,{"licence","community"},'caseload data'!$C:$C,'community %'!$B$99)),"")</f>
        <v/>
      </c>
      <c r="T102" s="97" t="s">
        <v>1007</v>
      </c>
      <c r="U102" s="167" t="str" cm="1">
        <f t="array" ref="U102">IFERROR(SUM(SUMIFS('caseload data'!E:E,'caseload data'!$C:$C,'community %'!$T$99,'caseload data'!$D:$D,"PSO",'caseload data'!$B:$B,{"licence","community"}))/SUM(SUMIFS('caseload data'!E:E,'caseload data'!$B:$B,{"licence","community"},'caseload data'!$C:$C,'community %'!$T$99)),"")</f>
        <v/>
      </c>
      <c r="V102" s="167" t="str" cm="1">
        <f t="array" ref="V102">IFERROR(SUM(SUMIFS('caseload data'!F:F,'caseload data'!$C:$C,'community %'!$T$99,'caseload data'!$D:$D,"PSO",'caseload data'!$B:$B,{"licence","community"}))/SUM(SUMIFS('caseload data'!F:F,'caseload data'!$B:$B,{"licence","community"},'caseload data'!$C:$C,'community %'!$T$99)),"")</f>
        <v/>
      </c>
      <c r="W102" s="167" t="str" cm="1">
        <f t="array" ref="W102">IFERROR(SUM(SUMIFS('caseload data'!G:G,'caseload data'!$C:$C,'community %'!$T$99,'caseload data'!$D:$D,"PSO",'caseload data'!$B:$B,{"licence","community"}))/SUM(SUMIFS('caseload data'!G:G,'caseload data'!$B:$B,{"licence","community"},'caseload data'!$C:$C,'community %'!$T$99)),"")</f>
        <v/>
      </c>
      <c r="X102" s="167" t="str" cm="1">
        <f t="array" ref="X102">IFERROR(SUM(SUMIFS('caseload data'!H:H,'caseload data'!$C:$C,'community %'!$T$99,'caseload data'!$D:$D,"PSO",'caseload data'!$B:$B,{"licence","community"}))/SUM(SUMIFS('caseload data'!H:H,'caseload data'!$B:$B,{"licence","community"},'caseload data'!$C:$C,'community %'!$T$99)),"")</f>
        <v/>
      </c>
      <c r="Y102" s="167" t="str" cm="1">
        <f t="array" ref="Y102">IFERROR(SUM(SUMIFS('caseload data'!I:I,'caseload data'!$C:$C,'community %'!$T$99,'caseload data'!$D:$D,"PSO",'caseload data'!$B:$B,{"licence","community"}))/SUM(SUMIFS('caseload data'!I:I,'caseload data'!$B:$B,{"licence","community"},'caseload data'!$C:$C,'community %'!$T$99)),"")</f>
        <v/>
      </c>
      <c r="Z102" s="167" t="str" cm="1">
        <f t="array" ref="Z102">IFERROR(SUM(SUMIFS('caseload data'!J:J,'caseload data'!$C:$C,'community %'!$T$99,'caseload data'!$D:$D,"PSO",'caseload data'!$B:$B,{"licence","community"}))/SUM(SUMIFS('caseload data'!J:J,'caseload data'!$B:$B,{"licence","community"},'caseload data'!$C:$C,'community %'!$T$99)),"")</f>
        <v/>
      </c>
      <c r="AA102" s="167" t="str" cm="1">
        <f t="array" ref="AA102">IFERROR(SUM(SUMIFS('caseload data'!K:K,'caseload data'!$C:$C,'community %'!$T$99,'caseload data'!$D:$D,"PSO",'caseload data'!$B:$B,{"licence","community"}))/SUM(SUMIFS('caseload data'!K:K,'caseload data'!$B:$B,{"licence","community"},'caseload data'!$C:$C,'community %'!$T$99)),"")</f>
        <v/>
      </c>
      <c r="AB102" s="167" t="str" cm="1">
        <f t="array" ref="AB102">IFERROR(SUM(SUMIFS('caseload data'!L:L,'caseload data'!$C:$C,'community %'!$T$99,'caseload data'!$D:$D,"PSO",'caseload data'!$B:$B,{"licence","community"}))/SUM(SUMIFS('caseload data'!L:L,'caseload data'!$B:$B,{"licence","community"},'caseload data'!$C:$C,'community %'!$T$99)),"")</f>
        <v/>
      </c>
      <c r="AC102" s="167" t="str" cm="1">
        <f t="array" ref="AC102">IFERROR(SUM(SUMIFS('caseload data'!M:M,'caseload data'!$C:$C,'community %'!$T$99,'caseload data'!$D:$D,"PSO",'caseload data'!$B:$B,{"licence","community"}))/SUM(SUMIFS('caseload data'!M:M,'caseload data'!$B:$B,{"licence","community"},'caseload data'!$C:$C,'community %'!$T$99)),"")</f>
        <v/>
      </c>
      <c r="AD102" s="167" t="str" cm="1">
        <f t="array" ref="AD102">IFERROR(SUM(SUMIFS('caseload data'!N:N,'caseload data'!$C:$C,'community %'!$T$99,'caseload data'!$D:$D,"PSO",'caseload data'!$B:$B,{"licence","community"}))/SUM(SUMIFS('caseload data'!N:N,'caseload data'!$B:$B,{"licence","community"},'caseload data'!$C:$C,'community %'!$T$99)),"")</f>
        <v/>
      </c>
      <c r="AE102" s="167" t="str" cm="1">
        <f t="array" ref="AE102">IFERROR(SUM(SUMIFS('caseload data'!O:O,'caseload data'!$C:$C,'community %'!$T$99,'caseload data'!$D:$D,"PSO",'caseload data'!$B:$B,{"licence","community"}))/SUM(SUMIFS('caseload data'!O:O,'caseload data'!$B:$B,{"licence","community"},'caseload data'!$C:$C,'community %'!$T$99)),"")</f>
        <v/>
      </c>
      <c r="AF102" s="167" t="str" cm="1">
        <f t="array" ref="AF102">IFERROR(SUM(SUMIFS('caseload data'!P:P,'caseload data'!$C:$C,'community %'!$T$99,'caseload data'!$D:$D,"PSO",'caseload data'!$B:$B,{"licence","community"}))/SUM(SUMIFS('caseload data'!P:P,'caseload data'!$B:$B,{"licence","community"},'caseload data'!$C:$C,'community %'!$T$99)),"")</f>
        <v/>
      </c>
      <c r="AG102" s="167" t="str" cm="1">
        <f t="array" ref="AG102">IFERROR(SUM(SUMIFS('caseload data'!Q:Q,'caseload data'!$C:$C,'community %'!$T$99,'caseload data'!$D:$D,"PSO",'caseload data'!$B:$B,{"licence","community"}))/SUM(SUMIFS('caseload data'!Q:Q,'caseload data'!$B:$B,{"licence","community"},'caseload data'!$C:$C,'community %'!$T$99)),"")</f>
        <v/>
      </c>
      <c r="AH102" s="167" t="str" cm="1">
        <f t="array" ref="AH102">IFERROR(SUM(SUMIFS('caseload data'!R:R,'caseload data'!$C:$C,'community %'!$T$99,'caseload data'!$D:$D,"PSO",'caseload data'!$B:$B,{"licence","community"}))/SUM(SUMIFS('caseload data'!R:R,'caseload data'!$B:$B,{"licence","community"},'caseload data'!$C:$C,'community %'!$T$99)),"")</f>
        <v/>
      </c>
      <c r="AI102" s="167" t="str" cm="1">
        <f t="array" ref="AI102">IFERROR(SUM(SUMIFS('caseload data'!S:S,'caseload data'!$C:$C,'community %'!$T$99,'caseload data'!$D:$D,"PSO",'caseload data'!$B:$B,{"licence","community"}))/SUM(SUMIFS('caseload data'!S:S,'caseload data'!$B:$B,{"licence","community"},'caseload data'!$C:$C,'community %'!$T$99)),"")</f>
        <v/>
      </c>
      <c r="AJ102" s="167" t="str" cm="1">
        <f t="array" ref="AJ102">IFERROR(SUM(SUMIFS('caseload data'!T:T,'caseload data'!$C:$C,'community %'!$T$99,'caseload data'!$D:$D,"PSO",'caseload data'!$B:$B,{"licence","community"}))/SUM(SUMIFS('caseload data'!T:T,'caseload data'!$B:$B,{"licence","community"},'caseload data'!$C:$C,'community %'!$T$99)),"")</f>
        <v/>
      </c>
    </row>
    <row r="103" spans="2:36" x14ac:dyDescent="0.15">
      <c r="B103" s="97" t="s">
        <v>1008</v>
      </c>
      <c r="C103" s="167" t="str" cm="1">
        <f t="array" ref="C103">IFERROR(SUM(SUMIFS('caseload data'!E:E,'caseload data'!$C:$C,'community %'!$B$99,'caseload data'!$D:$D,"TPO",'caseload data'!$B:$B,{"licence","community"}))/SUM(SUMIFS('caseload data'!E:E,'caseload data'!$B:$B,{"licence","community"},'caseload data'!$C:$C,'community %'!$B$99)),"")</f>
        <v/>
      </c>
      <c r="D103" s="167" t="str" cm="1">
        <f t="array" ref="D103">IFERROR(SUM(SUMIFS('caseload data'!F:F,'caseload data'!$C:$C,'community %'!$B$99,'caseload data'!$D:$D,"TPO",'caseload data'!$B:$B,{"licence","community"}))/SUM(SUMIFS('caseload data'!F:F,'caseload data'!$B:$B,{"licence","community"},'caseload data'!$C:$C,'community %'!$B$99)),"")</f>
        <v/>
      </c>
      <c r="E103" s="167" t="str" cm="1">
        <f t="array" ref="E103">IFERROR(SUM(SUMIFS('caseload data'!G:G,'caseload data'!$C:$C,'community %'!$B$99,'caseload data'!$D:$D,"TPO",'caseload data'!$B:$B,{"licence","community"}))/SUM(SUMIFS('caseload data'!G:G,'caseload data'!$B:$B,{"licence","community"},'caseload data'!$C:$C,'community %'!$B$99)),"")</f>
        <v/>
      </c>
      <c r="F103" s="167" t="str" cm="1">
        <f t="array" ref="F103">IFERROR(SUM(SUMIFS('caseload data'!H:H,'caseload data'!$C:$C,'community %'!$B$99,'caseload data'!$D:$D,"TPO",'caseload data'!$B:$B,{"licence","community"}))/SUM(SUMIFS('caseload data'!H:H,'caseload data'!$B:$B,{"licence","community"},'caseload data'!$C:$C,'community %'!$B$99)),"")</f>
        <v/>
      </c>
      <c r="G103" s="167" t="str" cm="1">
        <f t="array" ref="G103">IFERROR(SUM(SUMIFS('caseload data'!I:I,'caseload data'!$C:$C,'community %'!$B$99,'caseload data'!$D:$D,"TPO",'caseload data'!$B:$B,{"licence","community"}))/SUM(SUMIFS('caseload data'!I:I,'caseload data'!$B:$B,{"licence","community"},'caseload data'!$C:$C,'community %'!$B$99)),"")</f>
        <v/>
      </c>
      <c r="H103" s="167" t="str" cm="1">
        <f t="array" ref="H103">IFERROR(SUM(SUMIFS('caseload data'!J:J,'caseload data'!$C:$C,'community %'!$B$99,'caseload data'!$D:$D,"TPO",'caseload data'!$B:$B,{"licence","community"}))/SUM(SUMIFS('caseload data'!J:J,'caseload data'!$B:$B,{"licence","community"},'caseload data'!$C:$C,'community %'!$B$99)),"")</f>
        <v/>
      </c>
      <c r="I103" s="167" t="str" cm="1">
        <f t="array" ref="I103">IFERROR(SUM(SUMIFS('caseload data'!K:K,'caseload data'!$C:$C,'community %'!$B$99,'caseload data'!$D:$D,"TPO",'caseload data'!$B:$B,{"licence","community"}))/SUM(SUMIFS('caseload data'!K:K,'caseload data'!$B:$B,{"licence","community"},'caseload data'!$C:$C,'community %'!$B$99)),"")</f>
        <v/>
      </c>
      <c r="J103" s="167" t="str" cm="1">
        <f t="array" ref="J103">IFERROR(SUM(SUMIFS('caseload data'!L:L,'caseload data'!$C:$C,'community %'!$B$99,'caseload data'!$D:$D,"TPO",'caseload data'!$B:$B,{"licence","community"}))/SUM(SUMIFS('caseload data'!L:L,'caseload data'!$B:$B,{"licence","community"},'caseload data'!$C:$C,'community %'!$B$99)),"")</f>
        <v/>
      </c>
      <c r="K103" s="167" t="str" cm="1">
        <f t="array" ref="K103">IFERROR(SUM(SUMIFS('caseload data'!M:M,'caseload data'!$C:$C,'community %'!$B$99,'caseload data'!$D:$D,"TPO",'caseload data'!$B:$B,{"licence","community"}))/SUM(SUMIFS('caseload data'!M:M,'caseload data'!$B:$B,{"licence","community"},'caseload data'!$C:$C,'community %'!$B$99)),"")</f>
        <v/>
      </c>
      <c r="L103" s="167" t="str" cm="1">
        <f t="array" ref="L103">IFERROR(SUM(SUMIFS('caseload data'!N:N,'caseload data'!$C:$C,'community %'!$B$99,'caseload data'!$D:$D,"TPO",'caseload data'!$B:$B,{"licence","community"}))/SUM(SUMIFS('caseload data'!N:N,'caseload data'!$B:$B,{"licence","community"},'caseload data'!$C:$C,'community %'!$B$99)),"")</f>
        <v/>
      </c>
      <c r="M103" s="167" t="str" cm="1">
        <f t="array" ref="M103">IFERROR(SUM(SUMIFS('caseload data'!O:O,'caseload data'!$C:$C,'community %'!$B$99,'caseload data'!$D:$D,"TPO",'caseload data'!$B:$B,{"licence","community"}))/SUM(SUMIFS('caseload data'!O:O,'caseload data'!$B:$B,{"licence","community"},'caseload data'!$C:$C,'community %'!$B$99)),"")</f>
        <v/>
      </c>
      <c r="N103" s="167" t="str" cm="1">
        <f t="array" ref="N103">IFERROR(SUM(SUMIFS('caseload data'!P:P,'caseload data'!$C:$C,'community %'!$B$99,'caseload data'!$D:$D,"TPO",'caseload data'!$B:$B,{"licence","community"}))/SUM(SUMIFS('caseload data'!P:P,'caseload data'!$B:$B,{"licence","community"},'caseload data'!$C:$C,'community %'!$B$99)),"")</f>
        <v/>
      </c>
      <c r="O103" s="167" t="str" cm="1">
        <f t="array" ref="O103">IFERROR(SUM(SUMIFS('caseload data'!Q:Q,'caseload data'!$C:$C,'community %'!$B$99,'caseload data'!$D:$D,"TPO",'caseload data'!$B:$B,{"licence","community"}))/SUM(SUMIFS('caseload data'!Q:Q,'caseload data'!$B:$B,{"licence","community"},'caseload data'!$C:$C,'community %'!$B$99)),"")</f>
        <v/>
      </c>
      <c r="P103" s="167" t="str" cm="1">
        <f t="array" ref="P103">IFERROR(SUM(SUMIFS('caseload data'!R:R,'caseload data'!$C:$C,'community %'!$B$99,'caseload data'!$D:$D,"TPO",'caseload data'!$B:$B,{"licence","community"}))/SUM(SUMIFS('caseload data'!R:R,'caseload data'!$B:$B,{"licence","community"},'caseload data'!$C:$C,'community %'!$B$99)),"")</f>
        <v/>
      </c>
      <c r="Q103" s="167" t="str" cm="1">
        <f t="array" ref="Q103">IFERROR(SUM(SUMIFS('caseload data'!S:S,'caseload data'!$C:$C,'community %'!$B$99,'caseload data'!$D:$D,"TPO",'caseload data'!$B:$B,{"licence","community"}))/SUM(SUMIFS('caseload data'!S:S,'caseload data'!$B:$B,{"licence","community"},'caseload data'!$C:$C,'community %'!$B$99)),"")</f>
        <v/>
      </c>
      <c r="R103" s="167" t="str" cm="1">
        <f t="array" ref="R103">IFERROR(SUM(SUMIFS('caseload data'!T:T,'caseload data'!$C:$C,'community %'!$B$99,'caseload data'!$D:$D,"TPO",'caseload data'!$B:$B,{"licence","community"}))/SUM(SUMIFS('caseload data'!T:T,'caseload data'!$B:$B,{"licence","community"},'caseload data'!$C:$C,'community %'!$B$99)),"")</f>
        <v/>
      </c>
      <c r="T103" s="97" t="s">
        <v>1008</v>
      </c>
      <c r="U103" s="167" t="str" cm="1">
        <f t="array" ref="U103">IFERROR(SUM(SUMIFS('caseload data'!E:E,'caseload data'!$C:$C,'community %'!$T$99,'caseload data'!$D:$D,"TPO",'caseload data'!$B:$B,{"licence","community"}))/SUM(SUMIFS('caseload data'!E:E,'caseload data'!$B:$B,{"licence","community"},'caseload data'!$C:$C,'community %'!$T$99)),"")</f>
        <v/>
      </c>
      <c r="V103" s="167" t="str" cm="1">
        <f t="array" ref="V103">IFERROR(SUM(SUMIFS('caseload data'!F:F,'caseload data'!$C:$C,'community %'!$T$99,'caseload data'!$D:$D,"TPO",'caseload data'!$B:$B,{"licence","community"}))/SUM(SUMIFS('caseload data'!F:F,'caseload data'!$B:$B,{"licence","community"},'caseload data'!$C:$C,'community %'!$T$99)),"")</f>
        <v/>
      </c>
      <c r="W103" s="167" t="str" cm="1">
        <f t="array" ref="W103">IFERROR(SUM(SUMIFS('caseload data'!G:G,'caseload data'!$C:$C,'community %'!$T$99,'caseload data'!$D:$D,"TPO",'caseload data'!$B:$B,{"licence","community"}))/SUM(SUMIFS('caseload data'!G:G,'caseload data'!$B:$B,{"licence","community"},'caseload data'!$C:$C,'community %'!$T$99)),"")</f>
        <v/>
      </c>
      <c r="X103" s="167" t="str" cm="1">
        <f t="array" ref="X103">IFERROR(SUM(SUMIFS('caseload data'!H:H,'caseload data'!$C:$C,'community %'!$T$99,'caseload data'!$D:$D,"TPO",'caseload data'!$B:$B,{"licence","community"}))/SUM(SUMIFS('caseload data'!H:H,'caseload data'!$B:$B,{"licence","community"},'caseload data'!$C:$C,'community %'!$T$99)),"")</f>
        <v/>
      </c>
      <c r="Y103" s="167" t="str" cm="1">
        <f t="array" ref="Y103">IFERROR(SUM(SUMIFS('caseload data'!I:I,'caseload data'!$C:$C,'community %'!$T$99,'caseload data'!$D:$D,"TPO",'caseload data'!$B:$B,{"licence","community"}))/SUM(SUMIFS('caseload data'!I:I,'caseload data'!$B:$B,{"licence","community"},'caseload data'!$C:$C,'community %'!$T$99)),"")</f>
        <v/>
      </c>
      <c r="Z103" s="167" t="str" cm="1">
        <f t="array" ref="Z103">IFERROR(SUM(SUMIFS('caseload data'!J:J,'caseload data'!$C:$C,'community %'!$T$99,'caseload data'!$D:$D,"TPO",'caseload data'!$B:$B,{"licence","community"}))/SUM(SUMIFS('caseload data'!J:J,'caseload data'!$B:$B,{"licence","community"},'caseload data'!$C:$C,'community %'!$T$99)),"")</f>
        <v/>
      </c>
      <c r="AA103" s="167" t="str" cm="1">
        <f t="array" ref="AA103">IFERROR(SUM(SUMIFS('caseload data'!K:K,'caseload data'!$C:$C,'community %'!$T$99,'caseload data'!$D:$D,"TPO",'caseload data'!$B:$B,{"licence","community"}))/SUM(SUMIFS('caseload data'!K:K,'caseload data'!$B:$B,{"licence","community"},'caseload data'!$C:$C,'community %'!$T$99)),"")</f>
        <v/>
      </c>
      <c r="AB103" s="167" t="str" cm="1">
        <f t="array" ref="AB103">IFERROR(SUM(SUMIFS('caseload data'!L:L,'caseload data'!$C:$C,'community %'!$T$99,'caseload data'!$D:$D,"TPO",'caseload data'!$B:$B,{"licence","community"}))/SUM(SUMIFS('caseload data'!L:L,'caseload data'!$B:$B,{"licence","community"},'caseload data'!$C:$C,'community %'!$T$99)),"")</f>
        <v/>
      </c>
      <c r="AC103" s="167" t="str" cm="1">
        <f t="array" ref="AC103">IFERROR(SUM(SUMIFS('caseload data'!M:M,'caseload data'!$C:$C,'community %'!$T$99,'caseload data'!$D:$D,"TPO",'caseload data'!$B:$B,{"licence","community"}))/SUM(SUMIFS('caseload data'!M:M,'caseload data'!$B:$B,{"licence","community"},'caseload data'!$C:$C,'community %'!$T$99)),"")</f>
        <v/>
      </c>
      <c r="AD103" s="167" t="str" cm="1">
        <f t="array" ref="AD103">IFERROR(SUM(SUMIFS('caseload data'!N:N,'caseload data'!$C:$C,'community %'!$T$99,'caseload data'!$D:$D,"TPO",'caseload data'!$B:$B,{"licence","community"}))/SUM(SUMIFS('caseload data'!N:N,'caseload data'!$B:$B,{"licence","community"},'caseload data'!$C:$C,'community %'!$T$99)),"")</f>
        <v/>
      </c>
      <c r="AE103" s="167" t="str" cm="1">
        <f t="array" ref="AE103">IFERROR(SUM(SUMIFS('caseload data'!O:O,'caseload data'!$C:$C,'community %'!$T$99,'caseload data'!$D:$D,"TPO",'caseload data'!$B:$B,{"licence","community"}))/SUM(SUMIFS('caseload data'!O:O,'caseload data'!$B:$B,{"licence","community"},'caseload data'!$C:$C,'community %'!$T$99)),"")</f>
        <v/>
      </c>
      <c r="AF103" s="167" t="str" cm="1">
        <f t="array" ref="AF103">IFERROR(SUM(SUMIFS('caseload data'!P:P,'caseload data'!$C:$C,'community %'!$T$99,'caseload data'!$D:$D,"TPO",'caseload data'!$B:$B,{"licence","community"}))/SUM(SUMIFS('caseload data'!P:P,'caseload data'!$B:$B,{"licence","community"},'caseload data'!$C:$C,'community %'!$T$99)),"")</f>
        <v/>
      </c>
      <c r="AG103" s="167" t="str" cm="1">
        <f t="array" ref="AG103">IFERROR(SUM(SUMIFS('caseload data'!Q:Q,'caseload data'!$C:$C,'community %'!$T$99,'caseload data'!$D:$D,"TPO",'caseload data'!$B:$B,{"licence","community"}))/SUM(SUMIFS('caseload data'!Q:Q,'caseload data'!$B:$B,{"licence","community"},'caseload data'!$C:$C,'community %'!$T$99)),"")</f>
        <v/>
      </c>
      <c r="AH103" s="167" t="str" cm="1">
        <f t="array" ref="AH103">IFERROR(SUM(SUMIFS('caseload data'!R:R,'caseload data'!$C:$C,'community %'!$T$99,'caseload data'!$D:$D,"TPO",'caseload data'!$B:$B,{"licence","community"}))/SUM(SUMIFS('caseload data'!R:R,'caseload data'!$B:$B,{"licence","community"},'caseload data'!$C:$C,'community %'!$T$99)),"")</f>
        <v/>
      </c>
      <c r="AI103" s="167" t="str" cm="1">
        <f t="array" ref="AI103">IFERROR(SUM(SUMIFS('caseload data'!S:S,'caseload data'!$C:$C,'community %'!$T$99,'caseload data'!$D:$D,"TPO",'caseload data'!$B:$B,{"licence","community"}))/SUM(SUMIFS('caseload data'!S:S,'caseload data'!$B:$B,{"licence","community"},'caseload data'!$C:$C,'community %'!$T$99)),"")</f>
        <v/>
      </c>
      <c r="AJ103" s="167" t="str" cm="1">
        <f t="array" ref="AJ103">IFERROR(SUM(SUMIFS('caseload data'!T:T,'caseload data'!$C:$C,'community %'!$T$99,'caseload data'!$D:$D,"TPO",'caseload data'!$B:$B,{"licence","community"}))/SUM(SUMIFS('caseload data'!T:T,'caseload data'!$B:$B,{"licence","community"},'caseload data'!$C:$C,'community %'!$T$99)),"")</f>
        <v/>
      </c>
    </row>
    <row r="104" spans="2:36" x14ac:dyDescent="0.15">
      <c r="B104" s="98" t="s">
        <v>1009</v>
      </c>
      <c r="C104" s="167" t="str" cm="1">
        <f t="array" ref="C104">IFERROR(SUM(SUMIFS('caseload data'!E:E,'caseload data'!$C:$C,'community %'!$B$99,'caseload data'!$D:$D,"SPO",'caseload data'!$B:$B,{"licence","community"}))/SUM(SUMIFS('caseload data'!E:E,'caseload data'!$B:$B,{"licence","community"},'caseload data'!$C:$C,'community %'!$B$99)),"")</f>
        <v/>
      </c>
      <c r="D104" s="167" t="str" cm="1">
        <f t="array" ref="D104">IFERROR(SUM(SUMIFS('caseload data'!F:F,'caseload data'!$C:$C,'community %'!$B$99,'caseload data'!$D:$D,"SPO",'caseload data'!$B:$B,{"licence","community"}))/SUM(SUMIFS('caseload data'!F:F,'caseload data'!$B:$B,{"licence","community"},'caseload data'!$C:$C,'community %'!$B$99)),"")</f>
        <v/>
      </c>
      <c r="E104" s="167" t="str" cm="1">
        <f t="array" ref="E104">IFERROR(SUM(SUMIFS('caseload data'!G:G,'caseload data'!$C:$C,'community %'!$B$99,'caseload data'!$D:$D,"SPO",'caseload data'!$B:$B,{"licence","community"}))/SUM(SUMIFS('caseload data'!G:G,'caseload data'!$B:$B,{"licence","community"},'caseload data'!$C:$C,'community %'!$B$99)),"")</f>
        <v/>
      </c>
      <c r="F104" s="167" t="str" cm="1">
        <f t="array" ref="F104">IFERROR(SUM(SUMIFS('caseload data'!H:H,'caseload data'!$C:$C,'community %'!$B$99,'caseload data'!$D:$D,"SPO",'caseload data'!$B:$B,{"licence","community"}))/SUM(SUMIFS('caseload data'!H:H,'caseload data'!$B:$B,{"licence","community"},'caseload data'!$C:$C,'community %'!$B$99)),"")</f>
        <v/>
      </c>
      <c r="G104" s="167" t="str" cm="1">
        <f t="array" ref="G104">IFERROR(SUM(SUMIFS('caseload data'!I:I,'caseload data'!$C:$C,'community %'!$B$99,'caseload data'!$D:$D,"SPO",'caseload data'!$B:$B,{"licence","community"}))/SUM(SUMIFS('caseload data'!I:I,'caseload data'!$B:$B,{"licence","community"},'caseload data'!$C:$C,'community %'!$B$99)),"")</f>
        <v/>
      </c>
      <c r="H104" s="167" t="str" cm="1">
        <f t="array" ref="H104">IFERROR(SUM(SUMIFS('caseload data'!J:J,'caseload data'!$C:$C,'community %'!$B$99,'caseload data'!$D:$D,"SPO",'caseload data'!$B:$B,{"licence","community"}))/SUM(SUMIFS('caseload data'!J:J,'caseload data'!$B:$B,{"licence","community"},'caseload data'!$C:$C,'community %'!$B$99)),"")</f>
        <v/>
      </c>
      <c r="I104" s="167" t="str" cm="1">
        <f t="array" ref="I104">IFERROR(SUM(SUMIFS('caseload data'!K:K,'caseload data'!$C:$C,'community %'!$B$99,'caseload data'!$D:$D,"SPO",'caseload data'!$B:$B,{"licence","community"}))/SUM(SUMIFS('caseload data'!K:K,'caseload data'!$B:$B,{"licence","community"},'caseload data'!$C:$C,'community %'!$B$99)),"")</f>
        <v/>
      </c>
      <c r="J104" s="167" t="str" cm="1">
        <f t="array" ref="J104">IFERROR(SUM(SUMIFS('caseload data'!L:L,'caseload data'!$C:$C,'community %'!$B$99,'caseload data'!$D:$D,"SPO",'caseload data'!$B:$B,{"licence","community"}))/SUM(SUMIFS('caseload data'!L:L,'caseload data'!$B:$B,{"licence","community"},'caseload data'!$C:$C,'community %'!$B$99)),"")</f>
        <v/>
      </c>
      <c r="K104" s="167" t="str" cm="1">
        <f t="array" ref="K104">IFERROR(SUM(SUMIFS('caseload data'!M:M,'caseload data'!$C:$C,'community %'!$B$99,'caseload data'!$D:$D,"SPO",'caseload data'!$B:$B,{"licence","community"}))/SUM(SUMIFS('caseload data'!M:M,'caseload data'!$B:$B,{"licence","community"},'caseload data'!$C:$C,'community %'!$B$99)),"")</f>
        <v/>
      </c>
      <c r="L104" s="167" t="str" cm="1">
        <f t="array" ref="L104">IFERROR(SUM(SUMIFS('caseload data'!N:N,'caseload data'!$C:$C,'community %'!$B$99,'caseload data'!$D:$D,"SPO",'caseload data'!$B:$B,{"licence","community"}))/SUM(SUMIFS('caseload data'!N:N,'caseload data'!$B:$B,{"licence","community"},'caseload data'!$C:$C,'community %'!$B$99)),"")</f>
        <v/>
      </c>
      <c r="M104" s="167" t="str" cm="1">
        <f t="array" ref="M104">IFERROR(SUM(SUMIFS('caseload data'!O:O,'caseload data'!$C:$C,'community %'!$B$99,'caseload data'!$D:$D,"SPO",'caseload data'!$B:$B,{"licence","community"}))/SUM(SUMIFS('caseload data'!O:O,'caseload data'!$B:$B,{"licence","community"},'caseload data'!$C:$C,'community %'!$B$99)),"")</f>
        <v/>
      </c>
      <c r="N104" s="167" t="str" cm="1">
        <f t="array" ref="N104">IFERROR(SUM(SUMIFS('caseload data'!P:P,'caseload data'!$C:$C,'community %'!$B$99,'caseload data'!$D:$D,"SPO",'caseload data'!$B:$B,{"licence","community"}))/SUM(SUMIFS('caseload data'!P:P,'caseload data'!$B:$B,{"licence","community"},'caseload data'!$C:$C,'community %'!$B$99)),"")</f>
        <v/>
      </c>
      <c r="O104" s="167" t="str" cm="1">
        <f t="array" ref="O104">IFERROR(SUM(SUMIFS('caseload data'!Q:Q,'caseload data'!$C:$C,'community %'!$B$99,'caseload data'!$D:$D,"SPO",'caseload data'!$B:$B,{"licence","community"}))/SUM(SUMIFS('caseload data'!Q:Q,'caseload data'!$B:$B,{"licence","community"},'caseload data'!$C:$C,'community %'!$B$99)),"")</f>
        <v/>
      </c>
      <c r="P104" s="167" t="str" cm="1">
        <f t="array" ref="P104">IFERROR(SUM(SUMIFS('caseload data'!R:R,'caseload data'!$C:$C,'community %'!$B$99,'caseload data'!$D:$D,"SPO",'caseload data'!$B:$B,{"licence","community"}))/SUM(SUMIFS('caseload data'!R:R,'caseload data'!$B:$B,{"licence","community"},'caseload data'!$C:$C,'community %'!$B$99)),"")</f>
        <v/>
      </c>
      <c r="Q104" s="167" t="str" cm="1">
        <f t="array" ref="Q104">IFERROR(SUM(SUMIFS('caseload data'!S:S,'caseload data'!$C:$C,'community %'!$B$99,'caseload data'!$D:$D,"SPO",'caseload data'!$B:$B,{"licence","community"}))/SUM(SUMIFS('caseload data'!S:S,'caseload data'!$B:$B,{"licence","community"},'caseload data'!$C:$C,'community %'!$B$99)),"")</f>
        <v/>
      </c>
      <c r="R104" s="167" t="str" cm="1">
        <f t="array" ref="R104">IFERROR(SUM(SUMIFS('caseload data'!T:T,'caseload data'!$C:$C,'community %'!$B$99,'caseload data'!$D:$D,"SPO",'caseload data'!$B:$B,{"licence","community"}))/SUM(SUMIFS('caseload data'!T:T,'caseload data'!$B:$B,{"licence","community"},'caseload data'!$C:$C,'community %'!$B$99)),"")</f>
        <v/>
      </c>
      <c r="T104" s="98" t="s">
        <v>1009</v>
      </c>
      <c r="U104" s="167" t="str" cm="1">
        <f t="array" ref="U104">IFERROR(SUM(SUMIFS('caseload data'!E:E,'caseload data'!$C:$C,'community %'!$T$99,'caseload data'!$D:$D,"SPO",'caseload data'!$B:$B,{"licence","community"}))/SUM(SUMIFS('caseload data'!E:E,'caseload data'!$B:$B,{"licence","community"},'caseload data'!$C:$C,'community %'!$T$99)),"")</f>
        <v/>
      </c>
      <c r="V104" s="167" t="str" cm="1">
        <f t="array" ref="V104">IFERROR(SUM(SUMIFS('caseload data'!F:F,'caseload data'!$C:$C,'community %'!$T$99,'caseload data'!$D:$D,"SPO",'caseload data'!$B:$B,{"licence","community"}))/SUM(SUMIFS('caseload data'!F:F,'caseload data'!$B:$B,{"licence","community"},'caseload data'!$C:$C,'community %'!$T$99)),"")</f>
        <v/>
      </c>
      <c r="W104" s="167" t="str" cm="1">
        <f t="array" ref="W104">IFERROR(SUM(SUMIFS('caseload data'!G:G,'caseload data'!$C:$C,'community %'!$T$99,'caseload data'!$D:$D,"SPO",'caseload data'!$B:$B,{"licence","community"}))/SUM(SUMIFS('caseload data'!G:G,'caseload data'!$B:$B,{"licence","community"},'caseload data'!$C:$C,'community %'!$T$99)),"")</f>
        <v/>
      </c>
      <c r="X104" s="167" t="str" cm="1">
        <f t="array" ref="X104">IFERROR(SUM(SUMIFS('caseload data'!H:H,'caseload data'!$C:$C,'community %'!$T$99,'caseload data'!$D:$D,"SPO",'caseload data'!$B:$B,{"licence","community"}))/SUM(SUMIFS('caseload data'!H:H,'caseload data'!$B:$B,{"licence","community"},'caseload data'!$C:$C,'community %'!$T$99)),"")</f>
        <v/>
      </c>
      <c r="Y104" s="167" t="str" cm="1">
        <f t="array" ref="Y104">IFERROR(SUM(SUMIFS('caseload data'!I:I,'caseload data'!$C:$C,'community %'!$T$99,'caseload data'!$D:$D,"SPO",'caseload data'!$B:$B,{"licence","community"}))/SUM(SUMIFS('caseload data'!I:I,'caseload data'!$B:$B,{"licence","community"},'caseload data'!$C:$C,'community %'!$T$99)),"")</f>
        <v/>
      </c>
      <c r="Z104" s="167" t="str" cm="1">
        <f t="array" ref="Z104">IFERROR(SUM(SUMIFS('caseload data'!J:J,'caseload data'!$C:$C,'community %'!$T$99,'caseload data'!$D:$D,"SPO",'caseload data'!$B:$B,{"licence","community"}))/SUM(SUMIFS('caseload data'!J:J,'caseload data'!$B:$B,{"licence","community"},'caseload data'!$C:$C,'community %'!$T$99)),"")</f>
        <v/>
      </c>
      <c r="AA104" s="167" t="str" cm="1">
        <f t="array" ref="AA104">IFERROR(SUM(SUMIFS('caseload data'!K:K,'caseload data'!$C:$C,'community %'!$T$99,'caseload data'!$D:$D,"SPO",'caseload data'!$B:$B,{"licence","community"}))/SUM(SUMIFS('caseload data'!K:K,'caseload data'!$B:$B,{"licence","community"},'caseload data'!$C:$C,'community %'!$T$99)),"")</f>
        <v/>
      </c>
      <c r="AB104" s="167" t="str" cm="1">
        <f t="array" ref="AB104">IFERROR(SUM(SUMIFS('caseload data'!L:L,'caseload data'!$C:$C,'community %'!$T$99,'caseload data'!$D:$D,"SPO",'caseload data'!$B:$B,{"licence","community"}))/SUM(SUMIFS('caseload data'!L:L,'caseload data'!$B:$B,{"licence","community"},'caseload data'!$C:$C,'community %'!$T$99)),"")</f>
        <v/>
      </c>
      <c r="AC104" s="167" t="str" cm="1">
        <f t="array" ref="AC104">IFERROR(SUM(SUMIFS('caseload data'!M:M,'caseload data'!$C:$C,'community %'!$T$99,'caseload data'!$D:$D,"SPO",'caseload data'!$B:$B,{"licence","community"}))/SUM(SUMIFS('caseload data'!M:M,'caseload data'!$B:$B,{"licence","community"},'caseload data'!$C:$C,'community %'!$T$99)),"")</f>
        <v/>
      </c>
      <c r="AD104" s="167" t="str" cm="1">
        <f t="array" ref="AD104">IFERROR(SUM(SUMIFS('caseload data'!N:N,'caseload data'!$C:$C,'community %'!$T$99,'caseload data'!$D:$D,"SPO",'caseload data'!$B:$B,{"licence","community"}))/SUM(SUMIFS('caseload data'!N:N,'caseload data'!$B:$B,{"licence","community"},'caseload data'!$C:$C,'community %'!$T$99)),"")</f>
        <v/>
      </c>
      <c r="AE104" s="167" t="str" cm="1">
        <f t="array" ref="AE104">IFERROR(SUM(SUMIFS('caseload data'!O:O,'caseload data'!$C:$C,'community %'!$T$99,'caseload data'!$D:$D,"SPO",'caseload data'!$B:$B,{"licence","community"}))/SUM(SUMIFS('caseload data'!O:O,'caseload data'!$B:$B,{"licence","community"},'caseload data'!$C:$C,'community %'!$T$99)),"")</f>
        <v/>
      </c>
      <c r="AF104" s="167" t="str" cm="1">
        <f t="array" ref="AF104">IFERROR(SUM(SUMIFS('caseload data'!P:P,'caseload data'!$C:$C,'community %'!$T$99,'caseload data'!$D:$D,"SPO",'caseload data'!$B:$B,{"licence","community"}))/SUM(SUMIFS('caseload data'!P:P,'caseload data'!$B:$B,{"licence","community"},'caseload data'!$C:$C,'community %'!$T$99)),"")</f>
        <v/>
      </c>
      <c r="AG104" s="167" t="str" cm="1">
        <f t="array" ref="AG104">IFERROR(SUM(SUMIFS('caseload data'!Q:Q,'caseload data'!$C:$C,'community %'!$T$99,'caseload data'!$D:$D,"SPO",'caseload data'!$B:$B,{"licence","community"}))/SUM(SUMIFS('caseload data'!Q:Q,'caseload data'!$B:$B,{"licence","community"},'caseload data'!$C:$C,'community %'!$T$99)),"")</f>
        <v/>
      </c>
      <c r="AH104" s="167" t="str" cm="1">
        <f t="array" ref="AH104">IFERROR(SUM(SUMIFS('caseload data'!R:R,'caseload data'!$C:$C,'community %'!$T$99,'caseload data'!$D:$D,"SPO",'caseload data'!$B:$B,{"licence","community"}))/SUM(SUMIFS('caseload data'!R:R,'caseload data'!$B:$B,{"licence","community"},'caseload data'!$C:$C,'community %'!$T$99)),"")</f>
        <v/>
      </c>
      <c r="AI104" s="167" t="str" cm="1">
        <f t="array" ref="AI104">IFERROR(SUM(SUMIFS('caseload data'!S:S,'caseload data'!$C:$C,'community %'!$T$99,'caseload data'!$D:$D,"SPO",'caseload data'!$B:$B,{"licence","community"}))/SUM(SUMIFS('caseload data'!S:S,'caseload data'!$B:$B,{"licence","community"},'caseload data'!$C:$C,'community %'!$T$99)),"")</f>
        <v/>
      </c>
      <c r="AJ104" s="167" t="str" cm="1">
        <f t="array" ref="AJ104">IFERROR(SUM(SUMIFS('caseload data'!T:T,'caseload data'!$C:$C,'community %'!$T$99,'caseload data'!$D:$D,"SPO",'caseload data'!$B:$B,{"licence","community"}))/SUM(SUMIFS('caseload data'!T:T,'caseload data'!$B:$B,{"licence","community"},'caseload data'!$C:$C,'community %'!$T$99)),"")</f>
        <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64:O64"/>
    <mergeCell ref="P64:R64"/>
    <mergeCell ref="U64:AG64"/>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A2:AX2"/>
    <mergeCell ref="C15:O15"/>
    <mergeCell ref="P15:R15"/>
    <mergeCell ref="U15:AG15"/>
    <mergeCell ref="AH15:AJ15"/>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sqref="A1:L1"/>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59.25" customHeight="1" x14ac:dyDescent="0.2">
      <c r="A1" s="531" t="s">
        <v>1140</v>
      </c>
      <c r="B1" s="531"/>
      <c r="C1" s="531"/>
      <c r="D1" s="531"/>
      <c r="E1" s="531"/>
      <c r="F1" s="531"/>
      <c r="G1" s="531"/>
      <c r="H1" s="531"/>
      <c r="I1" s="531"/>
      <c r="J1" s="531"/>
      <c r="K1" s="531"/>
      <c r="L1" s="531"/>
      <c r="M1" s="265"/>
      <c r="N1" s="265"/>
      <c r="O1" s="265"/>
      <c r="P1" s="265"/>
      <c r="Q1" s="265"/>
      <c r="R1" s="265"/>
      <c r="S1" s="265"/>
      <c r="T1" s="265"/>
      <c r="U1" s="265"/>
      <c r="V1" s="265"/>
      <c r="W1" s="265"/>
      <c r="X1" s="265"/>
      <c r="Y1" s="265"/>
    </row>
    <row r="2" spans="1:25" ht="39" customHeight="1" x14ac:dyDescent="0.2">
      <c r="A2" s="424"/>
      <c r="B2" s="424"/>
      <c r="C2" s="424"/>
      <c r="D2" s="424"/>
      <c r="E2" s="424"/>
      <c r="F2" s="424"/>
      <c r="G2" s="424"/>
      <c r="H2" s="424"/>
      <c r="I2" s="424"/>
      <c r="J2" s="424"/>
      <c r="K2" s="424"/>
      <c r="L2" s="424"/>
      <c r="M2" s="266"/>
      <c r="N2" s="266"/>
      <c r="O2" s="266"/>
      <c r="P2" s="266"/>
      <c r="Q2" s="266"/>
      <c r="R2" s="266"/>
      <c r="S2" s="266"/>
      <c r="T2" s="266"/>
      <c r="U2" s="266"/>
      <c r="V2" s="266"/>
      <c r="W2" s="266"/>
      <c r="X2" s="266"/>
      <c r="Y2" s="266"/>
    </row>
    <row r="3" spans="1:25" ht="14.25" customHeight="1" x14ac:dyDescent="0.2"/>
    <row r="4" spans="1:25" ht="56" x14ac:dyDescent="0.2">
      <c r="B4" s="146"/>
      <c r="C4" s="219" t="s">
        <v>942</v>
      </c>
      <c r="D4" s="63" t="s">
        <v>943</v>
      </c>
      <c r="E4" s="63" t="s">
        <v>944</v>
      </c>
      <c r="F4" s="63" t="s">
        <v>945</v>
      </c>
      <c r="G4" s="91"/>
      <c r="H4" s="219" t="s">
        <v>946</v>
      </c>
      <c r="I4" s="219" t="s">
        <v>947</v>
      </c>
      <c r="J4" s="91"/>
      <c r="K4" s="219" t="s">
        <v>948</v>
      </c>
      <c r="L4" s="219" t="s">
        <v>949</v>
      </c>
    </row>
    <row r="5" spans="1:25" x14ac:dyDescent="0.2">
      <c r="B5" s="141" t="s">
        <v>17</v>
      </c>
      <c r="C5" s="67" t="e">
        <f>SUM((SUMIFS('capacity data'!G:G,'capacity data'!A:A,B5,'capacity data'!E:E,"PO"))-SUMIFS('capacity data'!H:H,'capacity data'!A:A,B5,'capacity data'!E:E,"PO"))/SUMIFS('capacity data'!G:G,'capacity data'!A:A,B5,'capacity data'!E:E,"PO")</f>
        <v>#DIV/0!</v>
      </c>
      <c r="D5" s="67" t="e">
        <f>SUM((SUMIFS('capacity data'!G:G,'capacity data'!A:A,B5,'capacity data'!E:E,"PSO"))-SUMIFS('capacity data'!H:H,'capacity data'!A:A,B5,'capacity data'!E:E,"PSO"))/SUMIFS('capacity data'!G:G,'capacity data'!A:A,B5,'capacity data'!E:E,"PSO")</f>
        <v>#DIV/0!</v>
      </c>
      <c r="E5" s="67" t="e">
        <f>SUM((SUMIFS('capacity data'!G:G,'capacity data'!A:A,B5,'capacity data'!E:E,"TPO"))-SUMIFS('capacity data'!H:H,'capacity data'!A:A,B5,'capacity data'!E:E,"TPO"))/SUMIFS('capacity data'!G:G,'capacity data'!A:A,B5,'capacity data'!E:E,"TPO")</f>
        <v>#DIV/0!</v>
      </c>
      <c r="F5" s="147" t="e">
        <f>SUM((SUMIFS('capacity data'!G:G,'capacity data'!A:A,B5))-SUMIFS('capacity data'!H:H,'capacity data'!A:A,B5))/SUMIFS('capacity data'!G:G,'capacity data'!A:A,B5)</f>
        <v>#DIV/0!</v>
      </c>
      <c r="G5" s="148"/>
      <c r="H5" s="66" t="e">
        <f>SUMIFS('capacity data'!$L:$L,'capacity data'!$A:$A,B5,'capacity data'!$E:$E,"PSO")/SUM((SUMIFS('capacity data'!$G:$G,'capacity data'!$E:$E,"PSO",'capacity data'!$A:$A,B5))-SUMIFS('capacity data'!$H:$H,'capacity data'!$E:$E,"PSO",'capacity data'!$A:$A,B5))</f>
        <v>#DIV/0!</v>
      </c>
      <c r="I5" s="66" t="e">
        <f>SUMIFS('capacity data'!$L:$L,'capacity data'!$A:$A,B5,'capacity data'!$E:$E,"PSO")/SUMIFS('capacity data'!$G:$G,'capacity data'!$E:$E,"PSO",'capacity data'!$A:$A,B5)</f>
        <v>#DIV/0!</v>
      </c>
      <c r="J5" s="91"/>
      <c r="K5" s="66" t="e">
        <f>SUMIFS('capacity data'!$L:$L,'capacity data'!$A:$A,B5,'capacity data'!$E:$E,"TPO")/SUM((SUMIFS('capacity data'!$G:$G,'capacity data'!$E:$E,"TPO",'capacity data'!$A:$A,B5))-SUMIFS('capacity data'!$H:$H,'capacity data'!$E:$E,"TPO",'capacity data'!$A:$A,B5))</f>
        <v>#DIV/0!</v>
      </c>
      <c r="L5" s="66" t="e">
        <f>SUMIFS('capacity data'!$L:$L,'capacity data'!$A:$A,B5,'capacity data'!$E:$E,"TPO")/SUMIFS('capacity data'!$G:$G,'capacity data'!$E:$E,"TPO",'capacity data'!$A:$A,B5)</f>
        <v>#DIV/0!</v>
      </c>
    </row>
    <row r="6" spans="1:25" x14ac:dyDescent="0.2">
      <c r="B6" s="141" t="s">
        <v>18</v>
      </c>
      <c r="C6" s="67" t="e">
        <f>SUM((SUMIFS('capacity data'!G:G,'capacity data'!A:A,B6,'capacity data'!E:E,"PO"))-SUMIFS('capacity data'!H:H,'capacity data'!A:A,B6,'capacity data'!E:E,"PO"))/SUMIFS('capacity data'!G:G,'capacity data'!A:A,B6,'capacity data'!E:E,"PO")</f>
        <v>#DIV/0!</v>
      </c>
      <c r="D6" s="67" t="e">
        <f>SUM((SUMIFS('capacity data'!G:G,'capacity data'!A:A,B6,'capacity data'!E:E,"PSO"))-SUMIFS('capacity data'!H:H,'capacity data'!A:A,B6,'capacity data'!E:E,"PSO"))/SUMIFS('capacity data'!G:G,'capacity data'!A:A,B6,'capacity data'!E:E,"PSO")</f>
        <v>#DIV/0!</v>
      </c>
      <c r="E6" s="67" t="e">
        <f>SUM((SUMIFS('capacity data'!G:G,'capacity data'!A:A,B6,'capacity data'!E:E,"TPO"))-SUMIFS('capacity data'!H:H,'capacity data'!A:A,B6,'capacity data'!E:E,"TPO"))/SUMIFS('capacity data'!G:G,'capacity data'!A:A,B6,'capacity data'!E:E,"TPO")</f>
        <v>#DIV/0!</v>
      </c>
      <c r="F6" s="147" t="e">
        <f>SUM((SUMIFS('capacity data'!G:G,'capacity data'!A:A,B6))-SUMIFS('capacity data'!H:H,'capacity data'!A:A,B6))/SUMIFS('capacity data'!G:G,'capacity data'!A:A,B6)</f>
        <v>#DIV/0!</v>
      </c>
      <c r="G6" s="148"/>
      <c r="H6" s="66" t="e">
        <f>SUMIFS('capacity data'!$L:$L,'capacity data'!$A:$A,B6,'capacity data'!$E:$E,"PSO")/SUM((SUMIFS('capacity data'!$G:$G,'capacity data'!$E:$E,"PSO",'capacity data'!$A:$A,B6))-SUMIFS('capacity data'!$H:$H,'capacity data'!$E:$E,"PSO",'capacity data'!$A:$A,B6))</f>
        <v>#DIV/0!</v>
      </c>
      <c r="I6" s="66" t="e">
        <f>SUMIFS('capacity data'!$L:$L,'capacity data'!$A:$A,B6,'capacity data'!$E:$E,"PSO")/SUMIFS('capacity data'!$G:$G,'capacity data'!$E:$E,"PSO",'capacity data'!$A:$A,B6)</f>
        <v>#DIV/0!</v>
      </c>
      <c r="J6" s="91"/>
      <c r="K6" s="66" t="e">
        <f>SUMIFS('capacity data'!$L:$L,'capacity data'!$A:$A,B6,'capacity data'!$E:$E,"TPO")/SUM((SUMIFS('capacity data'!$G:$G,'capacity data'!$E:$E,"TPO",'capacity data'!$A:$A,B6))-SUMIFS('capacity data'!$H:$H,'capacity data'!$E:$E,"TPO",'capacity data'!$A:$A,B6))</f>
        <v>#DIV/0!</v>
      </c>
      <c r="L6" s="66" t="e">
        <f>SUMIFS('capacity data'!$L:$L,'capacity data'!$A:$A,B6,'capacity data'!$E:$E,"TPO")/SUMIFS('capacity data'!$G:$G,'capacity data'!$E:$E,"TPO",'capacity data'!$A:$A,B6)</f>
        <v>#DIV/0!</v>
      </c>
    </row>
    <row r="7" spans="1:25" x14ac:dyDescent="0.2">
      <c r="B7" s="141" t="s">
        <v>19</v>
      </c>
      <c r="C7" s="67" t="e">
        <f>SUM((SUMIFS('capacity data'!G:G,'capacity data'!A:A,B7,'capacity data'!E:E,"PO"))-SUMIFS('capacity data'!H:H,'capacity data'!A:A,B7,'capacity data'!E:E,"PO"))/SUMIFS('capacity data'!G:G,'capacity data'!A:A,B7,'capacity data'!E:E,"PO")</f>
        <v>#DIV/0!</v>
      </c>
      <c r="D7" s="67" t="e">
        <f>SUM((SUMIFS('capacity data'!G:G,'capacity data'!A:A,B7,'capacity data'!E:E,"PSO"))-SUMIFS('capacity data'!H:H,'capacity data'!A:A,B7,'capacity data'!E:E,"PSO"))/SUMIFS('capacity data'!G:G,'capacity data'!A:A,B7,'capacity data'!E:E,"PSO")</f>
        <v>#DIV/0!</v>
      </c>
      <c r="E7" s="67" t="e">
        <f>SUM((SUMIFS('capacity data'!G:G,'capacity data'!A:A,B7,'capacity data'!E:E,"TPO"))-SUMIFS('capacity data'!H:H,'capacity data'!A:A,B7,'capacity data'!E:E,"TPO"))/SUMIFS('capacity data'!G:G,'capacity data'!A:A,B7,'capacity data'!E:E,"TPO")</f>
        <v>#DIV/0!</v>
      </c>
      <c r="F7" s="147" t="e">
        <f>SUM((SUMIFS('capacity data'!G:G,'capacity data'!A:A,B7))-SUMIFS('capacity data'!H:H,'capacity data'!A:A,B7))/SUMIFS('capacity data'!G:G,'capacity data'!A:A,B7)</f>
        <v>#DIV/0!</v>
      </c>
      <c r="G7" s="148"/>
      <c r="H7" s="66" t="e">
        <f>SUMIFS('capacity data'!$L:$L,'capacity data'!$A:$A,B7,'capacity data'!$E:$E,"PSO")/SUM((SUMIFS('capacity data'!$G:$G,'capacity data'!$E:$E,"PSO",'capacity data'!$A:$A,B7))-SUMIFS('capacity data'!$H:$H,'capacity data'!$E:$E,"PSO",'capacity data'!$A:$A,B7))</f>
        <v>#DIV/0!</v>
      </c>
      <c r="I7" s="66" t="e">
        <f>SUMIFS('capacity data'!$L:$L,'capacity data'!$A:$A,B7,'capacity data'!$E:$E,"PSO")/SUMIFS('capacity data'!$G:$G,'capacity data'!$E:$E,"PSO",'capacity data'!$A:$A,B7)</f>
        <v>#DIV/0!</v>
      </c>
      <c r="J7" s="91"/>
      <c r="K7" s="66" t="e">
        <f>SUMIFS('capacity data'!$L:$L,'capacity data'!$A:$A,B7,'capacity data'!$E:$E,"TPO")/SUM((SUMIFS('capacity data'!$G:$G,'capacity data'!$E:$E,"TPO",'capacity data'!$A:$A,B7))-SUMIFS('capacity data'!$H:$H,'capacity data'!$E:$E,"TPO",'capacity data'!$A:$A,B7))</f>
        <v>#DIV/0!</v>
      </c>
      <c r="L7" s="66" t="e">
        <f>SUMIFS('capacity data'!$L:$L,'capacity data'!$A:$A,B7,'capacity data'!$E:$E,"TPO")/SUMIFS('capacity data'!$G:$G,'capacity data'!$E:$E,"TPO",'capacity data'!$A:$A,B7)</f>
        <v>#DIV/0!</v>
      </c>
    </row>
    <row r="8" spans="1:25" x14ac:dyDescent="0.2">
      <c r="B8" s="141" t="s">
        <v>20</v>
      </c>
      <c r="C8" s="67" t="e">
        <f>SUM((SUMIFS('capacity data'!G:G,'capacity data'!A:A,B8,'capacity data'!E:E,"PO"))-SUMIFS('capacity data'!H:H,'capacity data'!A:A,B8,'capacity data'!E:E,"PO"))/SUMIFS('capacity data'!G:G,'capacity data'!A:A,B8,'capacity data'!E:E,"PO")</f>
        <v>#DIV/0!</v>
      </c>
      <c r="D8" s="67" t="e">
        <f>SUM((SUMIFS('capacity data'!G:G,'capacity data'!A:A,B8,'capacity data'!E:E,"PSO"))-SUMIFS('capacity data'!H:H,'capacity data'!A:A,B8,'capacity data'!E:E,"PSO"))/SUMIFS('capacity data'!G:G,'capacity data'!A:A,B8,'capacity data'!E:E,"PSO")</f>
        <v>#DIV/0!</v>
      </c>
      <c r="E8" s="67" t="e">
        <f>SUM((SUMIFS('capacity data'!G:G,'capacity data'!A:A,B8,'capacity data'!E:E,"TPO"))-SUMIFS('capacity data'!H:H,'capacity data'!A:A,B8,'capacity data'!E:E,"TPO"))/SUMIFS('capacity data'!G:G,'capacity data'!A:A,B8,'capacity data'!E:E,"TPO")</f>
        <v>#DIV/0!</v>
      </c>
      <c r="F8" s="147" t="e">
        <f>SUM((SUMIFS('capacity data'!G:G,'capacity data'!A:A,B8))-SUMIFS('capacity data'!H:H,'capacity data'!A:A,B8))/SUMIFS('capacity data'!G:G,'capacity data'!A:A,B8)</f>
        <v>#DIV/0!</v>
      </c>
      <c r="G8" s="148"/>
      <c r="H8" s="66" t="e">
        <f>SUMIFS('capacity data'!$L:$L,'capacity data'!$A:$A,B8,'capacity data'!$E:$E,"PSO")/SUM((SUMIFS('capacity data'!$G:$G,'capacity data'!$E:$E,"PSO",'capacity data'!$A:$A,B8))-SUMIFS('capacity data'!$H:$H,'capacity data'!$E:$E,"PSO",'capacity data'!$A:$A,B8))</f>
        <v>#DIV/0!</v>
      </c>
      <c r="I8" s="66" t="e">
        <f>SUMIFS('capacity data'!$L:$L,'capacity data'!$A:$A,B8,'capacity data'!$E:$E,"PSO")/SUMIFS('capacity data'!$G:$G,'capacity data'!$E:$E,"PSO",'capacity data'!$A:$A,B8)</f>
        <v>#DIV/0!</v>
      </c>
      <c r="J8" s="91"/>
      <c r="K8" s="66" t="e">
        <f>SUMIFS('capacity data'!$L:$L,'capacity data'!$A:$A,B8,'capacity data'!$E:$E,"TPO")/SUM((SUMIFS('capacity data'!$G:$G,'capacity data'!$E:$E,"TPO",'capacity data'!$A:$A,B8))-SUMIFS('capacity data'!$H:$H,'capacity data'!$E:$E,"TPO",'capacity data'!$A:$A,B8))</f>
        <v>#DIV/0!</v>
      </c>
      <c r="L8" s="66" t="e">
        <f>SUMIFS('capacity data'!$L:$L,'capacity data'!$A:$A,B8,'capacity data'!$E:$E,"TPO")/SUMIFS('capacity data'!$G:$G,'capacity data'!$E:$E,"TPO",'capacity data'!$A:$A,B8)</f>
        <v>#DIV/0!</v>
      </c>
    </row>
    <row r="9" spans="1:25" x14ac:dyDescent="0.2">
      <c r="B9" s="141" t="s">
        <v>21</v>
      </c>
      <c r="C9" s="67" t="e">
        <f>SUM((SUMIFS('capacity data'!G:G,'capacity data'!A:A,B9,'capacity data'!E:E,"PO"))-SUMIFS('capacity data'!H:H,'capacity data'!A:A,B9,'capacity data'!E:E,"PO"))/SUMIFS('capacity data'!G:G,'capacity data'!A:A,B9,'capacity data'!E:E,"PO")</f>
        <v>#DIV/0!</v>
      </c>
      <c r="D9" s="67" t="e">
        <f>SUM((SUMIFS('capacity data'!G:G,'capacity data'!A:A,B9,'capacity data'!E:E,"PSO"))-SUMIFS('capacity data'!H:H,'capacity data'!A:A,B9,'capacity data'!E:E,"PSO"))/SUMIFS('capacity data'!G:G,'capacity data'!A:A,B9,'capacity data'!E:E,"PSO")</f>
        <v>#DIV/0!</v>
      </c>
      <c r="E9" s="67" t="e">
        <f>SUM((SUMIFS('capacity data'!G:G,'capacity data'!A:A,B9,'capacity data'!E:E,"TPO"))-SUMIFS('capacity data'!H:H,'capacity data'!A:A,B9,'capacity data'!E:E,"TPO"))/SUMIFS('capacity data'!G:G,'capacity data'!A:A,B9,'capacity data'!E:E,"TPO")</f>
        <v>#DIV/0!</v>
      </c>
      <c r="F9" s="147" t="e">
        <f>SUM((SUMIFS('capacity data'!G:G,'capacity data'!A:A,B9))-SUMIFS('capacity data'!H:H,'capacity data'!A:A,B9))/SUMIFS('capacity data'!G:G,'capacity data'!A:A,B9)</f>
        <v>#DIV/0!</v>
      </c>
      <c r="G9" s="148"/>
      <c r="H9" s="66" t="e">
        <f>SUMIFS('capacity data'!$L:$L,'capacity data'!$A:$A,B9,'capacity data'!$E:$E,"PSO")/SUM((SUMIFS('capacity data'!$G:$G,'capacity data'!$E:$E,"PSO",'capacity data'!$A:$A,B9))-SUMIFS('capacity data'!$H:$H,'capacity data'!$E:$E,"PSO",'capacity data'!$A:$A,B9))</f>
        <v>#DIV/0!</v>
      </c>
      <c r="I9" s="66" t="e">
        <f>SUMIFS('capacity data'!$L:$L,'capacity data'!$A:$A,B9,'capacity data'!$E:$E,"PSO")/SUMIFS('capacity data'!$G:$G,'capacity data'!$E:$E,"PSO",'capacity data'!$A:$A,B9)</f>
        <v>#DIV/0!</v>
      </c>
      <c r="J9" s="91"/>
      <c r="K9" s="66" t="e">
        <f>SUMIFS('capacity data'!$L:$L,'capacity data'!$A:$A,B9,'capacity data'!$E:$E,"TPO")/SUM((SUMIFS('capacity data'!$G:$G,'capacity data'!$E:$E,"TPO",'capacity data'!$A:$A,B9))-SUMIFS('capacity data'!$H:$H,'capacity data'!$E:$E,"TPO",'capacity data'!$A:$A,B9))</f>
        <v>#DIV/0!</v>
      </c>
      <c r="L9" s="66" t="e">
        <f>SUMIFS('capacity data'!$L:$L,'capacity data'!$A:$A,B9,'capacity data'!$E:$E,"TPO")/SUMIFS('capacity data'!$G:$G,'capacity data'!$E:$E,"TPO",'capacity data'!$A:$A,B9)</f>
        <v>#DIV/0!</v>
      </c>
    </row>
    <row r="10" spans="1:25" x14ac:dyDescent="0.2">
      <c r="B10" s="141" t="s">
        <v>22</v>
      </c>
      <c r="C10" s="67" t="e">
        <f>SUM((SUMIFS('capacity data'!G:G,'capacity data'!A:A,B10,'capacity data'!E:E,"PO"))-SUMIFS('capacity data'!H:H,'capacity data'!A:A,B10,'capacity data'!E:E,"PO"))/SUMIFS('capacity data'!G:G,'capacity data'!A:A,B10,'capacity data'!E:E,"PO")</f>
        <v>#DIV/0!</v>
      </c>
      <c r="D10" s="67" t="e">
        <f>SUM((SUMIFS('capacity data'!G:G,'capacity data'!A:A,B10,'capacity data'!E:E,"PSO"))-SUMIFS('capacity data'!H:H,'capacity data'!A:A,B10,'capacity data'!E:E,"PSO"))/SUMIFS('capacity data'!G:G,'capacity data'!A:A,B10,'capacity data'!E:E,"PSO")</f>
        <v>#DIV/0!</v>
      </c>
      <c r="E10" s="67" t="e">
        <f>SUM((SUMIFS('capacity data'!G:G,'capacity data'!A:A,B10,'capacity data'!E:E,"TPO"))-SUMIFS('capacity data'!H:H,'capacity data'!A:A,B10,'capacity data'!E:E,"TPO"))/SUMIFS('capacity data'!G:G,'capacity data'!A:A,B10,'capacity data'!E:E,"TPO")</f>
        <v>#DIV/0!</v>
      </c>
      <c r="F10" s="147" t="e">
        <f>SUM((SUMIFS('capacity data'!G:G,'capacity data'!A:A,B10))-SUMIFS('capacity data'!H:H,'capacity data'!A:A,B10))/SUMIFS('capacity data'!G:G,'capacity data'!A:A,B10)</f>
        <v>#DIV/0!</v>
      </c>
      <c r="G10" s="148"/>
      <c r="H10" s="66" t="e">
        <f>SUMIFS('capacity data'!$L:$L,'capacity data'!$A:$A,B10,'capacity data'!$E:$E,"PSO")/SUM((SUMIFS('capacity data'!$G:$G,'capacity data'!$E:$E,"PSO",'capacity data'!$A:$A,B10))-SUMIFS('capacity data'!$H:$H,'capacity data'!$E:$E,"PSO",'capacity data'!$A:$A,B10))</f>
        <v>#DIV/0!</v>
      </c>
      <c r="I10" s="66" t="e">
        <f>SUMIFS('capacity data'!$L:$L,'capacity data'!$A:$A,B10,'capacity data'!$E:$E,"PSO")/SUMIFS('capacity data'!$G:$G,'capacity data'!$E:$E,"PSO",'capacity data'!$A:$A,B10)</f>
        <v>#DIV/0!</v>
      </c>
      <c r="J10" s="91"/>
      <c r="K10" s="66" t="e">
        <f>SUMIFS('capacity data'!$L:$L,'capacity data'!$A:$A,B10,'capacity data'!$E:$E,"TPO")/SUM((SUMIFS('capacity data'!$G:$G,'capacity data'!$E:$E,"TPO",'capacity data'!$A:$A,B10))-SUMIFS('capacity data'!$H:$H,'capacity data'!$E:$E,"TPO",'capacity data'!$A:$A,B10))</f>
        <v>#DIV/0!</v>
      </c>
      <c r="L10" s="66" t="e">
        <f>SUMIFS('capacity data'!$L:$L,'capacity data'!$A:$A,B10,'capacity data'!$E:$E,"TPO")/SUMIFS('capacity data'!$G:$G,'capacity data'!$E:$E,"TPO",'capacity data'!$A:$A,B10)</f>
        <v>#DIV/0!</v>
      </c>
    </row>
    <row r="11" spans="1:25" x14ac:dyDescent="0.2">
      <c r="B11" s="141" t="s">
        <v>23</v>
      </c>
      <c r="C11" s="67" t="e">
        <f>SUM((SUMIFS('capacity data'!G:G,'capacity data'!A:A,B11,'capacity data'!E:E,"PO"))-SUMIFS('capacity data'!H:H,'capacity data'!A:A,B11,'capacity data'!E:E,"PO"))/SUMIFS('capacity data'!G:G,'capacity data'!A:A,B11,'capacity data'!E:E,"PO")</f>
        <v>#DIV/0!</v>
      </c>
      <c r="D11" s="67" t="e">
        <f>SUM((SUMIFS('capacity data'!G:G,'capacity data'!A:A,B11,'capacity data'!E:E,"PSO"))-SUMIFS('capacity data'!H:H,'capacity data'!A:A,B11,'capacity data'!E:E,"PSO"))/SUMIFS('capacity data'!G:G,'capacity data'!A:A,B11,'capacity data'!E:E,"PSO")</f>
        <v>#DIV/0!</v>
      </c>
      <c r="E11" s="67" t="e">
        <f>SUM((SUMIFS('capacity data'!G:G,'capacity data'!A:A,B11,'capacity data'!E:E,"TPO"))-SUMIFS('capacity data'!H:H,'capacity data'!A:A,B11,'capacity data'!E:E,"TPO"))/SUMIFS('capacity data'!G:G,'capacity data'!A:A,B11,'capacity data'!E:E,"TPO")</f>
        <v>#DIV/0!</v>
      </c>
      <c r="F11" s="147" t="e">
        <f>SUM((SUMIFS('capacity data'!G:G,'capacity data'!A:A,B11))-SUMIFS('capacity data'!H:H,'capacity data'!A:A,B11))/SUMIFS('capacity data'!G:G,'capacity data'!A:A,B11)</f>
        <v>#DIV/0!</v>
      </c>
      <c r="G11" s="148"/>
      <c r="H11" s="66" t="e">
        <f>SUMIFS('capacity data'!$L:$L,'capacity data'!$A:$A,B11,'capacity data'!$E:$E,"PSO")/SUM((SUMIFS('capacity data'!$G:$G,'capacity data'!$E:$E,"PSO",'capacity data'!$A:$A,B11))-SUMIFS('capacity data'!$H:$H,'capacity data'!$E:$E,"PSO",'capacity data'!$A:$A,B11))</f>
        <v>#DIV/0!</v>
      </c>
      <c r="I11" s="66" t="e">
        <f>SUMIFS('capacity data'!$L:$L,'capacity data'!$A:$A,B11,'capacity data'!$E:$E,"PSO")/SUMIFS('capacity data'!$G:$G,'capacity data'!$E:$E,"PSO",'capacity data'!$A:$A,B11)</f>
        <v>#DIV/0!</v>
      </c>
      <c r="J11" s="91"/>
      <c r="K11" s="66" t="e">
        <f>SUMIFS('capacity data'!$L:$L,'capacity data'!$A:$A,B11,'capacity data'!$E:$E,"TPO")/SUM((SUMIFS('capacity data'!$G:$G,'capacity data'!$E:$E,"TPO",'capacity data'!$A:$A,B11))-SUMIFS('capacity data'!$H:$H,'capacity data'!$E:$E,"TPO",'capacity data'!$A:$A,B11))</f>
        <v>#DIV/0!</v>
      </c>
      <c r="L11" s="66" t="e">
        <f>SUMIFS('capacity data'!$L:$L,'capacity data'!$A:$A,B11,'capacity data'!$E:$E,"TPO")/SUMIFS('capacity data'!$G:$G,'capacity data'!$E:$E,"TPO",'capacity data'!$A:$A,B11)</f>
        <v>#DIV/0!</v>
      </c>
    </row>
    <row r="12" spans="1:25" x14ac:dyDescent="0.2">
      <c r="B12" s="141" t="s">
        <v>24</v>
      </c>
      <c r="C12" s="67" t="e">
        <f>SUM((SUMIFS('capacity data'!G:G,'capacity data'!A:A,B12,'capacity data'!E:E,"PO"))-SUMIFS('capacity data'!H:H,'capacity data'!A:A,B12,'capacity data'!E:E,"PO"))/SUMIFS('capacity data'!G:G,'capacity data'!A:A,B12,'capacity data'!E:E,"PO")</f>
        <v>#DIV/0!</v>
      </c>
      <c r="D12" s="67" t="e">
        <f>SUM((SUMIFS('capacity data'!G:G,'capacity data'!A:A,B12,'capacity data'!E:E,"PSO"))-SUMIFS('capacity data'!H:H,'capacity data'!A:A,B12,'capacity data'!E:E,"PSO"))/SUMIFS('capacity data'!G:G,'capacity data'!A:A,B12,'capacity data'!E:E,"PSO")</f>
        <v>#DIV/0!</v>
      </c>
      <c r="E12" s="67" t="e">
        <f>SUM((SUMIFS('capacity data'!G:G,'capacity data'!A:A,B12,'capacity data'!E:E,"TPO"))-SUMIFS('capacity data'!H:H,'capacity data'!A:A,B12,'capacity data'!E:E,"TPO"))/SUMIFS('capacity data'!G:G,'capacity data'!A:A,B12,'capacity data'!E:E,"TPO")</f>
        <v>#DIV/0!</v>
      </c>
      <c r="F12" s="147" t="e">
        <f>SUM((SUMIFS('capacity data'!G:G,'capacity data'!A:A,B12))-SUMIFS('capacity data'!H:H,'capacity data'!A:A,B12))/SUMIFS('capacity data'!G:G,'capacity data'!A:A,B12)</f>
        <v>#DIV/0!</v>
      </c>
      <c r="G12" s="148"/>
      <c r="H12" s="66" t="e">
        <f>SUMIFS('capacity data'!$L:$L,'capacity data'!$A:$A,B12,'capacity data'!$E:$E,"PSO")/SUM((SUMIFS('capacity data'!$G:$G,'capacity data'!$E:$E,"PSO",'capacity data'!$A:$A,B12))-SUMIFS('capacity data'!$H:$H,'capacity data'!$E:$E,"PSO",'capacity data'!$A:$A,B12))</f>
        <v>#DIV/0!</v>
      </c>
      <c r="I12" s="66" t="e">
        <f>SUMIFS('capacity data'!$L:$L,'capacity data'!$A:$A,B12,'capacity data'!$E:$E,"PSO")/SUMIFS('capacity data'!$G:$G,'capacity data'!$E:$E,"PSO",'capacity data'!$A:$A,B12)</f>
        <v>#DIV/0!</v>
      </c>
      <c r="J12" s="91"/>
      <c r="K12" s="66" t="e">
        <f>SUMIFS('capacity data'!$L:$L,'capacity data'!$A:$A,B12,'capacity data'!$E:$E,"TPO")/SUM((SUMIFS('capacity data'!$G:$G,'capacity data'!$E:$E,"TPO",'capacity data'!$A:$A,B12))-SUMIFS('capacity data'!$H:$H,'capacity data'!$E:$E,"TPO",'capacity data'!$A:$A,B12))</f>
        <v>#DIV/0!</v>
      </c>
      <c r="L12" s="66" t="e">
        <f>SUMIFS('capacity data'!$L:$L,'capacity data'!$A:$A,B12,'capacity data'!$E:$E,"TPO")/SUMIFS('capacity data'!$G:$G,'capacity data'!$E:$E,"TPO",'capacity data'!$A:$A,B12)</f>
        <v>#DIV/0!</v>
      </c>
    </row>
    <row r="13" spans="1:25" x14ac:dyDescent="0.2">
      <c r="B13" s="141" t="s">
        <v>25</v>
      </c>
      <c r="C13" s="67" t="e">
        <f>SUM((SUMIFS('capacity data'!G:G,'capacity data'!A:A,B13,'capacity data'!E:E,"PO"))-SUMIFS('capacity data'!H:H,'capacity data'!A:A,B13,'capacity data'!E:E,"PO"))/SUMIFS('capacity data'!G:G,'capacity data'!A:A,B13,'capacity data'!E:E,"PO")</f>
        <v>#DIV/0!</v>
      </c>
      <c r="D13" s="67" t="e">
        <f>SUM((SUMIFS('capacity data'!G:G,'capacity data'!A:A,B13,'capacity data'!E:E,"PSO"))-SUMIFS('capacity data'!H:H,'capacity data'!A:A,B13,'capacity data'!E:E,"PSO"))/SUMIFS('capacity data'!G:G,'capacity data'!A:A,B13,'capacity data'!E:E,"PSO")</f>
        <v>#DIV/0!</v>
      </c>
      <c r="E13" s="67" t="e">
        <f>SUM((SUMIFS('capacity data'!G:G,'capacity data'!A:A,B13,'capacity data'!E:E,"TPO"))-SUMIFS('capacity data'!H:H,'capacity data'!A:A,B13,'capacity data'!E:E,"TPO"))/SUMIFS('capacity data'!G:G,'capacity data'!A:A,B13,'capacity data'!E:E,"TPO")</f>
        <v>#DIV/0!</v>
      </c>
      <c r="F13" s="147" t="e">
        <f>SUM((SUMIFS('capacity data'!G:G,'capacity data'!A:A,B13))-SUMIFS('capacity data'!H:H,'capacity data'!A:A,B13))/SUMIFS('capacity data'!G:G,'capacity data'!A:A,B13)</f>
        <v>#DIV/0!</v>
      </c>
      <c r="G13" s="148"/>
      <c r="H13" s="66" t="e">
        <f>SUMIFS('capacity data'!$L:$L,'capacity data'!$A:$A,B13,'capacity data'!$E:$E,"PSO")/SUM((SUMIFS('capacity data'!$G:$G,'capacity data'!$E:$E,"PSO",'capacity data'!$A:$A,B13))-SUMIFS('capacity data'!$H:$H,'capacity data'!$E:$E,"PSO",'capacity data'!$A:$A,B13))</f>
        <v>#DIV/0!</v>
      </c>
      <c r="I13" s="66" t="e">
        <f>SUMIFS('capacity data'!$L:$L,'capacity data'!$A:$A,B13,'capacity data'!$E:$E,"PSO")/SUMIFS('capacity data'!$G:$G,'capacity data'!$E:$E,"PSO",'capacity data'!$A:$A,B13)</f>
        <v>#DIV/0!</v>
      </c>
      <c r="J13" s="91"/>
      <c r="K13" s="66" t="e">
        <f>SUMIFS('capacity data'!$L:$L,'capacity data'!$A:$A,B13,'capacity data'!$E:$E,"TPO")/SUM((SUMIFS('capacity data'!$G:$G,'capacity data'!$E:$E,"TPO",'capacity data'!$A:$A,B13))-SUMIFS('capacity data'!$H:$H,'capacity data'!$E:$E,"TPO",'capacity data'!$A:$A,B13))</f>
        <v>#DIV/0!</v>
      </c>
      <c r="L13" s="66" t="e">
        <f>SUMIFS('capacity data'!$L:$L,'capacity data'!$A:$A,B13,'capacity data'!$E:$E,"TPO")/SUMIFS('capacity data'!$G:$G,'capacity data'!$E:$E,"TPO",'capacity data'!$A:$A,B13)</f>
        <v>#DIV/0!</v>
      </c>
    </row>
    <row r="14" spans="1:25" x14ac:dyDescent="0.2">
      <c r="B14" s="141" t="s">
        <v>26</v>
      </c>
      <c r="C14" s="67" t="e">
        <f>SUM((SUMIFS('capacity data'!G:G,'capacity data'!A:A,B14,'capacity data'!E:E,"PO"))-SUMIFS('capacity data'!H:H,'capacity data'!A:A,B14,'capacity data'!E:E,"PO"))/SUMIFS('capacity data'!G:G,'capacity data'!A:A,B14,'capacity data'!E:E,"PO")</f>
        <v>#DIV/0!</v>
      </c>
      <c r="D14" s="67" t="e">
        <f>SUM((SUMIFS('capacity data'!G:G,'capacity data'!A:A,B14,'capacity data'!E:E,"PSO"))-SUMIFS('capacity data'!H:H,'capacity data'!A:A,B14,'capacity data'!E:E,"PSO"))/SUMIFS('capacity data'!G:G,'capacity data'!A:A,B14,'capacity data'!E:E,"PSO")</f>
        <v>#DIV/0!</v>
      </c>
      <c r="E14" s="67" t="e">
        <f>SUM((SUMIFS('capacity data'!G:G,'capacity data'!A:A,B14,'capacity data'!E:E,"TPO"))-SUMIFS('capacity data'!H:H,'capacity data'!A:A,B14,'capacity data'!E:E,"TPO"))/SUMIFS('capacity data'!G:G,'capacity data'!A:A,B14,'capacity data'!E:E,"TPO")</f>
        <v>#DIV/0!</v>
      </c>
      <c r="F14" s="147" t="e">
        <f>SUM((SUMIFS('capacity data'!G:G,'capacity data'!A:A,B14))-SUMIFS('capacity data'!H:H,'capacity data'!A:A,B14))/SUMIFS('capacity data'!G:G,'capacity data'!A:A,B14)</f>
        <v>#DIV/0!</v>
      </c>
      <c r="G14" s="148"/>
      <c r="H14" s="66" t="e">
        <f>SUMIFS('capacity data'!$L:$L,'capacity data'!$A:$A,B14,'capacity data'!$E:$E,"PSO")/SUM((SUMIFS('capacity data'!$G:$G,'capacity data'!$E:$E,"PSO",'capacity data'!$A:$A,B14))-SUMIFS('capacity data'!$H:$H,'capacity data'!$E:$E,"PSO",'capacity data'!$A:$A,B14))</f>
        <v>#DIV/0!</v>
      </c>
      <c r="I14" s="66" t="e">
        <f>SUMIFS('capacity data'!$L:$L,'capacity data'!$A:$A,B14,'capacity data'!$E:$E,"PSO")/SUMIFS('capacity data'!$G:$G,'capacity data'!$E:$E,"PSO",'capacity data'!$A:$A,B14)</f>
        <v>#DIV/0!</v>
      </c>
      <c r="J14" s="91"/>
      <c r="K14" s="66" t="e">
        <f>SUMIFS('capacity data'!$L:$L,'capacity data'!$A:$A,B14,'capacity data'!$E:$E,"TPO")/SUM((SUMIFS('capacity data'!$G:$G,'capacity data'!$E:$E,"TPO",'capacity data'!$A:$A,B14))-SUMIFS('capacity data'!$H:$H,'capacity data'!$E:$E,"TPO",'capacity data'!$A:$A,B14))</f>
        <v>#DIV/0!</v>
      </c>
      <c r="L14" s="66" t="e">
        <f>SUMIFS('capacity data'!$L:$L,'capacity data'!$A:$A,B14,'capacity data'!$E:$E,"TPO")/SUMIFS('capacity data'!$G:$G,'capacity data'!$E:$E,"TPO",'capacity data'!$A:$A,B14)</f>
        <v>#DIV/0!</v>
      </c>
    </row>
    <row r="15" spans="1:25" x14ac:dyDescent="0.2">
      <c r="B15" s="141" t="s">
        <v>27</v>
      </c>
      <c r="C15" s="67" t="e">
        <f>SUM((SUMIFS('capacity data'!G:G,'capacity data'!A:A,B15,'capacity data'!E:E,"PO"))-SUMIFS('capacity data'!H:H,'capacity data'!A:A,B15,'capacity data'!E:E,"PO"))/SUMIFS('capacity data'!G:G,'capacity data'!A:A,B15,'capacity data'!E:E,"PO")</f>
        <v>#DIV/0!</v>
      </c>
      <c r="D15" s="67" t="e">
        <f>SUM((SUMIFS('capacity data'!G:G,'capacity data'!A:A,B15,'capacity data'!E:E,"PSO"))-SUMIFS('capacity data'!H:H,'capacity data'!A:A,B15,'capacity data'!E:E,"PSO"))/SUMIFS('capacity data'!G:G,'capacity data'!A:A,B15,'capacity data'!E:E,"PSO")</f>
        <v>#DIV/0!</v>
      </c>
      <c r="E15" s="67" t="e">
        <f>SUM((SUMIFS('capacity data'!G:G,'capacity data'!A:A,B15,'capacity data'!E:E,"TPO"))-SUMIFS('capacity data'!H:H,'capacity data'!A:A,B15,'capacity data'!E:E,"TPO"))/SUMIFS('capacity data'!G:G,'capacity data'!A:A,B15,'capacity data'!E:E,"TPO")</f>
        <v>#DIV/0!</v>
      </c>
      <c r="F15" s="147" t="e">
        <f>SUM((SUMIFS('capacity data'!G:G,'capacity data'!A:A,B15))-SUMIFS('capacity data'!H:H,'capacity data'!A:A,B15))/SUMIFS('capacity data'!G:G,'capacity data'!A:A,B15)</f>
        <v>#DIV/0!</v>
      </c>
      <c r="G15" s="148"/>
      <c r="H15" s="66" t="e">
        <f>SUMIFS('capacity data'!$L:$L,'capacity data'!$A:$A,B15,'capacity data'!$E:$E,"PSO")/SUM((SUMIFS('capacity data'!$G:$G,'capacity data'!$E:$E,"PSO",'capacity data'!$A:$A,B15))-SUMIFS('capacity data'!$H:$H,'capacity data'!$E:$E,"PSO",'capacity data'!$A:$A,B15))</f>
        <v>#DIV/0!</v>
      </c>
      <c r="I15" s="66" t="e">
        <f>SUMIFS('capacity data'!$L:$L,'capacity data'!$A:$A,B15,'capacity data'!$E:$E,"PSO")/SUMIFS('capacity data'!$G:$G,'capacity data'!$E:$E,"PSO",'capacity data'!$A:$A,B15)</f>
        <v>#DIV/0!</v>
      </c>
      <c r="J15" s="91"/>
      <c r="K15" s="66" t="e">
        <f>SUMIFS('capacity data'!$L:$L,'capacity data'!$A:$A,B15,'capacity data'!$E:$E,"TPO")/SUM((SUMIFS('capacity data'!$G:$G,'capacity data'!$E:$E,"TPO",'capacity data'!$A:$A,B15))-SUMIFS('capacity data'!$H:$H,'capacity data'!$E:$E,"TPO",'capacity data'!$A:$A,B15))</f>
        <v>#DIV/0!</v>
      </c>
      <c r="L15" s="66" t="e">
        <f>SUMIFS('capacity data'!$L:$L,'capacity data'!$A:$A,B15,'capacity data'!$E:$E,"TPO")/SUMIFS('capacity data'!$G:$G,'capacity data'!$E:$E,"TPO",'capacity data'!$A:$A,B15)</f>
        <v>#DIV/0!</v>
      </c>
    </row>
    <row r="16" spans="1:25" ht="17" thickBot="1" x14ac:dyDescent="0.25">
      <c r="B16" s="141" t="s">
        <v>28</v>
      </c>
      <c r="C16" s="67" t="e">
        <f>SUM((SUMIFS('capacity data'!G:G,'capacity data'!A:A,B16,'capacity data'!E:E,"PO"))-SUMIFS('capacity data'!H:H,'capacity data'!A:A,B16,'capacity data'!E:E,"PO"))/SUMIFS('capacity data'!G:G,'capacity data'!A:A,B16,'capacity data'!E:E,"PO")</f>
        <v>#DIV/0!</v>
      </c>
      <c r="D16" s="67" t="e">
        <f>SUM((SUMIFS('capacity data'!G:G,'capacity data'!A:A,B16,'capacity data'!E:E,"PSO"))-SUMIFS('capacity data'!H:H,'capacity data'!A:A,B16,'capacity data'!E:E,"PSO"))/SUMIFS('capacity data'!G:G,'capacity data'!A:A,B16,'capacity data'!E:E,"PSO")</f>
        <v>#DIV/0!</v>
      </c>
      <c r="E16" s="67" t="e">
        <f>SUM((SUMIFS('capacity data'!G:G,'capacity data'!A:A,B16,'capacity data'!E:E,"TPO"))-SUMIFS('capacity data'!H:H,'capacity data'!A:A,B16,'capacity data'!E:E,"TPO"))/SUMIFS('capacity data'!G:G,'capacity data'!A:A,B16,'capacity data'!E:E,"TPO")</f>
        <v>#DIV/0!</v>
      </c>
      <c r="F16" s="147" t="e">
        <f>SUM((SUMIFS('capacity data'!G:G,'capacity data'!A:A,B16))-SUMIFS('capacity data'!H:H,'capacity data'!A:A,B16))/SUMIFS('capacity data'!G:G,'capacity data'!A:A,B16)</f>
        <v>#DIV/0!</v>
      </c>
      <c r="G16" s="148"/>
      <c r="H16" s="66" t="e">
        <f>SUMIFS('capacity data'!$L:$L,'capacity data'!$A:$A,B16,'capacity data'!$E:$E,"PSO")/SUM((SUMIFS('capacity data'!$G:$G,'capacity data'!$E:$E,"PSO",'capacity data'!$A:$A,B16))-SUMIFS('capacity data'!$H:$H,'capacity data'!$E:$E,"PSO",'capacity data'!$A:$A,B16))</f>
        <v>#DIV/0!</v>
      </c>
      <c r="I16" s="66" t="e">
        <f>SUMIFS('capacity data'!$L:$L,'capacity data'!$A:$A,B16,'capacity data'!$E:$E,"PSO")/SUMIFS('capacity data'!$G:$G,'capacity data'!$E:$E,"PSO",'capacity data'!$A:$A,B16)</f>
        <v>#DIV/0!</v>
      </c>
      <c r="J16" s="91"/>
      <c r="K16" s="66" t="e">
        <f>SUMIFS('capacity data'!$L:$L,'capacity data'!$A:$A,B16,'capacity data'!$E:$E,"TPO")/SUM((SUMIFS('capacity data'!$G:$G,'capacity data'!$E:$E,"TPO",'capacity data'!$A:$A,B16))-SUMIFS('capacity data'!$H:$H,'capacity data'!$E:$E,"TPO",'capacity data'!$A:$A,B16))</f>
        <v>#DIV/0!</v>
      </c>
      <c r="L16" s="66" t="e">
        <f>SUMIFS('capacity data'!$L:$L,'capacity data'!$A:$A,B16,'capacity data'!$E:$E,"TPO")/SUMIFS('capacity data'!$G:$G,'capacity data'!$E:$E,"TPO",'capacity data'!$A:$A,B16)</f>
        <v>#DIV/0!</v>
      </c>
    </row>
    <row r="17" spans="2:12" ht="17" thickBot="1" x14ac:dyDescent="0.25">
      <c r="B17" s="150" t="s">
        <v>1322</v>
      </c>
      <c r="C17" s="151" t="e">
        <f>SUM((SUMIF('capacity data'!E:E,"PO",'capacity data'!G:G))-SUMIF('capacity data'!E:E,"PO",'capacity data'!H:H))/SUMIF('capacity data'!E:E,"PO",'capacity data'!G:G)</f>
        <v>#DIV/0!</v>
      </c>
      <c r="D17" s="151" t="e">
        <f>SUM((SUMIF('capacity data'!E:E,"PSO",'capacity data'!G:G))-SUMIF('capacity data'!E:E,"PSO",'capacity data'!H:H))/SUMIF('capacity data'!E:E,"PSO",'capacity data'!G:G)</f>
        <v>#DIV/0!</v>
      </c>
      <c r="E17" s="151" t="e">
        <f>SUM((SUMIF('capacity data'!E:E,"TPO",'capacity data'!G:G))-SUMIF('capacity data'!E:E,"TPO",'capacity data'!H:H))/SUMIF('capacity data'!E:E,"TPO",'capacity data'!G:G)</f>
        <v>#DIV/0!</v>
      </c>
      <c r="F17" s="151" t="e">
        <f>SUM((SUM('capacity data'!G:G)-SUM('capacity data'!H:H))/SUM('capacity data'!G:G))</f>
        <v>#DIV/0!</v>
      </c>
      <c r="G17" s="91"/>
      <c r="H17" s="152" t="e">
        <f>SUMIF('capacity data'!$E:$E,"PSO",'capacity data'!$L:$L)/SUM(SUMIF('capacity data'!$E:$E,"PSO",'capacity data'!$G:$G)-SUMIF('capacity data'!$E:$E,"PSO",'capacity data'!$H:$H))</f>
        <v>#DIV/0!</v>
      </c>
      <c r="I17" s="152" t="e">
        <f>SUMIF('capacity data'!$E:$E,"PSO",'capacity data'!$L:$L)/SUMIF('capacity data'!$E:$E,"PSO",'capacity data'!$G:$G)</f>
        <v>#DIV/0!</v>
      </c>
      <c r="J17" s="91"/>
      <c r="K17" s="152" t="e">
        <f>SUMIF('capacity data'!$E:$E,"TPO",'capacity data'!$L:$L)/SUM(SUMIF('capacity data'!$E:$E,"TPO",'capacity data'!$G:$G)-SUMIF('capacity data'!$E:$E,"TPO",'capacity data'!$H:$H))</f>
        <v>#DIV/0!</v>
      </c>
      <c r="L17" s="152" t="e">
        <f>SUMIF('capacity data'!$E:$E,"TPO",'capacity data'!$L:$L)/SUMIF('capacity data'!$E:$E,"TPO",'capacity data'!$G:$G)</f>
        <v>#DIV/0!</v>
      </c>
    </row>
    <row r="23" spans="2:12" x14ac:dyDescent="0.2">
      <c r="C23" s="50"/>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sqref="A1:L1"/>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531" t="s">
        <v>1141</v>
      </c>
      <c r="B1" s="531"/>
      <c r="C1" s="531"/>
      <c r="D1" s="531"/>
      <c r="E1" s="531"/>
      <c r="F1" s="531"/>
      <c r="G1" s="531"/>
      <c r="H1" s="531"/>
      <c r="I1" s="531"/>
      <c r="J1" s="531"/>
      <c r="K1" s="531"/>
      <c r="L1" s="531"/>
      <c r="M1" s="261"/>
      <c r="N1" s="261"/>
      <c r="O1" s="261"/>
      <c r="P1" s="261"/>
      <c r="Q1" s="261"/>
      <c r="R1" s="261"/>
    </row>
    <row r="2" spans="1:18" ht="40.5" customHeight="1" x14ac:dyDescent="0.15">
      <c r="A2" s="424"/>
      <c r="B2" s="424"/>
      <c r="C2" s="424"/>
      <c r="D2" s="424"/>
      <c r="E2" s="424"/>
      <c r="F2" s="424"/>
      <c r="G2" s="424"/>
      <c r="H2" s="424"/>
      <c r="I2" s="424"/>
      <c r="J2" s="424"/>
      <c r="K2" s="424"/>
      <c r="L2" s="424"/>
      <c r="M2" s="267"/>
      <c r="N2" s="267"/>
      <c r="O2" s="267"/>
      <c r="P2" s="267"/>
      <c r="Q2" s="267"/>
      <c r="R2" s="267"/>
    </row>
    <row r="4" spans="1:18" ht="16" x14ac:dyDescent="0.2">
      <c r="B4" s="543" t="s">
        <v>1142</v>
      </c>
      <c r="C4" s="544"/>
      <c r="D4" s="544"/>
      <c r="E4" s="6"/>
      <c r="F4" s="545" t="s">
        <v>1143</v>
      </c>
      <c r="G4" s="545"/>
      <c r="H4" s="546"/>
    </row>
    <row r="5" spans="1:18" x14ac:dyDescent="0.15">
      <c r="B5" s="76" t="s">
        <v>1144</v>
      </c>
      <c r="C5" s="76" t="s">
        <v>867</v>
      </c>
      <c r="D5" s="219" t="s">
        <v>858</v>
      </c>
      <c r="E5" s="165"/>
      <c r="F5" s="76" t="s">
        <v>1144</v>
      </c>
      <c r="G5" s="76" t="s">
        <v>867</v>
      </c>
      <c r="H5" s="166" t="s">
        <v>859</v>
      </c>
    </row>
    <row r="6" spans="1:18" x14ac:dyDescent="0.15">
      <c r="B6" s="62" t="e">
        <f>INDEX('capacity data'!O:O,MATCH(C6,'capacity data'!P:P,0))</f>
        <v>#NUM!</v>
      </c>
      <c r="C6" s="62" t="e">
        <f>INDEX('capacity data'!P:P,MATCH(D6,'capacity data'!Q:Q,0))</f>
        <v>#NUM!</v>
      </c>
      <c r="D6" s="167" t="e">
        <f>LARGE('capacity data'!Q:Q,1)</f>
        <v>#NUM!</v>
      </c>
      <c r="E6" s="148"/>
      <c r="F6" s="62" t="e">
        <f>INDEX('capacity data'!O:O,MATCH(G6,'capacity data'!P:P,0))</f>
        <v>#NUM!</v>
      </c>
      <c r="G6" s="62" t="e">
        <f>INDEX('capacity data'!P:P,MATCH(H6,'capacity data'!R:R,0))</f>
        <v>#NUM!</v>
      </c>
      <c r="H6" s="167" t="e">
        <f>SMALL('capacity data'!R:R,1)</f>
        <v>#NUM!</v>
      </c>
    </row>
    <row r="7" spans="1:18" x14ac:dyDescent="0.15">
      <c r="B7" s="62" t="e">
        <f>INDEX('capacity data'!O:O,MATCH(C7,'capacity data'!P:P,0))</f>
        <v>#NUM!</v>
      </c>
      <c r="C7" s="62" t="e">
        <f>INDEX('capacity data'!P:P,MATCH(D7,'capacity data'!Q:Q,0))</f>
        <v>#NUM!</v>
      </c>
      <c r="D7" s="167" t="e">
        <f>LARGE('capacity data'!Q:Q,2)</f>
        <v>#NUM!</v>
      </c>
      <c r="E7" s="148"/>
      <c r="F7" s="62" t="e">
        <f>INDEX('capacity data'!O:O,MATCH(G7,'capacity data'!P:P,0))</f>
        <v>#NUM!</v>
      </c>
      <c r="G7" s="62" t="e">
        <f>INDEX('capacity data'!P:P,MATCH(H7,'capacity data'!R:R,0))</f>
        <v>#NUM!</v>
      </c>
      <c r="H7" s="167" t="e">
        <f>SMALL('capacity data'!R:R,2)</f>
        <v>#NUM!</v>
      </c>
    </row>
    <row r="8" spans="1:18" x14ac:dyDescent="0.15">
      <c r="B8" s="62" t="e">
        <f>INDEX('capacity data'!O:O,MATCH(C8,'capacity data'!P:P,0))</f>
        <v>#NUM!</v>
      </c>
      <c r="C8" s="62" t="e">
        <f>INDEX('capacity data'!P:P,MATCH(D8,'capacity data'!Q:Q,0))</f>
        <v>#NUM!</v>
      </c>
      <c r="D8" s="167" t="e">
        <f>LARGE('capacity data'!Q:Q,3)</f>
        <v>#NUM!</v>
      </c>
      <c r="E8" s="148"/>
      <c r="F8" s="62" t="e">
        <f>INDEX('capacity data'!O:O,MATCH(G8,'capacity data'!P:P,0))</f>
        <v>#NUM!</v>
      </c>
      <c r="G8" s="62" t="e">
        <f>INDEX('capacity data'!P:P,MATCH(H8,'capacity data'!R:R,0))</f>
        <v>#NUM!</v>
      </c>
      <c r="H8" s="167" t="e">
        <f>SMALL('capacity data'!R:R,3)</f>
        <v>#NUM!</v>
      </c>
    </row>
    <row r="9" spans="1:18" x14ac:dyDescent="0.15">
      <c r="B9" s="62" t="e">
        <f>INDEX('capacity data'!O:O,MATCH(C9,'capacity data'!P:P,0))</f>
        <v>#NUM!</v>
      </c>
      <c r="C9" s="62" t="e">
        <f>INDEX('capacity data'!P:P,MATCH(D9,'capacity data'!Q:Q,0))</f>
        <v>#NUM!</v>
      </c>
      <c r="D9" s="167" t="e">
        <f>LARGE('capacity data'!Q:Q,4)</f>
        <v>#NUM!</v>
      </c>
      <c r="E9" s="148"/>
      <c r="F9" s="62" t="e">
        <f>INDEX('capacity data'!O:O,MATCH(G9,'capacity data'!P:P,0))</f>
        <v>#NUM!</v>
      </c>
      <c r="G9" s="62" t="e">
        <f>INDEX('capacity data'!P:P,MATCH(H9,'capacity data'!R:R,0))</f>
        <v>#NUM!</v>
      </c>
      <c r="H9" s="167" t="e">
        <f>SMALL('capacity data'!R:R,4)</f>
        <v>#NUM!</v>
      </c>
    </row>
    <row r="10" spans="1:18" x14ac:dyDescent="0.15">
      <c r="B10" s="62" t="e">
        <f>INDEX('capacity data'!O:O,MATCH(C10,'capacity data'!P:P,0))</f>
        <v>#NUM!</v>
      </c>
      <c r="C10" s="62" t="e">
        <f>INDEX('capacity data'!P:P,MATCH(D10,'capacity data'!Q:Q,0))</f>
        <v>#NUM!</v>
      </c>
      <c r="D10" s="167" t="e">
        <f>LARGE('capacity data'!Q:Q,5)</f>
        <v>#NUM!</v>
      </c>
      <c r="E10" s="148"/>
      <c r="F10" s="62" t="e">
        <f>INDEX('capacity data'!O:O,MATCH(G10,'capacity data'!P:P,0))</f>
        <v>#NUM!</v>
      </c>
      <c r="G10" s="62" t="e">
        <f>INDEX('capacity data'!P:P,MATCH(H10,'capacity data'!R:R,0))</f>
        <v>#NUM!</v>
      </c>
      <c r="H10" s="167" t="e">
        <f>SMALL('capacity data'!R:R,5)</f>
        <v>#NUM!</v>
      </c>
    </row>
    <row r="11" spans="1:18" x14ac:dyDescent="0.15">
      <c r="B11" s="62" t="e">
        <f>INDEX('capacity data'!O:O,MATCH(C11,'capacity data'!P:P,0))</f>
        <v>#NUM!</v>
      </c>
      <c r="C11" s="62" t="e">
        <f>INDEX('capacity data'!P:P,MATCH(D11,'capacity data'!Q:Q,0))</f>
        <v>#NUM!</v>
      </c>
      <c r="D11" s="167" t="e">
        <f>LARGE('capacity data'!Q:Q,6)</f>
        <v>#NUM!</v>
      </c>
      <c r="E11" s="148"/>
      <c r="F11" s="62" t="e">
        <f>INDEX('capacity data'!O:O,MATCH(G11,'capacity data'!P:P,0))</f>
        <v>#NUM!</v>
      </c>
      <c r="G11" s="62" t="e">
        <f>INDEX('capacity data'!P:P,MATCH(H11,'capacity data'!R:R,0))</f>
        <v>#NUM!</v>
      </c>
      <c r="H11" s="167" t="e">
        <f>SMALL('capacity data'!R:R,6)</f>
        <v>#NUM!</v>
      </c>
    </row>
    <row r="12" spans="1:18" x14ac:dyDescent="0.15">
      <c r="B12" s="62" t="e">
        <f>INDEX('capacity data'!O:O,MATCH(C12,'capacity data'!P:P,0))</f>
        <v>#NUM!</v>
      </c>
      <c r="C12" s="62" t="e">
        <f>INDEX('capacity data'!P:P,MATCH(D12,'capacity data'!Q:Q,0))</f>
        <v>#NUM!</v>
      </c>
      <c r="D12" s="167" t="e">
        <f>LARGE('capacity data'!Q:Q,7)</f>
        <v>#NUM!</v>
      </c>
      <c r="E12" s="148"/>
      <c r="F12" s="62" t="e">
        <f>INDEX('capacity data'!O:O,MATCH(G12,'capacity data'!P:P,0))</f>
        <v>#NUM!</v>
      </c>
      <c r="G12" s="62" t="e">
        <f>INDEX('capacity data'!P:P,MATCH(H12,'capacity data'!R:R,0))</f>
        <v>#NUM!</v>
      </c>
      <c r="H12" s="167" t="e">
        <f>SMALL('capacity data'!R:R,7)</f>
        <v>#NUM!</v>
      </c>
    </row>
    <row r="13" spans="1:18" x14ac:dyDescent="0.15">
      <c r="B13" s="62" t="e">
        <f>INDEX('capacity data'!O:O,MATCH(C13,'capacity data'!P:P,0))</f>
        <v>#NUM!</v>
      </c>
      <c r="C13" s="62" t="e">
        <f>INDEX('capacity data'!P:P,MATCH(D13,'capacity data'!Q:Q,0))</f>
        <v>#NUM!</v>
      </c>
      <c r="D13" s="167" t="e">
        <f>LARGE('capacity data'!Q:Q,8)</f>
        <v>#NUM!</v>
      </c>
      <c r="E13" s="148"/>
      <c r="F13" s="62" t="e">
        <f>INDEX('capacity data'!O:O,MATCH(G13,'capacity data'!P:P,0))</f>
        <v>#NUM!</v>
      </c>
      <c r="G13" s="62" t="e">
        <f>INDEX('capacity data'!P:P,MATCH(H13,'capacity data'!R:R,0))</f>
        <v>#NUM!</v>
      </c>
      <c r="H13" s="167" t="e">
        <f>SMALL('capacity data'!R:R,8)</f>
        <v>#NUM!</v>
      </c>
    </row>
    <row r="14" spans="1:18" x14ac:dyDescent="0.15">
      <c r="B14" s="62" t="e">
        <f>INDEX('capacity data'!O:O,MATCH(C14,'capacity data'!P:P,0))</f>
        <v>#NUM!</v>
      </c>
      <c r="C14" s="62" t="e">
        <f>INDEX('capacity data'!P:P,MATCH(D14,'capacity data'!Q:Q,0))</f>
        <v>#NUM!</v>
      </c>
      <c r="D14" s="167" t="e">
        <f>LARGE('capacity data'!Q:Q,9)</f>
        <v>#NUM!</v>
      </c>
      <c r="E14" s="148"/>
      <c r="F14" s="62" t="e">
        <f>INDEX('capacity data'!O:O,MATCH(G14,'capacity data'!P:P,0))</f>
        <v>#NUM!</v>
      </c>
      <c r="G14" s="62" t="e">
        <f>INDEX('capacity data'!P:P,MATCH(H14,'capacity data'!R:R,0))</f>
        <v>#NUM!</v>
      </c>
      <c r="H14" s="167" t="e">
        <f>SMALL('capacity data'!R:R,9)</f>
        <v>#NUM!</v>
      </c>
    </row>
    <row r="15" spans="1:18" x14ac:dyDescent="0.15">
      <c r="B15" s="62" t="e">
        <f>INDEX('capacity data'!O:O,MATCH(C15,'capacity data'!P:P,0))</f>
        <v>#NUM!</v>
      </c>
      <c r="C15" s="62" t="e">
        <f>INDEX('capacity data'!P:P,MATCH(D15,'capacity data'!Q:Q,0))</f>
        <v>#NUM!</v>
      </c>
      <c r="D15" s="167" t="e">
        <f>LARGE('capacity data'!Q:Q,10)</f>
        <v>#NUM!</v>
      </c>
      <c r="E15" s="148"/>
      <c r="F15" s="62" t="e">
        <f>INDEX('capacity data'!O:O,MATCH(G15,'capacity data'!P:P,0))</f>
        <v>#NUM!</v>
      </c>
      <c r="G15" s="62" t="e">
        <f>INDEX('capacity data'!P:P,MATCH(H15,'capacity data'!R:R,0))</f>
        <v>#NUM!</v>
      </c>
      <c r="H15" s="167" t="e">
        <f>SMALL('capacity data'!R:R,10)</f>
        <v>#NUM!</v>
      </c>
    </row>
    <row r="17" spans="2:12" x14ac:dyDescent="0.15">
      <c r="B17" s="547" t="s">
        <v>1145</v>
      </c>
      <c r="C17" s="548"/>
      <c r="D17" s="549"/>
      <c r="F17" s="541" t="s">
        <v>1146</v>
      </c>
      <c r="G17" s="541"/>
      <c r="H17" s="541"/>
      <c r="J17" s="541" t="s">
        <v>1147</v>
      </c>
      <c r="K17" s="541"/>
      <c r="L17" s="541"/>
    </row>
    <row r="18" spans="2:12" ht="30.75" customHeight="1" x14ac:dyDescent="0.15">
      <c r="B18" s="550"/>
      <c r="C18" s="551"/>
      <c r="D18" s="552"/>
      <c r="F18" s="542"/>
      <c r="G18" s="542"/>
      <c r="H18" s="542"/>
      <c r="J18" s="542"/>
      <c r="K18" s="542"/>
      <c r="L18" s="542"/>
    </row>
    <row r="19" spans="2:12" ht="39" customHeight="1" x14ac:dyDescent="0.15">
      <c r="B19" s="76" t="s">
        <v>1144</v>
      </c>
      <c r="C19" s="76" t="s">
        <v>867</v>
      </c>
      <c r="D19" s="219" t="s">
        <v>1148</v>
      </c>
      <c r="F19" s="76" t="s">
        <v>1144</v>
      </c>
      <c r="G19" s="76" t="s">
        <v>867</v>
      </c>
      <c r="H19" s="76" t="s">
        <v>1149</v>
      </c>
      <c r="J19" s="76" t="s">
        <v>1144</v>
      </c>
      <c r="K19" s="76" t="s">
        <v>867</v>
      </c>
      <c r="L19" s="76" t="s">
        <v>1149</v>
      </c>
    </row>
    <row r="20" spans="2:12" x14ac:dyDescent="0.15">
      <c r="B20" s="62" t="e">
        <f>INDEX('capacity data'!O:O,MATCH(C20,'capacity data'!P:P,0))</f>
        <v>#NUM!</v>
      </c>
      <c r="C20" s="62" t="e">
        <f>INDEX('capacity data'!P:P,MATCH(D20,'capacity data'!S:S,0))</f>
        <v>#NUM!</v>
      </c>
      <c r="D20" s="167" t="e">
        <f>LARGE('capacity data'!S:S,1)</f>
        <v>#NUM!</v>
      </c>
      <c r="F20" s="62" t="e">
        <f>INDEX('capacity data'!O:O,MATCH(H20,'capacity data'!T:T,0))</f>
        <v>#NUM!</v>
      </c>
      <c r="G20" s="62" t="e">
        <f>INDEX('capacity data'!P:P,MATCH(H20,'capacity data'!T:T,0))</f>
        <v>#NUM!</v>
      </c>
      <c r="H20" s="66" t="e">
        <f>LARGE('capacity data'!$T:$T,1)</f>
        <v>#NUM!</v>
      </c>
      <c r="J20" s="62" t="e">
        <f>INDEX('capacity data'!O:O,MATCH(L20,'capacity data'!T:T,0))</f>
        <v>#NUM!</v>
      </c>
      <c r="K20" s="62" t="e">
        <f>INDEX('capacity data'!P:P,MATCH(L20,'capacity data'!T:T,0))</f>
        <v>#NUM!</v>
      </c>
      <c r="L20" s="66" t="e">
        <f>SMALL('capacity data'!$T:$T,1)</f>
        <v>#NUM!</v>
      </c>
    </row>
    <row r="21" spans="2:12" x14ac:dyDescent="0.15">
      <c r="B21" s="62" t="e">
        <f>INDEX('capacity data'!O:O,MATCH(C21,'capacity data'!P:P,0))</f>
        <v>#NUM!</v>
      </c>
      <c r="C21" s="62" t="e">
        <f>INDEX('capacity data'!P:P,MATCH(D21,'capacity data'!S:S,0))</f>
        <v>#NUM!</v>
      </c>
      <c r="D21" s="167" t="e">
        <f>LARGE('capacity data'!S:S,2)</f>
        <v>#NUM!</v>
      </c>
      <c r="F21" s="62" t="e">
        <f>INDEX('capacity data'!O:O,MATCH(H21,'capacity data'!T:T,0))</f>
        <v>#NUM!</v>
      </c>
      <c r="G21" s="62" t="e">
        <f>INDEX('capacity data'!P:P,MATCH(H21,'capacity data'!T:T,0))</f>
        <v>#NUM!</v>
      </c>
      <c r="H21" s="66" t="e">
        <f>LARGE('capacity data'!$T:$T,2)</f>
        <v>#NUM!</v>
      </c>
      <c r="J21" s="62" t="e">
        <f>INDEX('capacity data'!O:O,MATCH(L21,'capacity data'!T:T,0))</f>
        <v>#NUM!</v>
      </c>
      <c r="K21" s="62" t="e">
        <f>INDEX('capacity data'!P:P,MATCH(L21,'capacity data'!T:T,0))</f>
        <v>#NUM!</v>
      </c>
      <c r="L21" s="66" t="e">
        <f>SMALL('capacity data'!$T:$T,2)</f>
        <v>#NUM!</v>
      </c>
    </row>
    <row r="22" spans="2:12" x14ac:dyDescent="0.15">
      <c r="B22" s="62" t="e">
        <f>INDEX('capacity data'!O:O,MATCH(C22,'capacity data'!P:P,0))</f>
        <v>#NUM!</v>
      </c>
      <c r="C22" s="62" t="e">
        <f>INDEX('capacity data'!P:P,MATCH(D22,'capacity data'!S:S,0))</f>
        <v>#NUM!</v>
      </c>
      <c r="D22" s="167" t="e">
        <f>LARGE('capacity data'!S:S,3)</f>
        <v>#NUM!</v>
      </c>
      <c r="F22" s="62" t="e">
        <f>INDEX('capacity data'!O:O,MATCH(H22,'capacity data'!T:T,0))</f>
        <v>#NUM!</v>
      </c>
      <c r="G22" s="62" t="e">
        <f>INDEX('capacity data'!P:P,MATCH(H22,'capacity data'!T:T,0))</f>
        <v>#NUM!</v>
      </c>
      <c r="H22" s="66" t="e">
        <f>LARGE('capacity data'!$T:$T,3)</f>
        <v>#NUM!</v>
      </c>
      <c r="J22" s="62" t="e">
        <f>INDEX('capacity data'!O:O,MATCH(L22,'capacity data'!T:T,0))</f>
        <v>#NUM!</v>
      </c>
      <c r="K22" s="62" t="e">
        <f>INDEX('capacity data'!P:P,MATCH(L22,'capacity data'!T:T,0))</f>
        <v>#NUM!</v>
      </c>
      <c r="L22" s="66" t="e">
        <f>SMALL('capacity data'!$T:$T,3)</f>
        <v>#NUM!</v>
      </c>
    </row>
    <row r="23" spans="2:12" x14ac:dyDescent="0.15">
      <c r="B23" s="62" t="e">
        <f>INDEX('capacity data'!O:O,MATCH(C23,'capacity data'!P:P,0))</f>
        <v>#NUM!</v>
      </c>
      <c r="C23" s="62" t="e">
        <f>INDEX('capacity data'!P:P,MATCH(D23,'capacity data'!S:S,0))</f>
        <v>#NUM!</v>
      </c>
      <c r="D23" s="167" t="e">
        <f>LARGE('capacity data'!S:S,4)</f>
        <v>#NUM!</v>
      </c>
      <c r="F23" s="62" t="e">
        <f>INDEX('capacity data'!O:O,MATCH(H23,'capacity data'!T:T,0))</f>
        <v>#NUM!</v>
      </c>
      <c r="G23" s="62" t="e">
        <f>INDEX('capacity data'!P:P,MATCH(H23,'capacity data'!T:T,0))</f>
        <v>#NUM!</v>
      </c>
      <c r="H23" s="66" t="e">
        <f>LARGE('capacity data'!$T:$T,4)</f>
        <v>#NUM!</v>
      </c>
      <c r="J23" s="62" t="e">
        <f>INDEX('capacity data'!O:O,MATCH(L23,'capacity data'!T:T,0))</f>
        <v>#NUM!</v>
      </c>
      <c r="K23" s="62" t="e">
        <f>INDEX('capacity data'!P:P,MATCH(L23,'capacity data'!T:T,0))</f>
        <v>#NUM!</v>
      </c>
      <c r="L23" s="66" t="e">
        <f>SMALL('capacity data'!$T:$T,4)</f>
        <v>#NUM!</v>
      </c>
    </row>
    <row r="24" spans="2:12" x14ac:dyDescent="0.15">
      <c r="B24" s="62" t="e">
        <f>INDEX('capacity data'!O:O,MATCH(C24,'capacity data'!P:P,0))</f>
        <v>#NUM!</v>
      </c>
      <c r="C24" s="62" t="e">
        <f>INDEX('capacity data'!P:P,MATCH(D24,'capacity data'!S:S,0))</f>
        <v>#NUM!</v>
      </c>
      <c r="D24" s="167" t="e">
        <f>LARGE('capacity data'!S:S,5)</f>
        <v>#NUM!</v>
      </c>
      <c r="F24" s="62" t="e">
        <f>INDEX('capacity data'!O:O,MATCH(H24,'capacity data'!T:T,0))</f>
        <v>#NUM!</v>
      </c>
      <c r="G24" s="62" t="e">
        <f>INDEX('capacity data'!P:P,MATCH(H24,'capacity data'!T:T,0))</f>
        <v>#NUM!</v>
      </c>
      <c r="H24" s="66" t="e">
        <f>LARGE('capacity data'!$T:$T,5)</f>
        <v>#NUM!</v>
      </c>
      <c r="J24" s="62" t="e">
        <f>INDEX('capacity data'!O:O,MATCH(L24,'capacity data'!T:T,0))</f>
        <v>#NUM!</v>
      </c>
      <c r="K24" s="62" t="e">
        <f>INDEX('capacity data'!P:P,MATCH(L24,'capacity data'!T:T,0))</f>
        <v>#NUM!</v>
      </c>
      <c r="L24" s="66" t="e">
        <f>SMALL('capacity data'!$T:$T,5)</f>
        <v>#NUM!</v>
      </c>
    </row>
    <row r="25" spans="2:12" x14ac:dyDescent="0.15">
      <c r="B25" s="62" t="e">
        <f>INDEX('capacity data'!O:O,MATCH(C25,'capacity data'!P:P,0))</f>
        <v>#NUM!</v>
      </c>
      <c r="C25" s="62" t="e">
        <f>INDEX('capacity data'!P:P,MATCH(D25,'capacity data'!S:S,0))</f>
        <v>#NUM!</v>
      </c>
      <c r="D25" s="167" t="e">
        <f>LARGE('capacity data'!S:S,6)</f>
        <v>#NUM!</v>
      </c>
      <c r="F25" s="62" t="e">
        <f>INDEX('capacity data'!O:O,MATCH(H25,'capacity data'!T:T,0))</f>
        <v>#NUM!</v>
      </c>
      <c r="G25" s="62" t="e">
        <f>INDEX('capacity data'!P:P,MATCH(H25,'capacity data'!T:T,0))</f>
        <v>#NUM!</v>
      </c>
      <c r="H25" s="66" t="e">
        <f>LARGE('capacity data'!$T:$T,6)</f>
        <v>#NUM!</v>
      </c>
      <c r="J25" s="62" t="e">
        <f>INDEX('capacity data'!O:O,MATCH(L25,'capacity data'!T:T,0))</f>
        <v>#NUM!</v>
      </c>
      <c r="K25" s="62" t="e">
        <f>INDEX('capacity data'!P:P,MATCH(L25,'capacity data'!T:T,0))</f>
        <v>#NUM!</v>
      </c>
      <c r="L25" s="66" t="e">
        <f>SMALL('capacity data'!$T:$T,6)</f>
        <v>#NUM!</v>
      </c>
    </row>
    <row r="26" spans="2:12" x14ac:dyDescent="0.15">
      <c r="B26" s="62" t="e">
        <f>INDEX('capacity data'!O:O,MATCH(C26,'capacity data'!P:P,0))</f>
        <v>#NUM!</v>
      </c>
      <c r="C26" s="62" t="e">
        <f>INDEX('capacity data'!P:P,MATCH(D26,'capacity data'!S:S,0))</f>
        <v>#NUM!</v>
      </c>
      <c r="D26" s="167" t="e">
        <f>LARGE('capacity data'!S:S,7)</f>
        <v>#NUM!</v>
      </c>
      <c r="F26" s="62" t="e">
        <f>INDEX('capacity data'!O:O,MATCH(H26,'capacity data'!T:T,0))</f>
        <v>#NUM!</v>
      </c>
      <c r="G26" s="62" t="e">
        <f>INDEX('capacity data'!P:P,MATCH(H26,'capacity data'!T:T,0))</f>
        <v>#NUM!</v>
      </c>
      <c r="H26" s="66" t="e">
        <f>LARGE('capacity data'!$T:$T,7)</f>
        <v>#NUM!</v>
      </c>
      <c r="J26" s="62" t="e">
        <f>INDEX('capacity data'!O:O,MATCH(L26,'capacity data'!T:T,0))</f>
        <v>#NUM!</v>
      </c>
      <c r="K26" s="62" t="e">
        <f>INDEX('capacity data'!P:P,MATCH(L26,'capacity data'!T:T,0))</f>
        <v>#NUM!</v>
      </c>
      <c r="L26" s="66" t="e">
        <f>SMALL('capacity data'!$T:$T,7)</f>
        <v>#NUM!</v>
      </c>
    </row>
    <row r="27" spans="2:12" x14ac:dyDescent="0.15">
      <c r="B27" s="62" t="e">
        <f>INDEX('capacity data'!O:O,MATCH(C27,'capacity data'!P:P,0))</f>
        <v>#NUM!</v>
      </c>
      <c r="C27" s="62" t="e">
        <f>INDEX('capacity data'!P:P,MATCH(D27,'capacity data'!S:S,0))</f>
        <v>#NUM!</v>
      </c>
      <c r="D27" s="167" t="e">
        <f>LARGE('capacity data'!S:S,8)</f>
        <v>#NUM!</v>
      </c>
      <c r="F27" s="62" t="e">
        <f>INDEX('capacity data'!O:O,MATCH(H27,'capacity data'!T:T,0))</f>
        <v>#NUM!</v>
      </c>
      <c r="G27" s="62" t="e">
        <f>INDEX('capacity data'!P:P,MATCH(H27,'capacity data'!T:T,0))</f>
        <v>#NUM!</v>
      </c>
      <c r="H27" s="66" t="e">
        <f>LARGE('capacity data'!$T:$T,8)</f>
        <v>#NUM!</v>
      </c>
      <c r="J27" s="62" t="e">
        <f>INDEX('capacity data'!O:O,MATCH(L27,'capacity data'!T:T,0))</f>
        <v>#NUM!</v>
      </c>
      <c r="K27" s="62" t="e">
        <f>INDEX('capacity data'!P:P,MATCH(L27,'capacity data'!T:T,0))</f>
        <v>#NUM!</v>
      </c>
      <c r="L27" s="66" t="e">
        <f>SMALL('capacity data'!$T:$T,8)</f>
        <v>#NUM!</v>
      </c>
    </row>
    <row r="28" spans="2:12" x14ac:dyDescent="0.15">
      <c r="B28" s="62" t="e">
        <f>INDEX('capacity data'!O:O,MATCH(C28,'capacity data'!P:P,0))</f>
        <v>#NUM!</v>
      </c>
      <c r="C28" s="62" t="e">
        <f>INDEX('capacity data'!P:P,MATCH(D28,'capacity data'!S:S,0))</f>
        <v>#NUM!</v>
      </c>
      <c r="D28" s="167" t="e">
        <f>LARGE('capacity data'!S:S,9)</f>
        <v>#NUM!</v>
      </c>
      <c r="F28" s="62" t="e">
        <f>INDEX('capacity data'!O:O,MATCH(H28,'capacity data'!T:T,0))</f>
        <v>#NUM!</v>
      </c>
      <c r="G28" s="62" t="e">
        <f>INDEX('capacity data'!P:P,MATCH(H28,'capacity data'!T:T,0))</f>
        <v>#NUM!</v>
      </c>
      <c r="H28" s="66" t="e">
        <f>LARGE('capacity data'!$T:$T,9)</f>
        <v>#NUM!</v>
      </c>
      <c r="J28" s="62" t="e">
        <f>INDEX('capacity data'!O:O,MATCH(L28,'capacity data'!T:T,0))</f>
        <v>#NUM!</v>
      </c>
      <c r="K28" s="62" t="e">
        <f>INDEX('capacity data'!P:P,MATCH(L28,'capacity data'!T:T,0))</f>
        <v>#NUM!</v>
      </c>
      <c r="L28" s="66" t="e">
        <f>SMALL('capacity data'!$T:$T,9)</f>
        <v>#NUM!</v>
      </c>
    </row>
    <row r="29" spans="2:12" x14ac:dyDescent="0.15">
      <c r="B29" s="62" t="e">
        <f>INDEX('capacity data'!O:O,MATCH(C29,'capacity data'!P:P,0))</f>
        <v>#NUM!</v>
      </c>
      <c r="C29" s="62" t="e">
        <f>INDEX('capacity data'!P:P,MATCH(D29,'capacity data'!S:S,0))</f>
        <v>#NUM!</v>
      </c>
      <c r="D29" s="167" t="e">
        <f>LARGE('capacity data'!S:S,10)</f>
        <v>#NUM!</v>
      </c>
      <c r="F29" s="62" t="e">
        <f>INDEX('capacity data'!O:O,MATCH(H29,'capacity data'!T:T,0))</f>
        <v>#NUM!</v>
      </c>
      <c r="G29" s="62" t="e">
        <f>INDEX('capacity data'!P:P,MATCH(H29,'capacity data'!T:T,0))</f>
        <v>#NUM!</v>
      </c>
      <c r="H29" s="66" t="e">
        <f>LARGE('capacity data'!$T:$T,10)</f>
        <v>#NUM!</v>
      </c>
      <c r="J29" s="62" t="e">
        <f>INDEX('capacity data'!O:O,MATCH(L29,'capacity data'!T:T,0))</f>
        <v>#NUM!</v>
      </c>
      <c r="K29" s="62" t="e">
        <f>INDEX('capacity data'!P:P,MATCH(L29,'capacity data'!T:T,0))</f>
        <v>#NUM!</v>
      </c>
      <c r="L29" s="66" t="e">
        <f>SMALL('capacity data'!$T:$T,10)</f>
        <v>#NUM!</v>
      </c>
    </row>
    <row r="32" spans="2:12" x14ac:dyDescent="0.15">
      <c r="B32" s="541" t="s">
        <v>1150</v>
      </c>
      <c r="C32" s="541"/>
      <c r="D32" s="541"/>
      <c r="F32" s="541" t="s">
        <v>1151</v>
      </c>
      <c r="G32" s="541"/>
      <c r="H32" s="541"/>
    </row>
    <row r="33" spans="2:8" ht="30" customHeight="1" x14ac:dyDescent="0.15">
      <c r="B33" s="542"/>
      <c r="C33" s="542"/>
      <c r="D33" s="542"/>
      <c r="F33" s="542"/>
      <c r="G33" s="542"/>
      <c r="H33" s="542"/>
    </row>
    <row r="34" spans="2:8" x14ac:dyDescent="0.15">
      <c r="B34" s="76" t="s">
        <v>1144</v>
      </c>
      <c r="C34" s="76" t="s">
        <v>867</v>
      </c>
      <c r="D34" s="76" t="s">
        <v>1149</v>
      </c>
      <c r="F34" s="76" t="s">
        <v>1144</v>
      </c>
      <c r="G34" s="76" t="s">
        <v>867</v>
      </c>
      <c r="H34" s="76" t="s">
        <v>1149</v>
      </c>
    </row>
    <row r="35" spans="2:8" x14ac:dyDescent="0.15">
      <c r="B35" s="62" t="e">
        <f>INDEX('capacity data'!O:O,MATCH(D35,'capacity data'!U:U,0))</f>
        <v>#NUM!</v>
      </c>
      <c r="C35" s="62" t="e">
        <f>INDEX('capacity data'!$P:$P,MATCH(D35,'capacity data'!U:U,0))</f>
        <v>#NUM!</v>
      </c>
      <c r="D35" s="66" t="e">
        <f>LARGE('capacity data'!$U:$U,1)</f>
        <v>#NUM!</v>
      </c>
      <c r="F35" s="62" t="e">
        <f>INDEX('capacity data'!$O:$O,MATCH(H35,'capacity data'!$U:$U,0))</f>
        <v>#NUM!</v>
      </c>
      <c r="G35" s="62" t="e">
        <f>INDEX('capacity data'!$P:$P,MATCH(H35,'capacity data'!$U:$U,0))</f>
        <v>#NUM!</v>
      </c>
      <c r="H35" s="66" t="e">
        <f>SMALL('capacity data'!$U:$U,1)</f>
        <v>#NUM!</v>
      </c>
    </row>
    <row r="36" spans="2:8" x14ac:dyDescent="0.15">
      <c r="B36" s="62" t="e">
        <f>INDEX('capacity data'!O:O,MATCH(D36,'capacity data'!U:U,0))</f>
        <v>#NUM!</v>
      </c>
      <c r="C36" s="62" t="e">
        <f>INDEX('capacity data'!$P:$P,MATCH(D36,'capacity data'!U:U,0))</f>
        <v>#NUM!</v>
      </c>
      <c r="D36" s="66" t="e">
        <f>LARGE('capacity data'!$U:$U,2)</f>
        <v>#NUM!</v>
      </c>
      <c r="F36" s="62" t="e">
        <f>INDEX('capacity data'!$O:$O,MATCH(H36,'capacity data'!$U:$U,0))</f>
        <v>#NUM!</v>
      </c>
      <c r="G36" s="62" t="e">
        <f>INDEX('capacity data'!$P:$P,MATCH(H36,'capacity data'!$U:$U,0))</f>
        <v>#NUM!</v>
      </c>
      <c r="H36" s="66" t="e">
        <f>SMALL('capacity data'!$U:$U,2)</f>
        <v>#NUM!</v>
      </c>
    </row>
    <row r="37" spans="2:8" x14ac:dyDescent="0.15">
      <c r="B37" s="62" t="e">
        <f>INDEX('capacity data'!O:O,MATCH(D37,'capacity data'!U:U,0))</f>
        <v>#NUM!</v>
      </c>
      <c r="C37" s="62" t="e">
        <f>INDEX('capacity data'!$P:$P,MATCH(D37,'capacity data'!U:U,0))</f>
        <v>#NUM!</v>
      </c>
      <c r="D37" s="66" t="e">
        <f>LARGE('capacity data'!$U:$U,3)</f>
        <v>#NUM!</v>
      </c>
      <c r="F37" s="62" t="e">
        <f>INDEX('capacity data'!$O:$O,MATCH(H37,'capacity data'!$U:$U,0))</f>
        <v>#NUM!</v>
      </c>
      <c r="G37" s="62" t="e">
        <f>INDEX('capacity data'!$P:$P,MATCH(H37,'capacity data'!$U:$U,0))</f>
        <v>#NUM!</v>
      </c>
      <c r="H37" s="66" t="e">
        <f>SMALL('capacity data'!$U:$U,3)</f>
        <v>#NUM!</v>
      </c>
    </row>
    <row r="38" spans="2:8" x14ac:dyDescent="0.15">
      <c r="B38" s="62" t="e">
        <f>INDEX('capacity data'!O:O,MATCH(D38,'capacity data'!U:U,0))</f>
        <v>#NUM!</v>
      </c>
      <c r="C38" s="62" t="e">
        <f>INDEX('capacity data'!$P:$P,MATCH(D38,'capacity data'!U:U,0))</f>
        <v>#NUM!</v>
      </c>
      <c r="D38" s="66" t="e">
        <f>LARGE('capacity data'!$U:$U,4)</f>
        <v>#NUM!</v>
      </c>
      <c r="F38" s="62" t="e">
        <f>INDEX('capacity data'!$O:$O,MATCH(H38,'capacity data'!$U:$U,0))</f>
        <v>#NUM!</v>
      </c>
      <c r="G38" s="62" t="e">
        <f>INDEX('capacity data'!$P:$P,MATCH(H38,'capacity data'!$U:$U,0))</f>
        <v>#NUM!</v>
      </c>
      <c r="H38" s="66" t="e">
        <f>SMALL('capacity data'!$U:$U,4)</f>
        <v>#NUM!</v>
      </c>
    </row>
    <row r="39" spans="2:8" x14ac:dyDescent="0.15">
      <c r="B39" s="62" t="e">
        <f>INDEX('capacity data'!O:O,MATCH(D39,'capacity data'!U:U,0))</f>
        <v>#NUM!</v>
      </c>
      <c r="C39" s="62" t="e">
        <f>INDEX('capacity data'!$P:$P,MATCH(D39,'capacity data'!U:U,0))</f>
        <v>#NUM!</v>
      </c>
      <c r="D39" s="66" t="e">
        <f>LARGE('capacity data'!$U:$U,5)</f>
        <v>#NUM!</v>
      </c>
      <c r="F39" s="62" t="e">
        <f>INDEX('capacity data'!$O:$O,MATCH(H39,'capacity data'!$U:$U,0))</f>
        <v>#NUM!</v>
      </c>
      <c r="G39" s="62" t="e">
        <f>INDEX('capacity data'!$P:$P,MATCH(H39,'capacity data'!$U:$U,0))</f>
        <v>#NUM!</v>
      </c>
      <c r="H39" s="66" t="e">
        <f>SMALL('capacity data'!$U:$U,5)</f>
        <v>#NUM!</v>
      </c>
    </row>
    <row r="40" spans="2:8" x14ac:dyDescent="0.15">
      <c r="B40" s="62" t="e">
        <f>INDEX('capacity data'!O:O,MATCH(D40,'capacity data'!U:U,0))</f>
        <v>#NUM!</v>
      </c>
      <c r="C40" s="62" t="e">
        <f>INDEX('capacity data'!$P:$P,MATCH(D40,'capacity data'!U:U,0))</f>
        <v>#NUM!</v>
      </c>
      <c r="D40" s="66" t="e">
        <f>LARGE('capacity data'!$U:$U,6)</f>
        <v>#NUM!</v>
      </c>
      <c r="F40" s="62" t="e">
        <f>INDEX('capacity data'!$O:$O,MATCH(H40,'capacity data'!$U:$U,0))</f>
        <v>#NUM!</v>
      </c>
      <c r="G40" s="62" t="e">
        <f>INDEX('capacity data'!$P:$P,MATCH(H40,'capacity data'!$U:$U,0))</f>
        <v>#NUM!</v>
      </c>
      <c r="H40" s="66" t="e">
        <f>SMALL('capacity data'!$U:$U,6)</f>
        <v>#NUM!</v>
      </c>
    </row>
    <row r="41" spans="2:8" x14ac:dyDescent="0.15">
      <c r="B41" s="62" t="e">
        <f>INDEX('capacity data'!O:O,MATCH(D41,'capacity data'!U:U,0))</f>
        <v>#NUM!</v>
      </c>
      <c r="C41" s="62" t="e">
        <f>INDEX('capacity data'!$P:$P,MATCH(D41,'capacity data'!U:U,0))</f>
        <v>#NUM!</v>
      </c>
      <c r="D41" s="66" t="e">
        <f>LARGE('capacity data'!$U:$U,7)</f>
        <v>#NUM!</v>
      </c>
      <c r="F41" s="62" t="e">
        <f>INDEX('capacity data'!$O:$O,MATCH(H41,'capacity data'!$U:$U,0))</f>
        <v>#NUM!</v>
      </c>
      <c r="G41" s="62" t="e">
        <f>INDEX('capacity data'!$P:$P,MATCH(H41,'capacity data'!$U:$U,0))</f>
        <v>#NUM!</v>
      </c>
      <c r="H41" s="66" t="e">
        <f>SMALL('capacity data'!$U:$U,7)</f>
        <v>#NUM!</v>
      </c>
    </row>
    <row r="42" spans="2:8" x14ac:dyDescent="0.15">
      <c r="B42" s="62" t="e">
        <f>INDEX('capacity data'!O:O,MATCH(D42,'capacity data'!U:U,0))</f>
        <v>#NUM!</v>
      </c>
      <c r="C42" s="62" t="e">
        <f>INDEX('capacity data'!$P:$P,MATCH(D42,'capacity data'!U:U,0))</f>
        <v>#NUM!</v>
      </c>
      <c r="D42" s="66" t="e">
        <f>LARGE('capacity data'!$U:$U,8)</f>
        <v>#NUM!</v>
      </c>
      <c r="F42" s="62" t="e">
        <f>INDEX('capacity data'!$O:$O,MATCH(H42,'capacity data'!$U:$U,0))</f>
        <v>#NUM!</v>
      </c>
      <c r="G42" s="62" t="e">
        <f>INDEX('capacity data'!$P:$P,MATCH(H42,'capacity data'!$U:$U,0))</f>
        <v>#NUM!</v>
      </c>
      <c r="H42" s="66" t="e">
        <f>SMALL('capacity data'!$U:$U,8)</f>
        <v>#NUM!</v>
      </c>
    </row>
    <row r="43" spans="2:8" x14ac:dyDescent="0.15">
      <c r="B43" s="62" t="e">
        <f>INDEX('capacity data'!O:O,MATCH(D43,'capacity data'!U:U,0))</f>
        <v>#NUM!</v>
      </c>
      <c r="C43" s="62" t="e">
        <f>INDEX('capacity data'!$P:$P,MATCH(D43,'capacity data'!U:U,0))</f>
        <v>#NUM!</v>
      </c>
      <c r="D43" s="66" t="e">
        <f>LARGE('capacity data'!$U:$U,9)</f>
        <v>#NUM!</v>
      </c>
      <c r="F43" s="62" t="e">
        <f>INDEX('capacity data'!$O:$O,MATCH(H43,'capacity data'!$U:$U,0))</f>
        <v>#NUM!</v>
      </c>
      <c r="G43" s="62" t="e">
        <f>INDEX('capacity data'!$P:$P,MATCH(H43,'capacity data'!$U:$U,0))</f>
        <v>#NUM!</v>
      </c>
      <c r="H43" s="66" t="e">
        <f>SMALL('capacity data'!$U:$U,9)</f>
        <v>#NUM!</v>
      </c>
    </row>
    <row r="44" spans="2:8" x14ac:dyDescent="0.15">
      <c r="B44" s="62" t="e">
        <f>INDEX('capacity data'!O:O,MATCH(D44,'capacity data'!U:U,0))</f>
        <v>#NUM!</v>
      </c>
      <c r="C44" s="62" t="e">
        <f>INDEX('capacity data'!$P:$P,MATCH(D44,'capacity data'!U:U,0))</f>
        <v>#NUM!</v>
      </c>
      <c r="D44" s="66" t="e">
        <f>LARGE('capacity data'!$U:$U,10)</f>
        <v>#NUM!</v>
      </c>
      <c r="F44" s="62" t="e">
        <f>INDEX('capacity data'!$O:$O,MATCH(H44,'capacity data'!$U:$U,0))</f>
        <v>#NUM!</v>
      </c>
      <c r="G44" s="62" t="e">
        <f>INDEX('capacity data'!$P:$P,MATCH(H44,'capacity data'!$U:$U,0))</f>
        <v>#NUM!</v>
      </c>
      <c r="H44" s="66"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sqref="A1:L1"/>
    </sheetView>
  </sheetViews>
  <sheetFormatPr baseColWidth="10" defaultColWidth="8.83203125" defaultRowHeight="14" x14ac:dyDescent="0.15"/>
  <cols>
    <col min="1" max="1" width="1.5" customWidth="1"/>
    <col min="2" max="2" width="29.5" bestFit="1" customWidth="1"/>
    <col min="3" max="3" width="13.83203125" customWidth="1"/>
    <col min="4" max="4" width="17.5" customWidth="1"/>
    <col min="5" max="5" width="19.33203125" customWidth="1"/>
    <col min="6" max="6" width="16" customWidth="1"/>
    <col min="7" max="7" width="13.83203125" customWidth="1"/>
    <col min="8" max="8" width="35.1640625" customWidth="1"/>
    <col min="9" max="9" width="14.33203125" customWidth="1"/>
    <col min="10" max="10" width="19.5" customWidth="1"/>
    <col min="11" max="11" width="18.1640625" customWidth="1"/>
    <col min="12" max="12" width="16.83203125" customWidth="1"/>
    <col min="13" max="13" width="14" customWidth="1"/>
    <col min="14" max="14" width="11.83203125" customWidth="1"/>
    <col min="15" max="15" width="35.1640625" bestFit="1" customWidth="1"/>
  </cols>
  <sheetData>
    <row r="1" spans="1:17" ht="47.25" customHeight="1" x14ac:dyDescent="0.15">
      <c r="A1" s="531" t="s">
        <v>1152</v>
      </c>
      <c r="B1" s="531"/>
      <c r="C1" s="531"/>
      <c r="D1" s="531"/>
      <c r="E1" s="531"/>
      <c r="F1" s="531"/>
      <c r="G1" s="531"/>
      <c r="H1" s="531"/>
      <c r="I1" s="531"/>
      <c r="J1" s="531"/>
      <c r="K1" s="531"/>
      <c r="L1" s="531"/>
      <c r="M1" s="261"/>
      <c r="N1" s="261"/>
      <c r="O1" s="261"/>
      <c r="P1" s="261"/>
      <c r="Q1" s="261"/>
    </row>
    <row r="2" spans="1:17" ht="41.25" customHeight="1" x14ac:dyDescent="0.15">
      <c r="A2" s="424"/>
      <c r="B2" s="424"/>
      <c r="C2" s="424"/>
      <c r="D2" s="424"/>
      <c r="E2" s="424"/>
      <c r="F2" s="424"/>
      <c r="G2" s="424"/>
      <c r="H2" s="424"/>
      <c r="I2" s="424"/>
      <c r="J2" s="424"/>
      <c r="K2" s="424"/>
      <c r="L2" s="424"/>
      <c r="M2" s="267"/>
      <c r="N2" s="267"/>
      <c r="O2" s="267"/>
      <c r="P2" s="267"/>
      <c r="Q2" s="267"/>
    </row>
    <row r="3" spans="1:17" ht="30" customHeight="1" x14ac:dyDescent="0.15">
      <c r="B3" s="19"/>
      <c r="C3" s="19"/>
      <c r="D3" s="19"/>
      <c r="E3" s="19"/>
      <c r="F3" s="19"/>
      <c r="G3" s="19"/>
      <c r="H3" s="19"/>
      <c r="I3" s="19"/>
      <c r="J3" s="19"/>
      <c r="K3" s="19"/>
      <c r="L3" s="19"/>
      <c r="M3" s="19"/>
      <c r="N3" s="19"/>
      <c r="O3" s="19"/>
    </row>
    <row r="4" spans="1:17" ht="17" thickBot="1" x14ac:dyDescent="0.25">
      <c r="B4" s="553" t="s">
        <v>1153</v>
      </c>
      <c r="C4" s="554"/>
      <c r="D4" s="554"/>
      <c r="E4" s="554"/>
      <c r="F4" s="554"/>
      <c r="G4" s="33"/>
      <c r="H4" s="557" t="s">
        <v>1154</v>
      </c>
      <c r="I4" s="558"/>
      <c r="J4" s="558"/>
      <c r="K4" s="558"/>
      <c r="L4" s="558"/>
      <c r="O4" s="33"/>
    </row>
    <row r="5" spans="1:17" ht="42" x14ac:dyDescent="0.15">
      <c r="B5" s="168"/>
      <c r="C5" s="192" t="s">
        <v>1155</v>
      </c>
      <c r="D5" s="192" t="s">
        <v>954</v>
      </c>
      <c r="E5" s="193" t="s">
        <v>1156</v>
      </c>
      <c r="F5" s="157" t="s">
        <v>1157</v>
      </c>
      <c r="G5" s="153"/>
      <c r="H5" s="168"/>
      <c r="I5" s="157" t="s">
        <v>1158</v>
      </c>
      <c r="J5" s="157" t="s">
        <v>1159</v>
      </c>
      <c r="K5" s="157" t="s">
        <v>1160</v>
      </c>
      <c r="L5" s="157" t="s">
        <v>1161</v>
      </c>
      <c r="O5" s="34"/>
    </row>
    <row r="6" spans="1:17" ht="16" x14ac:dyDescent="0.2">
      <c r="B6" s="141" t="s">
        <v>17</v>
      </c>
      <c r="C6" s="75">
        <f>COUNTIFS('capacity data'!A:A,B6,'capacity data'!E:E,"PO")</f>
        <v>0</v>
      </c>
      <c r="D6" s="75">
        <f>COUNTIFS('capacity data'!A:A,B6,'capacity data'!E:E,"PO",'capacity data'!F:F,"&gt;110%")</f>
        <v>0</v>
      </c>
      <c r="E6" s="67" t="e">
        <f>D6/C6</f>
        <v>#DIV/0!</v>
      </c>
      <c r="F6" s="67" t="e">
        <f t="array" ref="F6">LARGE(IF('capacity data'!A:A=B6,IF('capacity data'!E:E="PO",'capacity data'!F:F)),1)</f>
        <v>#NUM!</v>
      </c>
      <c r="G6" s="169"/>
      <c r="H6" s="141" t="s">
        <v>17</v>
      </c>
      <c r="I6" s="75">
        <f>COUNTIFS('capacity data'!A:A,H6,'capacity data'!E:E,"PSO")</f>
        <v>0</v>
      </c>
      <c r="J6" s="75">
        <f>COUNTIFS('capacity data'!A:A,H6,'capacity data'!E:E,"PSO",'capacity data'!F:F,"&gt;110%")</f>
        <v>0</v>
      </c>
      <c r="K6" s="67" t="e">
        <f>J6/I6</f>
        <v>#DIV/0!</v>
      </c>
      <c r="L6" s="67" t="e">
        <f t="array" ref="L6">LARGE(IF('capacity data'!A:A=H6,IF('capacity data'!E:E="PSO",'capacity data'!F:F)),1)</f>
        <v>#NUM!</v>
      </c>
      <c r="O6" s="2"/>
    </row>
    <row r="7" spans="1:17" ht="16" x14ac:dyDescent="0.2">
      <c r="B7" s="141" t="s">
        <v>18</v>
      </c>
      <c r="C7" s="75">
        <f>COUNTIFS('capacity data'!A:A,B7,'capacity data'!E:E,"PO")</f>
        <v>0</v>
      </c>
      <c r="D7" s="75">
        <f>COUNTIFS('capacity data'!A:A,B7,'capacity data'!E:E,"PO",'capacity data'!F:F,"&gt;110%")</f>
        <v>0</v>
      </c>
      <c r="E7" s="67" t="e">
        <f t="shared" ref="E7:E17" si="0">D7/C7</f>
        <v>#DIV/0!</v>
      </c>
      <c r="F7" s="67" t="e">
        <f t="array" ref="F7">LARGE(IF('capacity data'!A:A=B7,IF('capacity data'!E:E="PO",'capacity data'!F:F)),1)</f>
        <v>#NUM!</v>
      </c>
      <c r="G7" s="169"/>
      <c r="H7" s="141" t="s">
        <v>18</v>
      </c>
      <c r="I7" s="75">
        <f>COUNTIFS('capacity data'!A:A,H7,'capacity data'!E:E,"PSO")</f>
        <v>0</v>
      </c>
      <c r="J7" s="75">
        <f>COUNTIFS('capacity data'!A:A,H7,'capacity data'!E:E,"PSO",'capacity data'!F:F,"&gt;110%")</f>
        <v>0</v>
      </c>
      <c r="K7" s="67" t="e">
        <f t="shared" ref="K7:K17" si="1">J7/I7</f>
        <v>#DIV/0!</v>
      </c>
      <c r="L7" s="67" t="e">
        <f t="array" ref="L7">LARGE(IF('capacity data'!A:A=H7,IF('capacity data'!E:E="PSO",'capacity data'!F:F)),1)</f>
        <v>#NUM!</v>
      </c>
      <c r="O7" s="2"/>
    </row>
    <row r="8" spans="1:17" ht="16" x14ac:dyDescent="0.2">
      <c r="B8" s="141" t="s">
        <v>19</v>
      </c>
      <c r="C8" s="75">
        <f>COUNTIFS('capacity data'!A:A,B8,'capacity data'!E:E,"PO")</f>
        <v>0</v>
      </c>
      <c r="D8" s="75">
        <f>COUNTIFS('capacity data'!A:A,B8,'capacity data'!E:E,"PO",'capacity data'!F:F,"&gt;110%")</f>
        <v>0</v>
      </c>
      <c r="E8" s="67" t="e">
        <f t="shared" si="0"/>
        <v>#DIV/0!</v>
      </c>
      <c r="F8" s="67" t="e">
        <f t="array" ref="F8">LARGE(IF('capacity data'!A:A=B8,IF('capacity data'!E:E="PO",'capacity data'!F:F)),1)</f>
        <v>#NUM!</v>
      </c>
      <c r="G8" s="169"/>
      <c r="H8" s="141" t="s">
        <v>19</v>
      </c>
      <c r="I8" s="75">
        <f>COUNTIFS('capacity data'!A:A,H8,'capacity data'!E:E,"PSO")</f>
        <v>0</v>
      </c>
      <c r="J8" s="75">
        <f>COUNTIFS('capacity data'!A:A,H8,'capacity data'!E:E,"PSO",'capacity data'!F:F,"&gt;110%")</f>
        <v>0</v>
      </c>
      <c r="K8" s="67" t="e">
        <f t="shared" si="1"/>
        <v>#DIV/0!</v>
      </c>
      <c r="L8" s="67" t="e">
        <f t="array" ref="L8">LARGE(IF('capacity data'!A:A=H8,IF('capacity data'!E:E="PSO",'capacity data'!F:F)),1)</f>
        <v>#NUM!</v>
      </c>
      <c r="O8" s="2"/>
    </row>
    <row r="9" spans="1:17" ht="16" x14ac:dyDescent="0.2">
      <c r="B9" s="141" t="s">
        <v>20</v>
      </c>
      <c r="C9" s="75">
        <f>COUNTIFS('capacity data'!A:A,B9,'capacity data'!E:E,"PO")</f>
        <v>0</v>
      </c>
      <c r="D9" s="75">
        <f>COUNTIFS('capacity data'!A:A,B9,'capacity data'!E:E,"PO",'capacity data'!F:F,"&gt;110%")</f>
        <v>0</v>
      </c>
      <c r="E9" s="67" t="e">
        <f t="shared" si="0"/>
        <v>#DIV/0!</v>
      </c>
      <c r="F9" s="67" t="e">
        <f t="array" ref="F9">LARGE(IF('capacity data'!A:A=B9,IF('capacity data'!E:E="PO",'capacity data'!F:F)),1)</f>
        <v>#NUM!</v>
      </c>
      <c r="G9" s="169"/>
      <c r="H9" s="141" t="s">
        <v>20</v>
      </c>
      <c r="I9" s="75">
        <f>COUNTIFS('capacity data'!A:A,H9,'capacity data'!E:E,"PSO")</f>
        <v>0</v>
      </c>
      <c r="J9" s="75">
        <f>COUNTIFS('capacity data'!A:A,H9,'capacity data'!E:E,"PSO",'capacity data'!F:F,"&gt;110%")</f>
        <v>0</v>
      </c>
      <c r="K9" s="67" t="e">
        <f t="shared" si="1"/>
        <v>#DIV/0!</v>
      </c>
      <c r="L9" s="67" t="e">
        <f t="array" ref="L9">LARGE(IF('capacity data'!A:A=H9,IF('capacity data'!E:E="PSO",'capacity data'!F:F)),1)</f>
        <v>#NUM!</v>
      </c>
      <c r="O9" s="2"/>
    </row>
    <row r="10" spans="1:17" ht="16" x14ac:dyDescent="0.2">
      <c r="B10" s="141" t="s">
        <v>21</v>
      </c>
      <c r="C10" s="75">
        <f>COUNTIFS('capacity data'!A:A,B10,'capacity data'!E:E,"PO")</f>
        <v>0</v>
      </c>
      <c r="D10" s="75">
        <f>COUNTIFS('capacity data'!A:A,B10,'capacity data'!E:E,"PO",'capacity data'!F:F,"&gt;110%")</f>
        <v>0</v>
      </c>
      <c r="E10" s="67" t="e">
        <f t="shared" si="0"/>
        <v>#DIV/0!</v>
      </c>
      <c r="F10" s="67" t="e">
        <f t="array" ref="F10">LARGE(IF('capacity data'!A:A=B10,IF('capacity data'!E:E="PO",'capacity data'!F:F)),1)</f>
        <v>#NUM!</v>
      </c>
      <c r="G10" s="169"/>
      <c r="H10" s="141" t="s">
        <v>21</v>
      </c>
      <c r="I10" s="75">
        <f>COUNTIFS('capacity data'!A:A,H10,'capacity data'!E:E,"PSO")</f>
        <v>0</v>
      </c>
      <c r="J10" s="75">
        <f>COUNTIFS('capacity data'!A:A,H10,'capacity data'!E:E,"PSO",'capacity data'!F:F,"&gt;110%")</f>
        <v>0</v>
      </c>
      <c r="K10" s="67" t="e">
        <f t="shared" si="1"/>
        <v>#DIV/0!</v>
      </c>
      <c r="L10" s="67" t="e">
        <f t="array" ref="L10">LARGE(IF('capacity data'!A:A=H10,IF('capacity data'!E:E="PSO",'capacity data'!F:F)),1)</f>
        <v>#NUM!</v>
      </c>
      <c r="O10" s="2"/>
    </row>
    <row r="11" spans="1:17" ht="16" x14ac:dyDescent="0.2">
      <c r="B11" s="141" t="s">
        <v>22</v>
      </c>
      <c r="C11" s="75">
        <f>COUNTIFS('capacity data'!A:A,B11,'capacity data'!E:E,"PO")</f>
        <v>0</v>
      </c>
      <c r="D11" s="75">
        <f>COUNTIFS('capacity data'!A:A,B11,'capacity data'!E:E,"PO",'capacity data'!F:F,"&gt;110%")</f>
        <v>0</v>
      </c>
      <c r="E11" s="67" t="e">
        <f t="shared" si="0"/>
        <v>#DIV/0!</v>
      </c>
      <c r="F11" s="67" t="e">
        <f t="array" ref="F11">LARGE(IF('capacity data'!A:A=B11,IF('capacity data'!E:E="PO",'capacity data'!F:F)),1)</f>
        <v>#NUM!</v>
      </c>
      <c r="G11" s="64"/>
      <c r="H11" s="141" t="s">
        <v>22</v>
      </c>
      <c r="I11" s="75">
        <f>COUNTIFS('capacity data'!A:A,H11,'capacity data'!E:E,"PSO")</f>
        <v>0</v>
      </c>
      <c r="J11" s="75">
        <f>COUNTIFS('capacity data'!A:A,H11,'capacity data'!E:E,"PSO",'capacity data'!F:F,"&gt;110%")</f>
        <v>0</v>
      </c>
      <c r="K11" s="67" t="e">
        <f t="shared" si="1"/>
        <v>#DIV/0!</v>
      </c>
      <c r="L11" s="67" t="e">
        <f t="array" ref="L11">LARGE(IF('capacity data'!A:A=H11,IF('capacity data'!E:E="PSO",'capacity data'!F:F)),1)</f>
        <v>#NUM!</v>
      </c>
      <c r="O11" s="2"/>
    </row>
    <row r="12" spans="1:17" ht="16" x14ac:dyDescent="0.2">
      <c r="B12" s="141" t="s">
        <v>23</v>
      </c>
      <c r="C12" s="75">
        <f>COUNTIFS('capacity data'!A:A,B12,'capacity data'!E:E,"PO")</f>
        <v>0</v>
      </c>
      <c r="D12" s="75">
        <f>COUNTIFS('capacity data'!A:A,B12,'capacity data'!E:E,"PO",'capacity data'!F:F,"&gt;110%")</f>
        <v>0</v>
      </c>
      <c r="E12" s="67" t="e">
        <f t="shared" si="0"/>
        <v>#DIV/0!</v>
      </c>
      <c r="F12" s="67" t="e">
        <f t="array" ref="F12">LARGE(IF('capacity data'!A:A=B12,IF('capacity data'!E:E="PO",'capacity data'!F:F)),1)</f>
        <v>#NUM!</v>
      </c>
      <c r="G12" s="64"/>
      <c r="H12" s="141" t="s">
        <v>23</v>
      </c>
      <c r="I12" s="75">
        <f>COUNTIFS('capacity data'!A:A,H12,'capacity data'!E:E,"PSO")</f>
        <v>0</v>
      </c>
      <c r="J12" s="75">
        <f>COUNTIFS('capacity data'!A:A,H12,'capacity data'!E:E,"PSO",'capacity data'!F:F,"&gt;110%")</f>
        <v>0</v>
      </c>
      <c r="K12" s="67" t="e">
        <f t="shared" si="1"/>
        <v>#DIV/0!</v>
      </c>
      <c r="L12" s="67" t="e">
        <f t="array" ref="L12">LARGE(IF('capacity data'!A:A=H12,IF('capacity data'!E:E="PSO",'capacity data'!F:F)),1)</f>
        <v>#NUM!</v>
      </c>
      <c r="O12" s="2"/>
    </row>
    <row r="13" spans="1:17" ht="16" x14ac:dyDescent="0.2">
      <c r="B13" s="141" t="s">
        <v>24</v>
      </c>
      <c r="C13" s="75">
        <f>COUNTIFS('capacity data'!A:A,B13,'capacity data'!E:E,"PO")</f>
        <v>0</v>
      </c>
      <c r="D13" s="75">
        <f>COUNTIFS('capacity data'!A:A,B13,'capacity data'!E:E,"PO",'capacity data'!F:F,"&gt;110%")</f>
        <v>0</v>
      </c>
      <c r="E13" s="67" t="e">
        <f t="shared" ref="E13" si="2">D13/C13</f>
        <v>#DIV/0!</v>
      </c>
      <c r="F13" s="67" t="e">
        <f t="array" ref="F13">LARGE(IF('capacity data'!A:A=B13,IF('capacity data'!E:E="PO",'capacity data'!F:F)),1)</f>
        <v>#NUM!</v>
      </c>
      <c r="G13" s="64"/>
      <c r="H13" s="141" t="s">
        <v>24</v>
      </c>
      <c r="I13" s="75">
        <f>COUNTIFS('capacity data'!A:A,H13,'capacity data'!E:E,"PSO")</f>
        <v>0</v>
      </c>
      <c r="J13" s="75">
        <f>COUNTIFS('capacity data'!A:A,H13,'capacity data'!E:E,"PSO",'capacity data'!F:F,"&gt;110%")</f>
        <v>0</v>
      </c>
      <c r="K13" s="67" t="e">
        <f t="shared" ref="K13" si="3">J13/I13</f>
        <v>#DIV/0!</v>
      </c>
      <c r="L13" s="67" t="e">
        <f t="array" ref="L13">LARGE(IF('capacity data'!A:A=H13,IF('capacity data'!E:E="PSO",'capacity data'!F:F)),1)</f>
        <v>#NUM!</v>
      </c>
      <c r="O13" s="2"/>
    </row>
    <row r="14" spans="1:17" ht="16" x14ac:dyDescent="0.2">
      <c r="B14" s="141" t="s">
        <v>25</v>
      </c>
      <c r="C14" s="75">
        <f>COUNTIFS('capacity data'!A:A,B14,'capacity data'!E:E,"PO")</f>
        <v>0</v>
      </c>
      <c r="D14" s="75">
        <f>COUNTIFS('capacity data'!A:A,B14,'capacity data'!E:E,"PO",'capacity data'!F:F,"&gt;110%")</f>
        <v>0</v>
      </c>
      <c r="E14" s="67" t="e">
        <f t="shared" si="0"/>
        <v>#DIV/0!</v>
      </c>
      <c r="F14" s="67" t="e">
        <f t="array" ref="F14">LARGE(IF('capacity data'!A:A=B14,IF('capacity data'!E:E="PO",'capacity data'!F:F)),1)</f>
        <v>#NUM!</v>
      </c>
      <c r="G14" s="64"/>
      <c r="H14" s="141" t="s">
        <v>25</v>
      </c>
      <c r="I14" s="75">
        <f>COUNTIFS('capacity data'!A:A,H14,'capacity data'!E:E,"PSO")</f>
        <v>0</v>
      </c>
      <c r="J14" s="75">
        <f>COUNTIFS('capacity data'!A:A,H14,'capacity data'!E:E,"PSO",'capacity data'!F:F,"&gt;110%")</f>
        <v>0</v>
      </c>
      <c r="K14" s="67" t="e">
        <f t="shared" si="1"/>
        <v>#DIV/0!</v>
      </c>
      <c r="L14" s="67" t="e">
        <f t="array" ref="L14">LARGE(IF('capacity data'!A:A=H14,IF('capacity data'!E:E="PSO",'capacity data'!F:F)),1)</f>
        <v>#NUM!</v>
      </c>
      <c r="O14" s="2"/>
    </row>
    <row r="15" spans="1:17" ht="16" x14ac:dyDescent="0.2">
      <c r="B15" s="141" t="s">
        <v>26</v>
      </c>
      <c r="C15" s="75">
        <f>COUNTIFS('capacity data'!A:A,B15,'capacity data'!E:E,"PO")</f>
        <v>0</v>
      </c>
      <c r="D15" s="75">
        <f>COUNTIFS('capacity data'!A:A,B15,'capacity data'!E:E,"PO",'capacity data'!F:F,"&gt;110%")</f>
        <v>0</v>
      </c>
      <c r="E15" s="67" t="e">
        <f t="shared" si="0"/>
        <v>#DIV/0!</v>
      </c>
      <c r="F15" s="67" t="e">
        <f t="array" ref="F15">LARGE(IF('capacity data'!A:A=B15,IF('capacity data'!E:E="PO",'capacity data'!F:F)),1)</f>
        <v>#NUM!</v>
      </c>
      <c r="G15" s="64"/>
      <c r="H15" s="141" t="s">
        <v>26</v>
      </c>
      <c r="I15" s="75">
        <f>COUNTIFS('capacity data'!A:A,H15,'capacity data'!E:E,"PSO")</f>
        <v>0</v>
      </c>
      <c r="J15" s="75">
        <f>COUNTIFS('capacity data'!A:A,H15,'capacity data'!E:E,"PSO",'capacity data'!F:F,"&gt;110%")</f>
        <v>0</v>
      </c>
      <c r="K15" s="67" t="e">
        <f t="shared" si="1"/>
        <v>#DIV/0!</v>
      </c>
      <c r="L15" s="67" t="e">
        <f t="array" ref="L15">LARGE(IF('capacity data'!A:A=H15,IF('capacity data'!E:E="PSO",'capacity data'!F:F)),1)</f>
        <v>#NUM!</v>
      </c>
      <c r="O15" s="2"/>
    </row>
    <row r="16" spans="1:17" ht="16" x14ac:dyDescent="0.2">
      <c r="B16" s="141" t="s">
        <v>27</v>
      </c>
      <c r="C16" s="75">
        <f>COUNTIFS('capacity data'!A:A,B16,'capacity data'!E:E,"PO")</f>
        <v>0</v>
      </c>
      <c r="D16" s="75">
        <f>COUNTIFS('capacity data'!A:A,B16,'capacity data'!E:E,"PO",'capacity data'!F:F,"&gt;110%")</f>
        <v>0</v>
      </c>
      <c r="E16" s="67" t="e">
        <f t="shared" si="0"/>
        <v>#DIV/0!</v>
      </c>
      <c r="F16" s="67" t="e">
        <f t="array" ref="F16">LARGE(IF('capacity data'!A:A=B16,IF('capacity data'!E:E="PO",'capacity data'!F:F)),1)</f>
        <v>#NUM!</v>
      </c>
      <c r="G16" s="64"/>
      <c r="H16" s="141" t="s">
        <v>27</v>
      </c>
      <c r="I16" s="75">
        <f>COUNTIFS('capacity data'!A:A,H16,'capacity data'!E:E,"PSO")</f>
        <v>0</v>
      </c>
      <c r="J16" s="75">
        <f>COUNTIFS('capacity data'!A:A,H16,'capacity data'!E:E,"PSO",'capacity data'!F:F,"&gt;110%")</f>
        <v>0</v>
      </c>
      <c r="K16" s="67" t="e">
        <f t="shared" si="1"/>
        <v>#DIV/0!</v>
      </c>
      <c r="L16" s="67" t="e">
        <f t="array" ref="L16">LARGE(IF('capacity data'!A:A=H16,IF('capacity data'!E:E="PSO",'capacity data'!F:F)),1)</f>
        <v>#NUM!</v>
      </c>
      <c r="O16" s="2"/>
    </row>
    <row r="17" spans="2:15" ht="16" x14ac:dyDescent="0.2">
      <c r="B17" s="141" t="s">
        <v>28</v>
      </c>
      <c r="C17" s="75">
        <f>COUNTIFS('capacity data'!A:A,B17,'capacity data'!E:E,"PO")</f>
        <v>0</v>
      </c>
      <c r="D17" s="75">
        <f>COUNTIFS('capacity data'!A:A,B17,'capacity data'!E:E,"PO",'capacity data'!F:F,"&gt;110%")</f>
        <v>0</v>
      </c>
      <c r="E17" s="67" t="e">
        <f t="shared" si="0"/>
        <v>#DIV/0!</v>
      </c>
      <c r="F17" s="67" t="e">
        <f t="array" ref="F17">LARGE(IF('capacity data'!A:A=B17,IF('capacity data'!E:E="PO",'capacity data'!F:F)),1)</f>
        <v>#NUM!</v>
      </c>
      <c r="G17" s="64"/>
      <c r="H17" s="141" t="s">
        <v>28</v>
      </c>
      <c r="I17" s="75">
        <f>COUNTIFS('capacity data'!A:A,H17,'capacity data'!E:E,"PSO")</f>
        <v>0</v>
      </c>
      <c r="J17" s="75">
        <f>COUNTIFS('capacity data'!A:A,H17,'capacity data'!E:E,"PSO",'capacity data'!F:F,"&gt;110%")</f>
        <v>0</v>
      </c>
      <c r="K17" s="67" t="e">
        <f t="shared" si="1"/>
        <v>#DIV/0!</v>
      </c>
      <c r="L17" s="67" t="e">
        <f t="array" ref="L17">LARGE(IF('capacity data'!A:A=H17,IF('capacity data'!E:E="PSO",'capacity data'!F:F)),1)</f>
        <v>#NUM!</v>
      </c>
      <c r="O17" s="2"/>
    </row>
    <row r="18" spans="2:15" ht="16" x14ac:dyDescent="0.2">
      <c r="B18" s="173" t="s">
        <v>964</v>
      </c>
      <c r="C18" s="110">
        <f>COUNTIF('capacity data'!E:E,"PO")</f>
        <v>0</v>
      </c>
      <c r="D18" s="110">
        <f>COUNTIFS('capacity data'!E:E,"PO",'capacity data'!F:F,"&gt;110%")</f>
        <v>0</v>
      </c>
      <c r="E18" s="207" t="e">
        <f t="shared" ref="E18" si="4">D18/C18</f>
        <v>#DIV/0!</v>
      </c>
      <c r="F18" s="110" t="s">
        <v>965</v>
      </c>
      <c r="G18" s="64"/>
      <c r="H18" s="173" t="s">
        <v>964</v>
      </c>
      <c r="I18" s="110">
        <f>COUNTIF('capacity data'!E:E,"PSO")</f>
        <v>0</v>
      </c>
      <c r="J18" s="110">
        <f>COUNTIFS('capacity data'!E:E,"PSO",'capacity data'!F:F,"&gt;110%")</f>
        <v>0</v>
      </c>
      <c r="K18" s="207" t="e">
        <f t="shared" ref="K18" si="5">J18/I18</f>
        <v>#DIV/0!</v>
      </c>
      <c r="L18" s="149" t="s">
        <v>965</v>
      </c>
      <c r="O18" s="2"/>
    </row>
    <row r="21" spans="2:15" ht="16" x14ac:dyDescent="0.2">
      <c r="B21" s="555" t="s">
        <v>1162</v>
      </c>
      <c r="C21" s="556"/>
      <c r="D21" s="556"/>
      <c r="E21" s="556"/>
      <c r="F21" s="556"/>
      <c r="G21" s="33"/>
      <c r="H21" s="557" t="s">
        <v>1163</v>
      </c>
      <c r="I21" s="558"/>
      <c r="J21" s="558"/>
      <c r="K21" s="558"/>
    </row>
    <row r="22" spans="2:15" ht="42" x14ac:dyDescent="0.15">
      <c r="B22" s="168"/>
      <c r="C22" s="157" t="s">
        <v>1164</v>
      </c>
      <c r="D22" s="157" t="s">
        <v>1165</v>
      </c>
      <c r="E22" s="157" t="s">
        <v>1166</v>
      </c>
      <c r="F22" s="157" t="s">
        <v>1167</v>
      </c>
      <c r="G22" s="170"/>
      <c r="H22" s="168"/>
      <c r="I22" s="157" t="s">
        <v>1158</v>
      </c>
      <c r="J22" s="157" t="s">
        <v>1168</v>
      </c>
      <c r="K22" s="157" t="s">
        <v>1169</v>
      </c>
      <c r="L22" s="34"/>
    </row>
    <row r="23" spans="2:15" x14ac:dyDescent="0.15">
      <c r="B23" s="141" t="s">
        <v>17</v>
      </c>
      <c r="C23" s="75">
        <f>COUNTIFS('capacity data'!A:A,B23,'capacity data'!E:E,"TPO")</f>
        <v>0</v>
      </c>
      <c r="D23" s="75">
        <f>COUNTIFS('capacity data'!A:A,B23,'capacity data'!E:E,"TPO",'capacity data'!F:F,"&gt;110%")</f>
        <v>0</v>
      </c>
      <c r="E23" s="67" t="e">
        <f>D23/C23</f>
        <v>#DIV/0!</v>
      </c>
      <c r="F23" s="67" t="e">
        <f t="array" ref="F23">LARGE(IF('capacity data'!A:A=B23,IF('capacity data'!E:E="TPO",'capacity data'!F:F)),1)</f>
        <v>#NUM!</v>
      </c>
      <c r="G23" s="171"/>
      <c r="H23" s="141" t="s">
        <v>17</v>
      </c>
      <c r="I23" s="75">
        <f>COUNTIFS('capacity data'!A:A,H23,'capacity data'!E:E,"PSO")</f>
        <v>0</v>
      </c>
      <c r="J23" s="75">
        <f>COUNTIFS('capacity data'!A:A,H23,'capacity data'!E:E,"PSO",'capacity data'!F:F,"&lt;90%")</f>
        <v>0</v>
      </c>
      <c r="K23" s="172" t="e">
        <f>J23/I23</f>
        <v>#DIV/0!</v>
      </c>
    </row>
    <row r="24" spans="2:15" x14ac:dyDescent="0.15">
      <c r="B24" s="141" t="s">
        <v>18</v>
      </c>
      <c r="C24" s="75">
        <f>COUNTIFS('capacity data'!A:A,B24,'capacity data'!E:E,"TPO")</f>
        <v>0</v>
      </c>
      <c r="D24" s="75">
        <f>COUNTIFS('capacity data'!A:A,B24,'capacity data'!E:E,"TPO",'capacity data'!F:F,"&gt;110%")</f>
        <v>0</v>
      </c>
      <c r="E24" s="67" t="e">
        <f t="shared" ref="E24:E34" si="6">D24/C24</f>
        <v>#DIV/0!</v>
      </c>
      <c r="F24" s="67" t="e">
        <f t="array" ref="F24">LARGE(IF('capacity data'!A:A=B24,IF('capacity data'!E:E="TPO",'capacity data'!F:F)),1)</f>
        <v>#NUM!</v>
      </c>
      <c r="G24" s="171"/>
      <c r="H24" s="141" t="s">
        <v>18</v>
      </c>
      <c r="I24" s="75">
        <f>COUNTIFS('capacity data'!A:A,H24,'capacity data'!E:E,"PSO")</f>
        <v>0</v>
      </c>
      <c r="J24" s="75">
        <f>COUNTIFS('capacity data'!A:A,H24,'capacity data'!E:E,"PSO",'capacity data'!F:F,"&lt;90%")</f>
        <v>0</v>
      </c>
      <c r="K24" s="172" t="e">
        <f t="shared" ref="K24:K34" si="7">J24/I24</f>
        <v>#DIV/0!</v>
      </c>
    </row>
    <row r="25" spans="2:15" x14ac:dyDescent="0.15">
      <c r="B25" s="141" t="s">
        <v>19</v>
      </c>
      <c r="C25" s="75">
        <f>COUNTIFS('capacity data'!A:A,B25,'capacity data'!E:E,"TPO")</f>
        <v>0</v>
      </c>
      <c r="D25" s="75">
        <f>COUNTIFS('capacity data'!A:A,B25,'capacity data'!E:E,"TPO",'capacity data'!F:F,"&gt;110%")</f>
        <v>0</v>
      </c>
      <c r="E25" s="67" t="e">
        <f t="shared" si="6"/>
        <v>#DIV/0!</v>
      </c>
      <c r="F25" s="67" t="e">
        <f t="array" ref="F25">LARGE(IF('capacity data'!A:A=B25,IF('capacity data'!E:E="TPO",'capacity data'!F:F)),1)</f>
        <v>#NUM!</v>
      </c>
      <c r="G25" s="171"/>
      <c r="H25" s="141" t="s">
        <v>19</v>
      </c>
      <c r="I25" s="75">
        <f>COUNTIFS('capacity data'!A:A,H25,'capacity data'!E:E,"PSO")</f>
        <v>0</v>
      </c>
      <c r="J25" s="75">
        <f>COUNTIFS('capacity data'!A:A,H25,'capacity data'!E:E,"PSO",'capacity data'!F:F,"&lt;90%")</f>
        <v>0</v>
      </c>
      <c r="K25" s="172" t="e">
        <f t="shared" si="7"/>
        <v>#DIV/0!</v>
      </c>
    </row>
    <row r="26" spans="2:15" x14ac:dyDescent="0.15">
      <c r="B26" s="141" t="s">
        <v>20</v>
      </c>
      <c r="C26" s="75">
        <f>COUNTIFS('capacity data'!A:A,B26,'capacity data'!E:E,"TPO")</f>
        <v>0</v>
      </c>
      <c r="D26" s="75">
        <f>COUNTIFS('capacity data'!A:A,B26,'capacity data'!E:E,"TPO",'capacity data'!F:F,"&gt;110%")</f>
        <v>0</v>
      </c>
      <c r="E26" s="67" t="e">
        <f t="shared" si="6"/>
        <v>#DIV/0!</v>
      </c>
      <c r="F26" s="67" t="e">
        <f t="array" ref="F26">LARGE(IF('capacity data'!A:A=B26,IF('capacity data'!E:E="TPO",'capacity data'!F:F)),1)</f>
        <v>#NUM!</v>
      </c>
      <c r="G26" s="171"/>
      <c r="H26" s="141" t="s">
        <v>20</v>
      </c>
      <c r="I26" s="75">
        <f>COUNTIFS('capacity data'!A:A,H26,'capacity data'!E:E,"PSO")</f>
        <v>0</v>
      </c>
      <c r="J26" s="75">
        <f>COUNTIFS('capacity data'!A:A,H26,'capacity data'!E:E,"PSO",'capacity data'!F:F,"&lt;90%")</f>
        <v>0</v>
      </c>
      <c r="K26" s="172" t="e">
        <f t="shared" si="7"/>
        <v>#DIV/0!</v>
      </c>
    </row>
    <row r="27" spans="2:15" x14ac:dyDescent="0.15">
      <c r="B27" s="141" t="s">
        <v>21</v>
      </c>
      <c r="C27" s="75">
        <f>COUNTIFS('capacity data'!A:A,B27,'capacity data'!E:E,"TPO")</f>
        <v>0</v>
      </c>
      <c r="D27" s="75">
        <f>COUNTIFS('capacity data'!A:A,B27,'capacity data'!E:E,"TPO",'capacity data'!F:F,"&gt;110%")</f>
        <v>0</v>
      </c>
      <c r="E27" s="67" t="e">
        <f t="shared" si="6"/>
        <v>#DIV/0!</v>
      </c>
      <c r="F27" s="67" t="e">
        <f t="array" ref="F27">LARGE(IF('capacity data'!A:A=B27,IF('capacity data'!E:E="TPO",'capacity data'!F:F)),1)</f>
        <v>#NUM!</v>
      </c>
      <c r="G27" s="171"/>
      <c r="H27" s="141" t="s">
        <v>21</v>
      </c>
      <c r="I27" s="75">
        <f>COUNTIFS('capacity data'!A:A,H27,'capacity data'!E:E,"PSO")</f>
        <v>0</v>
      </c>
      <c r="J27" s="75">
        <f>COUNTIFS('capacity data'!A:A,H27,'capacity data'!E:E,"PSO",'capacity data'!F:F,"&lt;90%")</f>
        <v>0</v>
      </c>
      <c r="K27" s="172" t="e">
        <f t="shared" si="7"/>
        <v>#DIV/0!</v>
      </c>
    </row>
    <row r="28" spans="2:15" x14ac:dyDescent="0.15">
      <c r="B28" s="141" t="s">
        <v>22</v>
      </c>
      <c r="C28" s="75">
        <f>COUNTIFS('capacity data'!A:A,B28,'capacity data'!E:E,"TPO")</f>
        <v>0</v>
      </c>
      <c r="D28" s="75">
        <f>COUNTIFS('capacity data'!A:A,B28,'capacity data'!E:E,"TPO",'capacity data'!F:F,"&gt;110%")</f>
        <v>0</v>
      </c>
      <c r="E28" s="67" t="e">
        <f t="shared" si="6"/>
        <v>#DIV/0!</v>
      </c>
      <c r="F28" s="67" t="e">
        <f t="array" ref="F28">LARGE(IF('capacity data'!A:A=B28,IF('capacity data'!E:E="TPO",'capacity data'!F:F)),1)</f>
        <v>#NUM!</v>
      </c>
      <c r="G28" s="171"/>
      <c r="H28" s="141" t="s">
        <v>22</v>
      </c>
      <c r="I28" s="75">
        <f>COUNTIFS('capacity data'!A:A,H28,'capacity data'!E:E,"PSO")</f>
        <v>0</v>
      </c>
      <c r="J28" s="75">
        <f>COUNTIFS('capacity data'!A:A,H28,'capacity data'!E:E,"PSO",'capacity data'!F:F,"&lt;90%")</f>
        <v>0</v>
      </c>
      <c r="K28" s="172" t="e">
        <f t="shared" si="7"/>
        <v>#DIV/0!</v>
      </c>
    </row>
    <row r="29" spans="2:15" x14ac:dyDescent="0.15">
      <c r="B29" s="141" t="s">
        <v>23</v>
      </c>
      <c r="C29" s="75">
        <f>COUNTIFS('capacity data'!A:A,B29,'capacity data'!E:E,"TPO")</f>
        <v>0</v>
      </c>
      <c r="D29" s="75">
        <f>COUNTIFS('capacity data'!A:A,B29,'capacity data'!E:E,"TPO",'capacity data'!F:F,"&gt;110%")</f>
        <v>0</v>
      </c>
      <c r="E29" s="67" t="e">
        <f t="shared" si="6"/>
        <v>#DIV/0!</v>
      </c>
      <c r="F29" s="67" t="e">
        <f t="array" ref="F29">LARGE(IF('capacity data'!A:A=B29,IF('capacity data'!E:E="TPO",'capacity data'!F:F)),1)</f>
        <v>#NUM!</v>
      </c>
      <c r="G29" s="171"/>
      <c r="H29" s="141" t="s">
        <v>23</v>
      </c>
      <c r="I29" s="75">
        <f>COUNTIFS('capacity data'!A:A,H29,'capacity data'!E:E,"PSO")</f>
        <v>0</v>
      </c>
      <c r="J29" s="75">
        <f>COUNTIFS('capacity data'!A:A,H29,'capacity data'!E:E,"PSO",'capacity data'!F:F,"&lt;90%")</f>
        <v>0</v>
      </c>
      <c r="K29" s="172" t="e">
        <f t="shared" si="7"/>
        <v>#DIV/0!</v>
      </c>
    </row>
    <row r="30" spans="2:15" x14ac:dyDescent="0.15">
      <c r="B30" s="141" t="s">
        <v>24</v>
      </c>
      <c r="C30" s="75">
        <f>COUNTIFS('capacity data'!A:A,B30,'capacity data'!E:E,"TPO")</f>
        <v>0</v>
      </c>
      <c r="D30" s="75">
        <f>COUNTIFS('capacity data'!A:A,B30,'capacity data'!E:E,"TPO",'capacity data'!F:F,"&gt;110%")</f>
        <v>0</v>
      </c>
      <c r="E30" s="67" t="e">
        <f t="shared" ref="E30" si="8">D30/C30</f>
        <v>#DIV/0!</v>
      </c>
      <c r="F30" s="67" t="e">
        <f t="array" ref="F30">LARGE(IF('capacity data'!A:A=B30,IF('capacity data'!E:E="TPO",'capacity data'!F:F)),1)</f>
        <v>#NUM!</v>
      </c>
      <c r="G30" s="171"/>
      <c r="H30" s="141" t="s">
        <v>24</v>
      </c>
      <c r="I30" s="75">
        <f>COUNTIFS('capacity data'!A:A,H30,'capacity data'!E:E,"PSO")</f>
        <v>0</v>
      </c>
      <c r="J30" s="75">
        <f>COUNTIFS('capacity data'!A:A,H30,'capacity data'!E:E,"PSO",'capacity data'!F:F,"&lt;90%")</f>
        <v>0</v>
      </c>
      <c r="K30" s="172" t="e">
        <f t="shared" ref="K30" si="9">J30/I30</f>
        <v>#DIV/0!</v>
      </c>
    </row>
    <row r="31" spans="2:15" x14ac:dyDescent="0.15">
      <c r="B31" s="141" t="s">
        <v>25</v>
      </c>
      <c r="C31" s="75">
        <f>COUNTIFS('capacity data'!A:A,B31,'capacity data'!E:E,"TPO")</f>
        <v>0</v>
      </c>
      <c r="D31" s="75">
        <f>COUNTIFS('capacity data'!A:A,B31,'capacity data'!E:E,"TPO",'capacity data'!F:F,"&gt;110%")</f>
        <v>0</v>
      </c>
      <c r="E31" s="67" t="e">
        <f t="shared" si="6"/>
        <v>#DIV/0!</v>
      </c>
      <c r="F31" s="67" t="e">
        <f t="array" ref="F31">LARGE(IF('capacity data'!A:A=B31,IF('capacity data'!E:E="TPO",'capacity data'!F:F)),1)</f>
        <v>#NUM!</v>
      </c>
      <c r="G31" s="171"/>
      <c r="H31" s="141" t="s">
        <v>25</v>
      </c>
      <c r="I31" s="75">
        <f>COUNTIFS('capacity data'!A:A,H31,'capacity data'!E:E,"PSO")</f>
        <v>0</v>
      </c>
      <c r="J31" s="75">
        <f>COUNTIFS('capacity data'!A:A,H31,'capacity data'!E:E,"PSO",'capacity data'!F:F,"&lt;90%")</f>
        <v>0</v>
      </c>
      <c r="K31" s="172" t="e">
        <f t="shared" si="7"/>
        <v>#DIV/0!</v>
      </c>
    </row>
    <row r="32" spans="2:15" x14ac:dyDescent="0.15">
      <c r="B32" s="141" t="s">
        <v>26</v>
      </c>
      <c r="C32" s="75">
        <f>COUNTIFS('capacity data'!A:A,B32,'capacity data'!E:E,"TPO")</f>
        <v>0</v>
      </c>
      <c r="D32" s="75">
        <f>COUNTIFS('capacity data'!A:A,B32,'capacity data'!E:E,"TPO",'capacity data'!F:F,"&gt;110%")</f>
        <v>0</v>
      </c>
      <c r="E32" s="67" t="e">
        <f t="shared" si="6"/>
        <v>#DIV/0!</v>
      </c>
      <c r="F32" s="67" t="e">
        <f t="array" ref="F32">LARGE(IF('capacity data'!A:A=B32,IF('capacity data'!E:E="TPO",'capacity data'!F:F)),1)</f>
        <v>#NUM!</v>
      </c>
      <c r="G32" s="171"/>
      <c r="H32" s="141" t="s">
        <v>26</v>
      </c>
      <c r="I32" s="75">
        <f>COUNTIFS('capacity data'!A:A,H32,'capacity data'!E:E,"PSO")</f>
        <v>0</v>
      </c>
      <c r="J32" s="75">
        <f>COUNTIFS('capacity data'!A:A,H32,'capacity data'!E:E,"PSO",'capacity data'!F:F,"&lt;90%")</f>
        <v>0</v>
      </c>
      <c r="K32" s="172" t="e">
        <f t="shared" si="7"/>
        <v>#DIV/0!</v>
      </c>
    </row>
    <row r="33" spans="2:11" x14ac:dyDescent="0.15">
      <c r="B33" s="141" t="s">
        <v>27</v>
      </c>
      <c r="C33" s="75">
        <f>COUNTIFS('capacity data'!A:A,B33,'capacity data'!E:E,"TPO")</f>
        <v>0</v>
      </c>
      <c r="D33" s="75">
        <f>COUNTIFS('capacity data'!A:A,B33,'capacity data'!E:E,"TPO",'capacity data'!F:F,"&gt;110%")</f>
        <v>0</v>
      </c>
      <c r="E33" s="67" t="e">
        <f t="shared" si="6"/>
        <v>#DIV/0!</v>
      </c>
      <c r="F33" s="67" t="e">
        <f t="array" ref="F33">LARGE(IF('capacity data'!A:A=B33,IF('capacity data'!E:E="TPO",'capacity data'!F:F)),1)</f>
        <v>#NUM!</v>
      </c>
      <c r="G33" s="171"/>
      <c r="H33" s="141" t="s">
        <v>27</v>
      </c>
      <c r="I33" s="75">
        <f>COUNTIFS('capacity data'!A:A,H33,'capacity data'!E:E,"PSO")</f>
        <v>0</v>
      </c>
      <c r="J33" s="75">
        <f>COUNTIFS('capacity data'!A:A,H33,'capacity data'!E:E,"PSO",'capacity data'!F:F,"&lt;90%")</f>
        <v>0</v>
      </c>
      <c r="K33" s="172" t="e">
        <f t="shared" si="7"/>
        <v>#DIV/0!</v>
      </c>
    </row>
    <row r="34" spans="2:11" x14ac:dyDescent="0.15">
      <c r="B34" s="141" t="s">
        <v>28</v>
      </c>
      <c r="C34" s="75">
        <f>COUNTIFS('capacity data'!A:A,B34,'capacity data'!E:E,"TPO")</f>
        <v>0</v>
      </c>
      <c r="D34" s="75">
        <f>COUNTIFS('capacity data'!A:A,B34,'capacity data'!E:E,"TPO",'capacity data'!F:F,"&gt;110%")</f>
        <v>0</v>
      </c>
      <c r="E34" s="67" t="e">
        <f t="shared" si="6"/>
        <v>#DIV/0!</v>
      </c>
      <c r="F34" s="67" t="e">
        <f t="array" ref="F34">LARGE(IF('capacity data'!A:A=B34,IF('capacity data'!E:E="TPO",'capacity data'!F:F)),1)</f>
        <v>#NUM!</v>
      </c>
      <c r="G34" s="171"/>
      <c r="H34" s="141" t="s">
        <v>28</v>
      </c>
      <c r="I34" s="75">
        <f>COUNTIFS('capacity data'!A:A,H34,'capacity data'!E:E,"PSO")</f>
        <v>0</v>
      </c>
      <c r="J34" s="75">
        <f>COUNTIFS('capacity data'!A:A,H34,'capacity data'!E:E,"PSO",'capacity data'!F:F,"&lt;90%")</f>
        <v>0</v>
      </c>
      <c r="K34" s="172" t="e">
        <f t="shared" si="7"/>
        <v>#DIV/0!</v>
      </c>
    </row>
    <row r="35" spans="2:11" x14ac:dyDescent="0.15">
      <c r="B35" s="173" t="s">
        <v>964</v>
      </c>
      <c r="C35" s="110">
        <f>COUNTIF('capacity data'!E:E,"TPO")</f>
        <v>0</v>
      </c>
      <c r="D35" s="110">
        <f>COUNTIFS('capacity data'!E:E,"TPO",'capacity data'!F:F,"&gt;110%")</f>
        <v>0</v>
      </c>
      <c r="E35" s="207" t="e">
        <f t="shared" ref="E35" si="10">D35/C35</f>
        <v>#DIV/0!</v>
      </c>
      <c r="F35" s="110" t="s">
        <v>965</v>
      </c>
      <c r="G35" s="171"/>
      <c r="H35" s="173" t="s">
        <v>964</v>
      </c>
      <c r="I35" s="110">
        <f>COUNTIF('capacity data'!E:E,"PSO")</f>
        <v>0</v>
      </c>
      <c r="J35" s="110">
        <f>COUNTIFS('capacity data'!E:E,"PSO",'capacity data'!F:F,"&lt;90%")</f>
        <v>0</v>
      </c>
      <c r="K35" s="208" t="s">
        <v>965</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activeCell="D6" sqref="D6"/>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7" customHeight="1" x14ac:dyDescent="0.15">
      <c r="A1" s="531" t="s">
        <v>1170</v>
      </c>
      <c r="B1" s="531"/>
      <c r="C1" s="531"/>
      <c r="D1" s="531"/>
      <c r="E1" s="531"/>
      <c r="F1" s="531"/>
      <c r="G1" s="531"/>
      <c r="H1" s="261"/>
      <c r="I1" s="261"/>
      <c r="J1" s="261"/>
      <c r="K1" s="261"/>
      <c r="L1" s="261"/>
      <c r="M1" s="559"/>
      <c r="N1" s="559"/>
      <c r="O1" s="559"/>
    </row>
    <row r="2" spans="1:15" ht="33.75" customHeight="1" x14ac:dyDescent="0.15">
      <c r="A2" s="424"/>
      <c r="B2" s="424"/>
      <c r="C2" s="424"/>
      <c r="D2" s="424"/>
      <c r="E2" s="424"/>
      <c r="F2" s="424"/>
      <c r="G2" s="424"/>
      <c r="H2" s="268"/>
      <c r="I2" s="268"/>
      <c r="J2" s="268"/>
      <c r="K2" s="268"/>
      <c r="L2" s="268"/>
      <c r="M2" s="268"/>
      <c r="N2" s="268"/>
      <c r="O2" s="268"/>
    </row>
    <row r="3" spans="1:15" s="6" customFormat="1" ht="20.25" customHeight="1" thickBot="1" x14ac:dyDescent="0.2"/>
    <row r="4" spans="1:15" ht="15" thickBot="1" x14ac:dyDescent="0.2">
      <c r="B4" s="566" t="s">
        <v>843</v>
      </c>
      <c r="C4" s="562" t="s">
        <v>1049</v>
      </c>
      <c r="D4" s="564" t="s">
        <v>1171</v>
      </c>
      <c r="E4" s="560" t="s">
        <v>1172</v>
      </c>
      <c r="F4" s="561"/>
      <c r="G4" s="567" t="s">
        <v>1173</v>
      </c>
    </row>
    <row r="5" spans="1:15" ht="33.75" customHeight="1" thickBot="1" x14ac:dyDescent="0.2">
      <c r="B5" s="563"/>
      <c r="C5" s="563"/>
      <c r="D5" s="565"/>
      <c r="E5" s="174" t="s">
        <v>1174</v>
      </c>
      <c r="F5" s="175" t="s">
        <v>1175</v>
      </c>
      <c r="G5" s="568"/>
    </row>
    <row r="6" spans="1:15" x14ac:dyDescent="0.15">
      <c r="B6" s="141" t="s">
        <v>17</v>
      </c>
      <c r="C6" s="75">
        <f>SUMIFS('capacity data'!K:K,'capacity data'!A:A,B6,'capacity data'!E:E,"SPO")</f>
        <v>0</v>
      </c>
      <c r="D6" s="75">
        <f>SUMIFS('capacity data'!K:K,'capacity data'!E:E,"DMY",'capacity data'!A:A,B6)</f>
        <v>0</v>
      </c>
      <c r="E6" s="176">
        <f>SUM(C6:D6)</f>
        <v>0</v>
      </c>
      <c r="F6" s="177" t="e">
        <f>E6/G6</f>
        <v>#DIV/0!</v>
      </c>
      <c r="G6" s="144">
        <f>SUMIF('capacity data'!A:A,B6,'capacity data'!K:K)</f>
        <v>0</v>
      </c>
    </row>
    <row r="7" spans="1:15" x14ac:dyDescent="0.15">
      <c r="B7" s="141" t="s">
        <v>18</v>
      </c>
      <c r="C7" s="75">
        <f>SUMIFS('capacity data'!K:K,'capacity data'!A:A,B7,'capacity data'!E:E,"SPO")</f>
        <v>0</v>
      </c>
      <c r="D7" s="75">
        <f>SUMIFS('capacity data'!K:K,'capacity data'!E:E,"DMY",'capacity data'!A:A,B7)</f>
        <v>0</v>
      </c>
      <c r="E7" s="176">
        <f t="shared" ref="E7:E17" si="0">SUM(C7:D7)</f>
        <v>0</v>
      </c>
      <c r="F7" s="177" t="e">
        <f t="shared" ref="F7:F17" si="1">E7/G7</f>
        <v>#DIV/0!</v>
      </c>
      <c r="G7" s="144">
        <f>SUMIF('capacity data'!A:A,B7,'capacity data'!K:K)</f>
        <v>0</v>
      </c>
    </row>
    <row r="8" spans="1:15" x14ac:dyDescent="0.15">
      <c r="B8" s="141" t="s">
        <v>19</v>
      </c>
      <c r="C8" s="75">
        <f>SUMIFS('capacity data'!K:K,'capacity data'!A:A,B8,'capacity data'!E:E,"SPO")</f>
        <v>0</v>
      </c>
      <c r="D8" s="75">
        <f>SUMIFS('capacity data'!K:K,'capacity data'!E:E,"DMY",'capacity data'!A:A,B8)</f>
        <v>0</v>
      </c>
      <c r="E8" s="176">
        <f t="shared" si="0"/>
        <v>0</v>
      </c>
      <c r="F8" s="177" t="e">
        <f t="shared" si="1"/>
        <v>#DIV/0!</v>
      </c>
      <c r="G8" s="144">
        <f>SUMIF('capacity data'!A:A,B8,'capacity data'!K:K)</f>
        <v>0</v>
      </c>
    </row>
    <row r="9" spans="1:15" x14ac:dyDescent="0.15">
      <c r="B9" s="141" t="s">
        <v>20</v>
      </c>
      <c r="C9" s="75">
        <f>SUMIFS('capacity data'!K:K,'capacity data'!A:A,B9,'capacity data'!E:E,"SPO")</f>
        <v>0</v>
      </c>
      <c r="D9" s="75">
        <f>SUMIFS('capacity data'!K:K,'capacity data'!E:E,"DMY",'capacity data'!A:A,B9)</f>
        <v>0</v>
      </c>
      <c r="E9" s="176">
        <f t="shared" si="0"/>
        <v>0</v>
      </c>
      <c r="F9" s="177" t="e">
        <f t="shared" si="1"/>
        <v>#DIV/0!</v>
      </c>
      <c r="G9" s="144">
        <f>SUMIF('capacity data'!A:A,B9,'capacity data'!K:K)</f>
        <v>0</v>
      </c>
    </row>
    <row r="10" spans="1:15" x14ac:dyDescent="0.15">
      <c r="B10" s="141" t="s">
        <v>21</v>
      </c>
      <c r="C10" s="75">
        <f>SUMIFS('capacity data'!K:K,'capacity data'!A:A,B10,'capacity data'!E:E,"SPO")</f>
        <v>0</v>
      </c>
      <c r="D10" s="75">
        <f>SUMIFS('capacity data'!K:K,'capacity data'!E:E,"DMY",'capacity data'!A:A,B10)</f>
        <v>0</v>
      </c>
      <c r="E10" s="176">
        <f t="shared" si="0"/>
        <v>0</v>
      </c>
      <c r="F10" s="177" t="e">
        <f t="shared" si="1"/>
        <v>#DIV/0!</v>
      </c>
      <c r="G10" s="144">
        <f>SUMIF('capacity data'!A:A,B10,'capacity data'!K:K)</f>
        <v>0</v>
      </c>
    </row>
    <row r="11" spans="1:15" x14ac:dyDescent="0.15">
      <c r="B11" s="141" t="s">
        <v>22</v>
      </c>
      <c r="C11" s="75">
        <f>SUMIFS('capacity data'!K:K,'capacity data'!A:A,B11,'capacity data'!E:E,"SPO")</f>
        <v>0</v>
      </c>
      <c r="D11" s="75">
        <f>SUMIFS('capacity data'!K:K,'capacity data'!E:E,"DMY",'capacity data'!A:A,B11)</f>
        <v>0</v>
      </c>
      <c r="E11" s="176">
        <f t="shared" si="0"/>
        <v>0</v>
      </c>
      <c r="F11" s="177" t="e">
        <f t="shared" si="1"/>
        <v>#DIV/0!</v>
      </c>
      <c r="G11" s="144">
        <f>SUMIF('capacity data'!A:A,B11,'capacity data'!K:K)</f>
        <v>0</v>
      </c>
    </row>
    <row r="12" spans="1:15" x14ac:dyDescent="0.15">
      <c r="B12" s="141" t="s">
        <v>23</v>
      </c>
      <c r="C12" s="75">
        <f>SUMIFS('capacity data'!K:K,'capacity data'!A:A,B12,'capacity data'!E:E,"SPO")</f>
        <v>0</v>
      </c>
      <c r="D12" s="75">
        <f>SUMIFS('capacity data'!K:K,'capacity data'!E:E,"DMY",'capacity data'!A:A,B12)</f>
        <v>0</v>
      </c>
      <c r="E12" s="176">
        <f t="shared" si="0"/>
        <v>0</v>
      </c>
      <c r="F12" s="177" t="e">
        <f t="shared" si="1"/>
        <v>#DIV/0!</v>
      </c>
      <c r="G12" s="144">
        <f>SUMIF('capacity data'!A:A,B12,'capacity data'!K:K)</f>
        <v>0</v>
      </c>
    </row>
    <row r="13" spans="1:15" x14ac:dyDescent="0.15">
      <c r="B13" s="141" t="s">
        <v>24</v>
      </c>
      <c r="C13" s="75">
        <f>SUMIFS('capacity data'!K:K,'capacity data'!A:A,B13,'capacity data'!E:E,"SPO")</f>
        <v>0</v>
      </c>
      <c r="D13" s="75">
        <f>SUMIFS('capacity data'!K:K,'capacity data'!E:E,"DMY",'capacity data'!A:A,B13)</f>
        <v>0</v>
      </c>
      <c r="E13" s="176">
        <f t="shared" ref="E13" si="2">SUM(C13:D13)</f>
        <v>0</v>
      </c>
      <c r="F13" s="177" t="e">
        <f t="shared" ref="F13" si="3">E13/G13</f>
        <v>#DIV/0!</v>
      </c>
      <c r="G13" s="144">
        <f>SUMIF('capacity data'!A:A,B13,'capacity data'!K:K)</f>
        <v>0</v>
      </c>
    </row>
    <row r="14" spans="1:15" x14ac:dyDescent="0.15">
      <c r="B14" s="141" t="s">
        <v>25</v>
      </c>
      <c r="C14" s="75">
        <f>SUMIFS('capacity data'!K:K,'capacity data'!A:A,B14,'capacity data'!E:E,"SPO")</f>
        <v>0</v>
      </c>
      <c r="D14" s="75">
        <f>SUMIFS('capacity data'!K:K,'capacity data'!E:E,"DMY",'capacity data'!A:A,B14)</f>
        <v>0</v>
      </c>
      <c r="E14" s="176">
        <f t="shared" si="0"/>
        <v>0</v>
      </c>
      <c r="F14" s="177" t="e">
        <f t="shared" si="1"/>
        <v>#DIV/0!</v>
      </c>
      <c r="G14" s="144">
        <f>SUMIF('capacity data'!A:A,B14,'capacity data'!K:K)</f>
        <v>0</v>
      </c>
    </row>
    <row r="15" spans="1:15" x14ac:dyDescent="0.15">
      <c r="B15" s="141" t="s">
        <v>26</v>
      </c>
      <c r="C15" s="75">
        <f>SUMIFS('capacity data'!K:K,'capacity data'!A:A,B15,'capacity data'!E:E,"SPO")</f>
        <v>0</v>
      </c>
      <c r="D15" s="75">
        <f>SUMIFS('capacity data'!K:K,'capacity data'!E:E,"DMY",'capacity data'!A:A,B15)</f>
        <v>0</v>
      </c>
      <c r="E15" s="176">
        <f t="shared" si="0"/>
        <v>0</v>
      </c>
      <c r="F15" s="177" t="e">
        <f t="shared" si="1"/>
        <v>#DIV/0!</v>
      </c>
      <c r="G15" s="144">
        <f>SUMIF('capacity data'!A:A,B15,'capacity data'!K:K)</f>
        <v>0</v>
      </c>
    </row>
    <row r="16" spans="1:15" x14ac:dyDescent="0.15">
      <c r="B16" s="141" t="s">
        <v>27</v>
      </c>
      <c r="C16" s="75">
        <f>SUMIFS('capacity data'!K:K,'capacity data'!A:A,B16,'capacity data'!E:E,"SPO")</f>
        <v>0</v>
      </c>
      <c r="D16" s="75">
        <f>SUMIFS('capacity data'!K:K,'capacity data'!E:E,"DMY",'capacity data'!A:A,B16)</f>
        <v>0</v>
      </c>
      <c r="E16" s="176">
        <f t="shared" si="0"/>
        <v>0</v>
      </c>
      <c r="F16" s="177" t="e">
        <f t="shared" si="1"/>
        <v>#DIV/0!</v>
      </c>
      <c r="G16" s="144">
        <f>SUMIF('capacity data'!A:A,B16,'capacity data'!K:K)</f>
        <v>0</v>
      </c>
    </row>
    <row r="17" spans="1:7" x14ac:dyDescent="0.15">
      <c r="B17" s="141" t="s">
        <v>28</v>
      </c>
      <c r="C17" s="75">
        <f>SUMIFS('capacity data'!K:K,'capacity data'!A:A,B17,'capacity data'!E:E,"SPO")</f>
        <v>0</v>
      </c>
      <c r="D17" s="75">
        <f>SUMIFS('capacity data'!K:K,'capacity data'!E:E,"DMY",'capacity data'!A:A,B17)</f>
        <v>0</v>
      </c>
      <c r="E17" s="176">
        <f t="shared" si="0"/>
        <v>0</v>
      </c>
      <c r="F17" s="177" t="e">
        <f t="shared" si="1"/>
        <v>#DIV/0!</v>
      </c>
      <c r="G17" s="144">
        <f>SUMIF('capacity data'!A:A,B17,'capacity data'!K:K)</f>
        <v>0</v>
      </c>
    </row>
    <row r="18" spans="1:7" ht="15" thickBot="1" x14ac:dyDescent="0.2">
      <c r="B18" s="178" t="s">
        <v>853</v>
      </c>
      <c r="C18" s="110">
        <f>SUMIF('capacity data'!E:E,"SPO",'capacity data'!K:K)</f>
        <v>0</v>
      </c>
      <c r="D18" s="110">
        <f>SUMIF('capacity data'!E:E,"DMY",'capacity data'!K:K)</f>
        <v>0</v>
      </c>
      <c r="E18" s="179">
        <f t="shared" ref="E18" si="4">SUM(C18:D18)</f>
        <v>0</v>
      </c>
      <c r="F18" s="180" t="e">
        <f t="shared" ref="F18" si="5">E18/G18</f>
        <v>#DIV/0!</v>
      </c>
      <c r="G18" s="110">
        <f>SUM('capacity data'!K:K)</f>
        <v>0</v>
      </c>
    </row>
    <row r="19" spans="1:7" x14ac:dyDescent="0.15">
      <c r="C19"/>
      <c r="E19"/>
      <c r="F19"/>
      <c r="G19"/>
    </row>
    <row r="20" spans="1:7" x14ac:dyDescent="0.15">
      <c r="A20" s="31"/>
    </row>
    <row r="21" spans="1:7" x14ac:dyDescent="0.15">
      <c r="A21" s="31"/>
      <c r="C21" s="17"/>
      <c r="D21" s="17"/>
    </row>
    <row r="22" spans="1:7" x14ac:dyDescent="0.15">
      <c r="A22" s="31"/>
    </row>
    <row r="23" spans="1:7" x14ac:dyDescent="0.15">
      <c r="A23" s="31"/>
    </row>
    <row r="24" spans="1:7" x14ac:dyDescent="0.15">
      <c r="A24" s="31"/>
    </row>
    <row r="25" spans="1:7" x14ac:dyDescent="0.15">
      <c r="A25" s="31"/>
    </row>
    <row r="26" spans="1:7" x14ac:dyDescent="0.15">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1"/>
  <sheetViews>
    <sheetView showGridLines="0" zoomScale="85" zoomScaleNormal="85" workbookViewId="0">
      <selection activeCell="L116" sqref="L116"/>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531" t="s">
        <v>1176</v>
      </c>
      <c r="B1" s="531"/>
      <c r="C1" s="531"/>
      <c r="D1" s="531"/>
      <c r="E1" s="531"/>
      <c r="F1" s="531"/>
      <c r="G1" s="531"/>
      <c r="H1" s="531"/>
      <c r="I1" s="531"/>
      <c r="J1" s="531"/>
      <c r="K1" s="531"/>
      <c r="L1" s="531"/>
      <c r="M1" s="531"/>
      <c r="N1" s="531"/>
      <c r="O1" s="260"/>
    </row>
    <row r="2" spans="1:15" ht="24.75" customHeight="1" x14ac:dyDescent="0.15">
      <c r="A2" s="571"/>
      <c r="B2" s="571"/>
      <c r="C2" s="571"/>
      <c r="D2" s="571"/>
      <c r="E2" s="571"/>
      <c r="F2" s="571"/>
      <c r="G2" s="571"/>
      <c r="H2" s="571"/>
      <c r="I2" s="571"/>
      <c r="J2" s="571"/>
      <c r="K2" s="571"/>
      <c r="L2" s="571"/>
      <c r="M2" s="571"/>
      <c r="N2" s="571"/>
      <c r="O2" s="571"/>
    </row>
    <row r="3" spans="1:15" ht="9" customHeight="1" x14ac:dyDescent="0.15">
      <c r="B3" s="18"/>
      <c r="C3" s="18"/>
      <c r="D3" s="19"/>
      <c r="E3" s="19"/>
      <c r="F3" s="19"/>
      <c r="G3" s="19"/>
      <c r="H3" s="19"/>
      <c r="I3" s="19"/>
      <c r="J3" s="19"/>
      <c r="K3" s="19"/>
      <c r="L3" s="19"/>
      <c r="M3" s="19"/>
    </row>
    <row r="4" spans="1:15" x14ac:dyDescent="0.15">
      <c r="B4" s="547" t="s">
        <v>1177</v>
      </c>
      <c r="C4" s="549"/>
      <c r="E4" s="582" t="s">
        <v>1178</v>
      </c>
      <c r="F4" s="583"/>
      <c r="G4" s="583"/>
      <c r="H4" s="578" t="s">
        <v>1179</v>
      </c>
      <c r="I4" s="269"/>
      <c r="J4" s="269"/>
      <c r="K4" s="269"/>
      <c r="L4" s="269"/>
      <c r="M4" s="269"/>
    </row>
    <row r="5" spans="1:15" ht="29.25" customHeight="1" x14ac:dyDescent="0.15">
      <c r="B5" s="574"/>
      <c r="C5" s="575"/>
      <c r="E5" s="574"/>
      <c r="F5" s="584"/>
      <c r="G5" s="584"/>
      <c r="H5" s="578"/>
      <c r="I5" s="269"/>
      <c r="J5" s="269"/>
      <c r="K5" s="269"/>
      <c r="L5" s="269"/>
      <c r="M5" s="269"/>
    </row>
    <row r="6" spans="1:15" x14ac:dyDescent="0.15">
      <c r="B6" s="62" t="str">
        <f>INDEX('reductions workings'!C:C,MATCH(C6,'reductions workings'!E:E,0))</f>
        <v>Long Term Sickness Absence</v>
      </c>
      <c r="C6" s="94">
        <f>LARGE('reductions workings'!E:E,1)</f>
        <v>8.9999999999999998E-4</v>
      </c>
      <c r="E6" s="569" t="str">
        <f>INDEX('reductions workings'!$G:$G,MATCH(G6,'reductions workings'!$H:$H,0))</f>
        <v>Adoption Leave</v>
      </c>
      <c r="F6" s="570"/>
      <c r="G6" s="191">
        <f>LARGE('reductions workings'!H:H,2)</f>
        <v>0</v>
      </c>
      <c r="H6" s="66" t="e">
        <f>G6/'reductions workings'!H55:$I$55</f>
        <v>#DIV/0!</v>
      </c>
      <c r="I6" s="111"/>
      <c r="J6" s="111"/>
      <c r="K6" s="111"/>
      <c r="L6" s="111"/>
      <c r="M6" s="111"/>
    </row>
    <row r="7" spans="1:15" x14ac:dyDescent="0.15">
      <c r="B7" s="62" t="str">
        <f>INDEX('reductions workings'!C:C,MATCH(C7,'reductions workings'!E:E,0))</f>
        <v>Long Term Sickness Absence</v>
      </c>
      <c r="C7" s="94">
        <f>LARGE('reductions workings'!E:E,2)</f>
        <v>8.9999999999999998E-4</v>
      </c>
      <c r="E7" s="569" t="str">
        <f>INDEX('reductions workings'!$G:$G,MATCH(G7,'reductions workings'!$H:$H,0))</f>
        <v>Adoption Leave</v>
      </c>
      <c r="F7" s="570"/>
      <c r="G7" s="191">
        <f>LARGE('reductions workings'!H:H,3)</f>
        <v>0</v>
      </c>
      <c r="H7" s="66" t="e">
        <f>G7/'reductions workings'!H$55:$I55</f>
        <v>#DIV/0!</v>
      </c>
      <c r="I7" s="111"/>
      <c r="J7" s="111"/>
      <c r="K7" s="111"/>
      <c r="L7" s="111"/>
      <c r="M7" s="111"/>
    </row>
    <row r="8" spans="1:15" x14ac:dyDescent="0.15">
      <c r="B8" s="62" t="str">
        <f>INDEX('reductions workings'!C:C,MATCH(C8,'reductions workings'!E:E,0))</f>
        <v>Left Service</v>
      </c>
      <c r="C8" s="94">
        <f>LARGE('reductions workings'!E:E,3)</f>
        <v>8.0000000000000004E-4</v>
      </c>
      <c r="E8" s="569" t="str">
        <f>INDEX('reductions workings'!$G:$G,MATCH(G8,'reductions workings'!$H:$H,0))</f>
        <v>Adoption Leave</v>
      </c>
      <c r="F8" s="570"/>
      <c r="G8" s="191">
        <f>LARGE('reductions workings'!H:H,4)</f>
        <v>0</v>
      </c>
      <c r="H8" s="66" t="e">
        <f>G8/'reductions workings'!H$55:$I55</f>
        <v>#DIV/0!</v>
      </c>
      <c r="I8" s="111"/>
      <c r="J8" s="111"/>
      <c r="K8" s="111"/>
      <c r="L8" s="111"/>
      <c r="M8" s="111"/>
    </row>
    <row r="9" spans="1:15" x14ac:dyDescent="0.15">
      <c r="B9" s="62" t="str">
        <f>INDEX('reductions workings'!C:C,MATCH(C9,'reductions workings'!E:E,0))</f>
        <v>Left Service</v>
      </c>
      <c r="C9" s="94">
        <f>LARGE('reductions workings'!E:E,4)</f>
        <v>8.0000000000000004E-4</v>
      </c>
      <c r="E9" s="569" t="str">
        <f>INDEX('reductions workings'!$G:$G,MATCH(G9,'reductions workings'!$H:$H,0))</f>
        <v>Adoption Leave</v>
      </c>
      <c r="F9" s="570"/>
      <c r="G9" s="191">
        <f>LARGE('reductions workings'!H:H,5)</f>
        <v>0</v>
      </c>
      <c r="H9" s="66" t="e">
        <f>G9/'reductions workings'!H$55:$I55</f>
        <v>#DIV/0!</v>
      </c>
      <c r="I9" s="111"/>
      <c r="J9" s="111"/>
      <c r="K9" s="111"/>
      <c r="L9" s="111"/>
      <c r="M9" s="111"/>
    </row>
    <row r="10" spans="1:15" x14ac:dyDescent="0.15">
      <c r="B10" s="62" t="str">
        <f>INDEX('reductions workings'!C:C,MATCH(C10,'reductions workings'!E:E,0))</f>
        <v>Groups (Induction)</v>
      </c>
      <c r="C10" s="94">
        <f>LARGE('reductions workings'!E:E,5)</f>
        <v>5.9999999999999995E-4</v>
      </c>
      <c r="E10" s="569" t="str">
        <f>INDEX('reductions workings'!$G:$G,MATCH(G10,'reductions workings'!$H:$H,0))</f>
        <v>Adoption Leave</v>
      </c>
      <c r="F10" s="570"/>
      <c r="G10" s="191">
        <f>LARGE('reductions workings'!H:H,6)</f>
        <v>0</v>
      </c>
      <c r="H10" s="66" t="e">
        <f>G10/'reductions workings'!H$55:$I55</f>
        <v>#DIV/0!</v>
      </c>
      <c r="I10" s="111"/>
      <c r="J10" s="111"/>
      <c r="K10" s="111"/>
      <c r="L10" s="111"/>
      <c r="M10" s="111"/>
    </row>
    <row r="11" spans="1:15" x14ac:dyDescent="0.15">
      <c r="B11" s="62" t="str">
        <f>INDEX('reductions workings'!C:C,MATCH(C11,'reductions workings'!E:E,0))</f>
        <v>Groups (Induction)</v>
      </c>
      <c r="C11" s="94">
        <f>LARGE('reductions workings'!E:E,6)</f>
        <v>5.9999999999999995E-4</v>
      </c>
      <c r="E11" s="569" t="str">
        <f>INDEX('reductions workings'!$G:$G,MATCH(G11,'reductions workings'!$H:$H,0))</f>
        <v>Adoption Leave</v>
      </c>
      <c r="F11" s="570"/>
      <c r="G11" s="191">
        <f>LARGE('reductions workings'!H:H,7)</f>
        <v>0</v>
      </c>
      <c r="H11" s="66" t="e">
        <f>G11/'reductions workings'!H$55:$I55</f>
        <v>#DIV/0!</v>
      </c>
      <c r="I11" s="111"/>
      <c r="J11" s="111"/>
      <c r="K11" s="111"/>
      <c r="L11" s="111"/>
      <c r="M11" s="111"/>
    </row>
    <row r="12" spans="1:15" x14ac:dyDescent="0.15">
      <c r="B12" s="62" t="str">
        <f>INDEX('reductions workings'!C:C,MATCH(C12,'reductions workings'!E:E,0))</f>
        <v>Groups (Group supervision)</v>
      </c>
      <c r="C12" s="94">
        <f>LARGE('reductions workings'!E:E,7)</f>
        <v>5.0000000000000001E-4</v>
      </c>
      <c r="E12" s="569" t="str">
        <f>INDEX('reductions workings'!$G:$G,MATCH(G12,'reductions workings'!$H:$H,0))</f>
        <v>Adoption Leave</v>
      </c>
      <c r="F12" s="570"/>
      <c r="G12" s="191">
        <f>LARGE('reductions workings'!H:H,8)</f>
        <v>0</v>
      </c>
      <c r="H12" s="66" t="e">
        <f>G12/'reductions workings'!H$55:$I55</f>
        <v>#DIV/0!</v>
      </c>
      <c r="I12" s="111"/>
      <c r="J12" s="111"/>
      <c r="K12" s="111"/>
      <c r="L12" s="111"/>
      <c r="M12" s="111"/>
    </row>
    <row r="13" spans="1:15" x14ac:dyDescent="0.15">
      <c r="B13" s="62" t="str">
        <f>INDEX('reductions workings'!C:C,MATCH(C13,'reductions workings'!E:E,0))</f>
        <v>Wellbeing/Work-life balance</v>
      </c>
      <c r="C13" s="94">
        <f>LARGE('reductions workings'!E:E,8)</f>
        <v>4.0999999999999999E-4</v>
      </c>
      <c r="E13" s="569" t="str">
        <f>INDEX('reductions workings'!$G:$G,MATCH(G13,'reductions workings'!$H:$H,0))</f>
        <v>Adoption Leave</v>
      </c>
      <c r="F13" s="570"/>
      <c r="G13" s="191">
        <f>LARGE('reductions workings'!H:H,9)</f>
        <v>0</v>
      </c>
      <c r="H13" s="66" t="e">
        <f>G13/'reductions workings'!H$55:$I55</f>
        <v>#DIV/0!</v>
      </c>
      <c r="I13" s="111"/>
      <c r="J13" s="111"/>
      <c r="K13" s="111"/>
      <c r="L13" s="111"/>
      <c r="M13" s="111"/>
    </row>
    <row r="14" spans="1:15" x14ac:dyDescent="0.15">
      <c r="B14" s="62" t="str">
        <f>INDEX('reductions workings'!C:C,MATCH(C14,'reductions workings'!E:E,0))</f>
        <v>Disability</v>
      </c>
      <c r="C14" s="94">
        <f>LARGE('reductions workings'!E:E,9)</f>
        <v>4.0000000000000002E-4</v>
      </c>
      <c r="E14" s="569" t="str">
        <f>INDEX('reductions workings'!$G:$G,MATCH(G14,'reductions workings'!$H:$H,0))</f>
        <v>Adoption Leave</v>
      </c>
      <c r="F14" s="570"/>
      <c r="G14" s="191">
        <f>LARGE('reductions workings'!H:H,10)</f>
        <v>0</v>
      </c>
      <c r="H14" s="66" t="e">
        <f>G14/'reductions workings'!H$55:$I55</f>
        <v>#DIV/0!</v>
      </c>
      <c r="I14" s="111"/>
      <c r="J14" s="111"/>
      <c r="K14" s="111"/>
      <c r="L14" s="111"/>
      <c r="M14" s="111"/>
    </row>
    <row r="15" spans="1:15" x14ac:dyDescent="0.15">
      <c r="B15" s="62" t="str">
        <f>INDEX('reductions workings'!C:C,MATCH(C15,'reductions workings'!E:E,0))</f>
        <v>VQ3</v>
      </c>
      <c r="C15" s="94">
        <f>LARGE('reductions workings'!E:E,10)</f>
        <v>3.8999999999999999E-4</v>
      </c>
      <c r="E15" s="569" t="str">
        <f>INDEX('reductions workings'!$G:$G,MATCH(G15,'reductions workings'!$H:$H,0))</f>
        <v>Adoption Leave</v>
      </c>
      <c r="F15" s="570"/>
      <c r="G15" s="191">
        <f>LARGE('reductions workings'!H:H,11)</f>
        <v>0</v>
      </c>
      <c r="H15" s="66" t="e">
        <f>G15/'reductions workings'!H$55:$I55</f>
        <v>#DIV/0!</v>
      </c>
      <c r="I15" s="111"/>
      <c r="J15" s="111"/>
      <c r="K15" s="111"/>
      <c r="L15" s="111"/>
      <c r="M15" s="111"/>
    </row>
    <row r="16" spans="1:15" x14ac:dyDescent="0.15">
      <c r="B16" s="62" t="str">
        <f>INDEX('reductions workings'!C:C,MATCH(C16,'reductions workings'!E:E,0))</f>
        <v>VQ3</v>
      </c>
      <c r="C16" s="94">
        <f>LARGE('reductions workings'!E:E,11)</f>
        <v>3.8999999999999999E-4</v>
      </c>
      <c r="E16" s="569" t="str">
        <f>INDEX('reductions workings'!$G:$G,MATCH(G16,'reductions workings'!$H:$H,0))</f>
        <v>Adoption Leave</v>
      </c>
      <c r="F16" s="570"/>
      <c r="G16" s="191">
        <f>LARGE('reductions workings'!H:H,12)</f>
        <v>0</v>
      </c>
      <c r="H16" s="66" t="e">
        <f>G16/'reductions workings'!H$55:$I55</f>
        <v>#DIV/0!</v>
      </c>
      <c r="I16" s="111"/>
      <c r="J16" s="111"/>
      <c r="K16" s="111"/>
      <c r="L16" s="111"/>
      <c r="M16" s="111"/>
    </row>
    <row r="17" spans="2:15" x14ac:dyDescent="0.15">
      <c r="B17" s="62" t="str">
        <f>INDEX('reductions workings'!C:C,MATCH(C17,'reductions workings'!E:E,0))</f>
        <v>Trade Union Facility Time</v>
      </c>
      <c r="C17" s="94">
        <f>LARGE('reductions workings'!E:E,12)</f>
        <v>3.8000000000000002E-4</v>
      </c>
      <c r="E17" s="569" t="str">
        <f>INDEX('reductions workings'!$G:$G,MATCH(G17,'reductions workings'!$H:$H,0))</f>
        <v>Adoption Leave</v>
      </c>
      <c r="F17" s="570"/>
      <c r="G17" s="191">
        <f>LARGE('reductions workings'!H:H,13)</f>
        <v>0</v>
      </c>
      <c r="H17" s="66" t="e">
        <f>G17/'reductions workings'!H$55:$I55</f>
        <v>#DIV/0!</v>
      </c>
      <c r="I17" s="111"/>
      <c r="J17" s="111"/>
      <c r="K17" s="111"/>
      <c r="L17" s="111"/>
      <c r="M17" s="111"/>
    </row>
    <row r="18" spans="2:15" x14ac:dyDescent="0.15">
      <c r="B18" s="62" t="str">
        <f>INDEX('reductions workings'!C:C,MATCH(C18,'reductions workings'!E:E,0))</f>
        <v>SPOC Lead</v>
      </c>
      <c r="C18" s="94">
        <f>LARGE('reductions workings'!E:E,13)</f>
        <v>3.6999999999999999E-4</v>
      </c>
      <c r="E18" s="569" t="str">
        <f>INDEX('reductions workings'!$G:$G,MATCH(G18,'reductions workings'!$H:$H,0))</f>
        <v>Adoption Leave</v>
      </c>
      <c r="F18" s="570"/>
      <c r="G18" s="191">
        <f>LARGE('reductions workings'!H:H,14)</f>
        <v>0</v>
      </c>
      <c r="H18" s="66" t="e">
        <f>G18/'reductions workings'!H$55:$I55</f>
        <v>#DIV/0!</v>
      </c>
      <c r="I18" s="111"/>
      <c r="J18" s="111"/>
      <c r="K18" s="111"/>
      <c r="L18" s="111"/>
      <c r="M18" s="111"/>
    </row>
    <row r="19" spans="2:15" x14ac:dyDescent="0.15">
      <c r="B19" s="62" t="str">
        <f>INDEX('reductions workings'!C:C,MATCH(C19,'reductions workings'!E:E,0))</f>
        <v>Split Role</v>
      </c>
      <c r="C19" s="94">
        <f>LARGE('reductions workings'!E:E,14)</f>
        <v>3.6000000000000002E-4</v>
      </c>
      <c r="E19" s="569" t="str">
        <f>INDEX('reductions workings'!$G:$G,MATCH(G19,'reductions workings'!$H:$H,0))</f>
        <v>Adoption Leave</v>
      </c>
      <c r="F19" s="570"/>
      <c r="G19" s="191">
        <f>LARGE('reductions workings'!H:H,15)</f>
        <v>0</v>
      </c>
      <c r="H19" s="66" t="e">
        <f>G19/'reductions workings'!H$55:$I55</f>
        <v>#DIV/0!</v>
      </c>
      <c r="I19" s="111"/>
      <c r="J19" s="111"/>
      <c r="K19" s="111"/>
      <c r="L19" s="111"/>
      <c r="M19" s="111"/>
    </row>
    <row r="20" spans="2:15" x14ac:dyDescent="0.15">
      <c r="B20" s="62" t="str">
        <f>INDEX('reductions workings'!C:C,MATCH(C20,'reductions workings'!E:E,0))</f>
        <v>Special Leave</v>
      </c>
      <c r="C20" s="94">
        <f>LARGE('reductions workings'!E:E,15)</f>
        <v>3.5E-4</v>
      </c>
      <c r="E20" s="569" t="str">
        <f>INDEX('reductions workings'!$G:$G,MATCH(G20,'reductions workings'!$H:$H,0))</f>
        <v>Adoption Leave</v>
      </c>
      <c r="F20" s="570"/>
      <c r="G20" s="191">
        <f>LARGE('reductions workings'!H:H,16)</f>
        <v>0</v>
      </c>
      <c r="H20" s="66" t="e">
        <f>G20/'reductions workings'!H$55:$I55</f>
        <v>#DIV/0!</v>
      </c>
      <c r="I20" s="111"/>
      <c r="J20" s="111"/>
      <c r="K20" s="111"/>
      <c r="L20" s="111"/>
      <c r="M20" s="111"/>
    </row>
    <row r="21" spans="2:15" ht="28" x14ac:dyDescent="0.15">
      <c r="B21" s="217" t="s">
        <v>1180</v>
      </c>
      <c r="C21" s="134">
        <f>SUM(C6:C20)</f>
        <v>8.1499999999999993E-3</v>
      </c>
      <c r="E21" s="581" t="s">
        <v>1181</v>
      </c>
      <c r="F21" s="570"/>
      <c r="G21" s="579">
        <f>SUM(G6:G20)</f>
        <v>0</v>
      </c>
      <c r="H21" s="580"/>
      <c r="I21" s="6"/>
      <c r="J21" s="6"/>
      <c r="K21" s="6"/>
      <c r="L21" s="6"/>
      <c r="M21" s="6"/>
    </row>
    <row r="22" spans="2:15" ht="28" x14ac:dyDescent="0.15">
      <c r="B22" s="218" t="s">
        <v>1182</v>
      </c>
      <c r="C22" s="135">
        <f>COUNTIF('reductions data'!K:K,"ACTIVE")</f>
        <v>0</v>
      </c>
      <c r="E22" s="576" t="s">
        <v>1183</v>
      </c>
      <c r="F22" s="577"/>
      <c r="G22" s="579">
        <f>LARGE('reductions workings'!H:H,1)</f>
        <v>0</v>
      </c>
      <c r="H22" s="580"/>
      <c r="I22" s="6"/>
      <c r="J22" s="6"/>
      <c r="K22" s="6"/>
      <c r="L22" s="6"/>
      <c r="M22" s="6"/>
    </row>
    <row r="23" spans="2:15" ht="16" x14ac:dyDescent="0.2">
      <c r="B23" s="1"/>
      <c r="C23" s="1"/>
    </row>
    <row r="24" spans="2:15" ht="20" x14ac:dyDescent="0.2">
      <c r="C24" s="572" t="s">
        <v>1184</v>
      </c>
      <c r="D24" s="573"/>
      <c r="E24" s="573"/>
      <c r="F24" s="573"/>
      <c r="G24" s="573"/>
      <c r="H24" s="573"/>
      <c r="I24" s="573"/>
      <c r="J24" s="573"/>
      <c r="K24" s="573"/>
      <c r="L24" s="573"/>
      <c r="M24" s="573"/>
      <c r="N24" s="573"/>
      <c r="O24" s="573"/>
    </row>
    <row r="25" spans="2:15" ht="40.5" customHeight="1" x14ac:dyDescent="0.15">
      <c r="B25" s="76" t="s">
        <v>894</v>
      </c>
      <c r="C25" s="76" t="s">
        <v>17</v>
      </c>
      <c r="D25" s="76" t="s">
        <v>18</v>
      </c>
      <c r="E25" s="76" t="s">
        <v>19</v>
      </c>
      <c r="F25" s="76" t="s">
        <v>20</v>
      </c>
      <c r="G25" s="76" t="s">
        <v>21</v>
      </c>
      <c r="H25" s="76" t="s">
        <v>22</v>
      </c>
      <c r="I25" s="76" t="s">
        <v>23</v>
      </c>
      <c r="J25" s="76" t="s">
        <v>24</v>
      </c>
      <c r="K25" s="76" t="s">
        <v>25</v>
      </c>
      <c r="L25" s="76" t="s">
        <v>26</v>
      </c>
      <c r="M25" s="76" t="s">
        <v>27</v>
      </c>
      <c r="N25" s="76" t="s">
        <v>28</v>
      </c>
      <c r="O25" s="76" t="s">
        <v>1185</v>
      </c>
    </row>
    <row r="26" spans="2:15" x14ac:dyDescent="0.15">
      <c r="B26" s="112" t="s">
        <v>897</v>
      </c>
      <c r="C26" s="62">
        <f>COUNTIFS('reductions data'!G:G,'reasons for reduction division'!B26,'reductions data'!A:A,$C$25)</f>
        <v>0</v>
      </c>
      <c r="D26" s="62">
        <f>COUNTIFS('reductions data'!G:G,'reasons for reduction division'!B26,'reductions data'!A:A,$D$25)</f>
        <v>0</v>
      </c>
      <c r="E26" s="62">
        <f>COUNTIFS('reductions data'!G:G,'reasons for reduction division'!B26,'reductions data'!A:A,$E$25)</f>
        <v>0</v>
      </c>
      <c r="F26" s="62">
        <f>COUNTIFS('reductions data'!G:G,'reasons for reduction division'!B26,'reductions data'!A:A,$F$25)</f>
        <v>0</v>
      </c>
      <c r="G26" s="62">
        <f>COUNTIFS('reductions data'!G:G,'reasons for reduction division'!B26,'reductions data'!A:A,$G$25)</f>
        <v>0</v>
      </c>
      <c r="H26" s="62">
        <f>COUNTIFS('reductions data'!G:G,'reasons for reduction division'!B26,'reductions data'!A:A,$H$25)</f>
        <v>0</v>
      </c>
      <c r="I26" s="62">
        <f>COUNTIFS('reductions data'!G:G,'reasons for reduction division'!B26,'reductions data'!A:A,$I$25)</f>
        <v>0</v>
      </c>
      <c r="J26" s="62">
        <f>COUNTIFS('reductions data'!G:G,'reasons for reduction division'!B26,'reductions data'!A:A,$J$25)</f>
        <v>0</v>
      </c>
      <c r="K26" s="62">
        <f>COUNTIFS('reductions data'!G:G,'reasons for reduction division'!B26,'reductions data'!A:A,$K$25)</f>
        <v>0</v>
      </c>
      <c r="L26" s="62">
        <f>COUNTIFS('reductions data'!G:G,'reasons for reduction division'!B26,'reductions data'!A:A,$L$25)</f>
        <v>0</v>
      </c>
      <c r="M26" s="62">
        <f>COUNTIFS('reductions data'!G:G,'reasons for reduction division'!B26,'reductions data'!A:A,$M$25)</f>
        <v>0</v>
      </c>
      <c r="N26" s="62">
        <f>COUNTIFS('reductions data'!G:G,'reasons for reduction division'!B26,'reductions data'!A:A,$N$25)</f>
        <v>0</v>
      </c>
      <c r="O26" s="105">
        <f>COUNTIF('reductions data'!G:G,'reasons for reduction division'!B26)</f>
        <v>0</v>
      </c>
    </row>
    <row r="27" spans="2:15" x14ac:dyDescent="0.15">
      <c r="B27" s="113" t="s">
        <v>899</v>
      </c>
      <c r="C27" s="62">
        <f>COUNTIFS('reductions data'!G:G,'reasons for reduction division'!B27,'reductions data'!A:A,$C$25)</f>
        <v>0</v>
      </c>
      <c r="D27" s="62">
        <f>COUNTIFS('reductions data'!G:G,'reasons for reduction division'!B27,'reductions data'!A:A,$D$25)</f>
        <v>0</v>
      </c>
      <c r="E27" s="62">
        <f>COUNTIFS('reductions data'!G:G,'reasons for reduction division'!B27,'reductions data'!A:A,$E$25)</f>
        <v>0</v>
      </c>
      <c r="F27" s="62">
        <f>COUNTIFS('reductions data'!G:G,'reasons for reduction division'!B27,'reductions data'!A:A,$F$25)</f>
        <v>0</v>
      </c>
      <c r="G27" s="62">
        <f>COUNTIFS('reductions data'!G:G,'reasons for reduction division'!B27,'reductions data'!A:A,$G$25)</f>
        <v>0</v>
      </c>
      <c r="H27" s="62">
        <f>COUNTIFS('reductions data'!G:G,'reasons for reduction division'!B27,'reductions data'!A:A,$H$25)</f>
        <v>0</v>
      </c>
      <c r="I27" s="62">
        <f>COUNTIFS('reductions data'!G:G,'reasons for reduction division'!B27,'reductions data'!A:A,$I$25)</f>
        <v>0</v>
      </c>
      <c r="J27" s="62">
        <f>COUNTIFS('reductions data'!G:G,'reasons for reduction division'!B27,'reductions data'!A:A,$J$25)</f>
        <v>0</v>
      </c>
      <c r="K27" s="62">
        <f>COUNTIFS('reductions data'!G:G,'reasons for reduction division'!B27,'reductions data'!A:A,$K$25)</f>
        <v>0</v>
      </c>
      <c r="L27" s="62">
        <f>COUNTIFS('reductions data'!G:G,'reasons for reduction division'!B27,'reductions data'!A:A,$L$25)</f>
        <v>0</v>
      </c>
      <c r="M27" s="62">
        <f>COUNTIFS('reductions data'!G:G,'reasons for reduction division'!B27,'reductions data'!A:A,$M$25)</f>
        <v>0</v>
      </c>
      <c r="N27" s="62">
        <f>COUNTIFS('reductions data'!G:G,'reasons for reduction division'!B27,'reductions data'!A:A,$N$25)</f>
        <v>0</v>
      </c>
      <c r="O27" s="105">
        <f>COUNTIF('reductions data'!G:G,'reasons for reduction division'!B27)</f>
        <v>0</v>
      </c>
    </row>
    <row r="28" spans="2:15" x14ac:dyDescent="0.15">
      <c r="B28" s="113" t="s">
        <v>898</v>
      </c>
      <c r="C28" s="62">
        <f>COUNTIFS('reductions data'!G:G,'reasons for reduction division'!B28,'reductions data'!A:A,$C$25)</f>
        <v>0</v>
      </c>
      <c r="D28" s="62">
        <f>COUNTIFS('reductions data'!G:G,'reasons for reduction division'!B28,'reductions data'!A:A,$D$25)</f>
        <v>0</v>
      </c>
      <c r="E28" s="62">
        <f>COUNTIFS('reductions data'!G:G,'reasons for reduction division'!B28,'reductions data'!A:A,$E$25)</f>
        <v>0</v>
      </c>
      <c r="F28" s="62">
        <f>COUNTIFS('reductions data'!G:G,'reasons for reduction division'!B28,'reductions data'!A:A,$F$25)</f>
        <v>0</v>
      </c>
      <c r="G28" s="62">
        <f>COUNTIFS('reductions data'!G:G,'reasons for reduction division'!B28,'reductions data'!A:A,$G$25)</f>
        <v>0</v>
      </c>
      <c r="H28" s="62">
        <f>COUNTIFS('reductions data'!G:G,'reasons for reduction division'!B28,'reductions data'!A:A,$H$25)</f>
        <v>0</v>
      </c>
      <c r="I28" s="62">
        <f>COUNTIFS('reductions data'!G:G,'reasons for reduction division'!B28,'reductions data'!A:A,$I$25)</f>
        <v>0</v>
      </c>
      <c r="J28" s="62">
        <f>COUNTIFS('reductions data'!G:G,'reasons for reduction division'!B28,'reductions data'!A:A,$J$25)</f>
        <v>0</v>
      </c>
      <c r="K28" s="62">
        <f>COUNTIFS('reductions data'!G:G,'reasons for reduction division'!B28,'reductions data'!A:A,$K$25)</f>
        <v>0</v>
      </c>
      <c r="L28" s="62">
        <f>COUNTIFS('reductions data'!G:G,'reasons for reduction division'!B28,'reductions data'!A:A,$L$25)</f>
        <v>0</v>
      </c>
      <c r="M28" s="62">
        <f>COUNTIFS('reductions data'!G:G,'reasons for reduction division'!B28,'reductions data'!A:A,$M$25)</f>
        <v>0</v>
      </c>
      <c r="N28" s="62">
        <f>COUNTIFS('reductions data'!G:G,'reasons for reduction division'!B28,'reductions data'!A:A,$N$25)</f>
        <v>0</v>
      </c>
      <c r="O28" s="105">
        <f>COUNTIF('reductions data'!G:G,'reasons for reduction division'!B28)</f>
        <v>0</v>
      </c>
    </row>
    <row r="29" spans="2:15" x14ac:dyDescent="0.15">
      <c r="B29" s="113" t="s">
        <v>900</v>
      </c>
      <c r="C29" s="62">
        <f>COUNTIFS('reductions data'!G:G,'reasons for reduction division'!B29,'reductions data'!A:A,$C$25)</f>
        <v>0</v>
      </c>
      <c r="D29" s="62">
        <f>COUNTIFS('reductions data'!G:G,'reasons for reduction division'!B29,'reductions data'!A:A,$D$25)</f>
        <v>0</v>
      </c>
      <c r="E29" s="62">
        <f>COUNTIFS('reductions data'!G:G,'reasons for reduction division'!B29,'reductions data'!A:A,$E$25)</f>
        <v>0</v>
      </c>
      <c r="F29" s="62">
        <f>COUNTIFS('reductions data'!G:G,'reasons for reduction division'!B29,'reductions data'!A:A,$F$25)</f>
        <v>0</v>
      </c>
      <c r="G29" s="62">
        <f>COUNTIFS('reductions data'!G:G,'reasons for reduction division'!B29,'reductions data'!A:A,$G$25)</f>
        <v>0</v>
      </c>
      <c r="H29" s="62">
        <f>COUNTIFS('reductions data'!G:G,'reasons for reduction division'!B29,'reductions data'!A:A,$H$25)</f>
        <v>0</v>
      </c>
      <c r="I29" s="62">
        <f>COUNTIFS('reductions data'!G:G,'reasons for reduction division'!B29,'reductions data'!A:A,$I$25)</f>
        <v>0</v>
      </c>
      <c r="J29" s="62">
        <f>COUNTIFS('reductions data'!G:G,'reasons for reduction division'!B29,'reductions data'!A:A,$J$25)</f>
        <v>0</v>
      </c>
      <c r="K29" s="62">
        <f>COUNTIFS('reductions data'!G:G,'reasons for reduction division'!B29,'reductions data'!A:A,$K$25)</f>
        <v>0</v>
      </c>
      <c r="L29" s="62">
        <f>COUNTIFS('reductions data'!G:G,'reasons for reduction division'!B29,'reductions data'!A:A,$L$25)</f>
        <v>0</v>
      </c>
      <c r="M29" s="62">
        <f>COUNTIFS('reductions data'!G:G,'reasons for reduction division'!B29,'reductions data'!A:A,$M$25)</f>
        <v>0</v>
      </c>
      <c r="N29" s="62">
        <f>COUNTIFS('reductions data'!G:G,'reasons for reduction division'!B29,'reductions data'!A:A,$N$25)</f>
        <v>0</v>
      </c>
      <c r="O29" s="105">
        <f>COUNTIF('reductions data'!G:G,'reasons for reduction division'!B29)</f>
        <v>0</v>
      </c>
    </row>
    <row r="30" spans="2:15" x14ac:dyDescent="0.15">
      <c r="B30" s="113" t="s">
        <v>901</v>
      </c>
      <c r="C30" s="62">
        <f>COUNTIFS('reductions data'!G:G,'reasons for reduction division'!B30,'reductions data'!A:A,$C$25)</f>
        <v>0</v>
      </c>
      <c r="D30" s="62">
        <f>COUNTIFS('reductions data'!G:G,'reasons for reduction division'!B30,'reductions data'!A:A,$D$25)</f>
        <v>0</v>
      </c>
      <c r="E30" s="62">
        <f>COUNTIFS('reductions data'!G:G,'reasons for reduction division'!B30,'reductions data'!A:A,$E$25)</f>
        <v>0</v>
      </c>
      <c r="F30" s="62">
        <f>COUNTIFS('reductions data'!G:G,'reasons for reduction division'!B30,'reductions data'!A:A,$F$25)</f>
        <v>0</v>
      </c>
      <c r="G30" s="62">
        <f>COUNTIFS('reductions data'!G:G,'reasons for reduction division'!B30,'reductions data'!A:A,$G$25)</f>
        <v>0</v>
      </c>
      <c r="H30" s="62">
        <f>COUNTIFS('reductions data'!G:G,'reasons for reduction division'!B30,'reductions data'!A:A,$H$25)</f>
        <v>0</v>
      </c>
      <c r="I30" s="62">
        <f>COUNTIFS('reductions data'!G:G,'reasons for reduction division'!B30,'reductions data'!A:A,$I$25)</f>
        <v>0</v>
      </c>
      <c r="J30" s="62">
        <f>COUNTIFS('reductions data'!G:G,'reasons for reduction division'!B30,'reductions data'!A:A,$J$25)</f>
        <v>0</v>
      </c>
      <c r="K30" s="62">
        <f>COUNTIFS('reductions data'!G:G,'reasons for reduction division'!B30,'reductions data'!A:A,$K$25)</f>
        <v>0</v>
      </c>
      <c r="L30" s="62">
        <f>COUNTIFS('reductions data'!G:G,'reasons for reduction division'!B30,'reductions data'!A:A,$L$25)</f>
        <v>0</v>
      </c>
      <c r="M30" s="62">
        <f>COUNTIFS('reductions data'!G:G,'reasons for reduction division'!B30,'reductions data'!A:A,$M$25)</f>
        <v>0</v>
      </c>
      <c r="N30" s="62">
        <f>COUNTIFS('reductions data'!G:G,'reasons for reduction division'!B30,'reductions data'!A:A,$N$25)</f>
        <v>0</v>
      </c>
      <c r="O30" s="105">
        <f>COUNTIF('reductions data'!G:G,'reasons for reduction division'!B30)</f>
        <v>0</v>
      </c>
    </row>
    <row r="31" spans="2:15" ht="15" customHeight="1" x14ac:dyDescent="0.15">
      <c r="B31" s="113" t="s">
        <v>902</v>
      </c>
      <c r="C31" s="62">
        <f>COUNTIFS('reductions data'!G:G,'reasons for reduction division'!B31,'reductions data'!A:A,$C$25)</f>
        <v>0</v>
      </c>
      <c r="D31" s="62">
        <f>COUNTIFS('reductions data'!G:G,'reasons for reduction division'!B31,'reductions data'!A:A,$D$25)</f>
        <v>0</v>
      </c>
      <c r="E31" s="62">
        <f>COUNTIFS('reductions data'!G:G,'reasons for reduction division'!B31,'reductions data'!A:A,$E$25)</f>
        <v>0</v>
      </c>
      <c r="F31" s="62">
        <f>COUNTIFS('reductions data'!G:G,'reasons for reduction division'!B31,'reductions data'!A:A,$F$25)</f>
        <v>0</v>
      </c>
      <c r="G31" s="62">
        <f>COUNTIFS('reductions data'!G:G,'reasons for reduction division'!B31,'reductions data'!A:A,$G$25)</f>
        <v>0</v>
      </c>
      <c r="H31" s="62">
        <f>COUNTIFS('reductions data'!G:G,'reasons for reduction division'!B31,'reductions data'!A:A,$H$25)</f>
        <v>0</v>
      </c>
      <c r="I31" s="62">
        <f>COUNTIFS('reductions data'!G:G,'reasons for reduction division'!B31,'reductions data'!A:A,$I$25)</f>
        <v>0</v>
      </c>
      <c r="J31" s="62">
        <f>COUNTIFS('reductions data'!G:G,'reasons for reduction division'!B31,'reductions data'!A:A,$J$25)</f>
        <v>0</v>
      </c>
      <c r="K31" s="62">
        <f>COUNTIFS('reductions data'!G:G,'reasons for reduction division'!B31,'reductions data'!A:A,$K$25)</f>
        <v>0</v>
      </c>
      <c r="L31" s="62">
        <f>COUNTIFS('reductions data'!G:G,'reasons for reduction division'!B31,'reductions data'!A:A,$L$25)</f>
        <v>0</v>
      </c>
      <c r="M31" s="62">
        <f>COUNTIFS('reductions data'!G:G,'reasons for reduction division'!B31,'reductions data'!A:A,$M$25)</f>
        <v>0</v>
      </c>
      <c r="N31" s="62">
        <f>COUNTIFS('reductions data'!G:G,'reasons for reduction division'!B31,'reductions data'!A:A,$N$25)</f>
        <v>0</v>
      </c>
      <c r="O31" s="105">
        <f>COUNTIF('reductions data'!G:G,'reasons for reduction division'!B31)</f>
        <v>0</v>
      </c>
    </row>
    <row r="32" spans="2:15" ht="15" customHeight="1" x14ac:dyDescent="0.15">
      <c r="B32" s="113" t="s">
        <v>903</v>
      </c>
      <c r="C32" s="62">
        <f>COUNTIFS('reductions data'!G:G,'reasons for reduction division'!B32,'reductions data'!A:A,$C$25)</f>
        <v>0</v>
      </c>
      <c r="D32" s="62">
        <f>COUNTIFS('reductions data'!G:G,'reasons for reduction division'!B32,'reductions data'!A:A,$D$25)</f>
        <v>0</v>
      </c>
      <c r="E32" s="62">
        <f>COUNTIFS('reductions data'!G:G,'reasons for reduction division'!B32,'reductions data'!A:A,$E$25)</f>
        <v>0</v>
      </c>
      <c r="F32" s="62">
        <f>COUNTIFS('reductions data'!G:G,'reasons for reduction division'!B32,'reductions data'!A:A,$F$25)</f>
        <v>0</v>
      </c>
      <c r="G32" s="62">
        <f>COUNTIFS('reductions data'!G:G,'reasons for reduction division'!B32,'reductions data'!A:A,$G$25)</f>
        <v>0</v>
      </c>
      <c r="H32" s="62">
        <f>COUNTIFS('reductions data'!G:G,'reasons for reduction division'!B32,'reductions data'!A:A,$H$25)</f>
        <v>0</v>
      </c>
      <c r="I32" s="62">
        <f>COUNTIFS('reductions data'!G:G,'reasons for reduction division'!B32,'reductions data'!A:A,$I$25)</f>
        <v>0</v>
      </c>
      <c r="J32" s="62">
        <f>COUNTIFS('reductions data'!G:G,'reasons for reduction division'!B32,'reductions data'!A:A,$J$25)</f>
        <v>0</v>
      </c>
      <c r="K32" s="62">
        <f>COUNTIFS('reductions data'!G:G,'reasons for reduction division'!B32,'reductions data'!A:A,$K$25)</f>
        <v>0</v>
      </c>
      <c r="L32" s="62">
        <f>COUNTIFS('reductions data'!G:G,'reasons for reduction division'!B32,'reductions data'!A:A,$L$25)</f>
        <v>0</v>
      </c>
      <c r="M32" s="62">
        <f>COUNTIFS('reductions data'!G:G,'reasons for reduction division'!B32,'reductions data'!A:A,$M$25)</f>
        <v>0</v>
      </c>
      <c r="N32" s="62">
        <f>COUNTIFS('reductions data'!G:G,'reasons for reduction division'!B32,'reductions data'!A:A,$N$25)</f>
        <v>0</v>
      </c>
      <c r="O32" s="105">
        <f>COUNTIF('reductions data'!G:G,'reasons for reduction division'!B32)</f>
        <v>0</v>
      </c>
    </row>
    <row r="33" spans="2:15" x14ac:dyDescent="0.15">
      <c r="B33" s="113" t="s">
        <v>1262</v>
      </c>
      <c r="C33" s="62">
        <f>COUNTIFS('reductions data'!G:G,'reasons for reduction division'!B34,'reductions data'!A:A,$C$25)</f>
        <v>0</v>
      </c>
      <c r="D33" s="62">
        <f>COUNTIFS('reductions data'!G:G,'reasons for reduction division'!B34,'reductions data'!A:A,$D$25)</f>
        <v>0</v>
      </c>
      <c r="E33" s="62">
        <f>COUNTIFS('reductions data'!G:G,'reasons for reduction division'!B34,'reductions data'!A:A,$E$25)</f>
        <v>0</v>
      </c>
      <c r="F33" s="62">
        <f>COUNTIFS('reductions data'!G:G,'reasons for reduction division'!B33,'reductions data'!A:A,$F$25)</f>
        <v>0</v>
      </c>
      <c r="G33" s="62">
        <f>COUNTIFS('reductions data'!G:G,'reasons for reduction division'!B33,'reductions data'!A:A,$G$25)</f>
        <v>0</v>
      </c>
      <c r="H33" s="62">
        <f>COUNTIFS('reductions data'!G:G,'reasons for reduction division'!B33,'reductions data'!A:A,$H$25)</f>
        <v>0</v>
      </c>
      <c r="I33" s="62">
        <f>COUNTIFS('reductions data'!G:G,'reasons for reduction division'!B33,'reductions data'!A:A,$I$25)</f>
        <v>0</v>
      </c>
      <c r="J33" s="62">
        <f>COUNTIFS('reductions data'!G:G,'reasons for reduction division'!B33,'reductions data'!A:A,$J$25)</f>
        <v>0</v>
      </c>
      <c r="K33" s="62">
        <f>COUNTIFS('reductions data'!G:G,'reasons for reduction division'!B33,'reductions data'!A:A,$K$25)</f>
        <v>0</v>
      </c>
      <c r="L33" s="62">
        <f>COUNTIFS('reductions data'!G:G,'reasons for reduction division'!B33,'reductions data'!A:A,$L$25)</f>
        <v>0</v>
      </c>
      <c r="M33" s="62">
        <f>COUNTIFS('reductions data'!G:G,'reasons for reduction division'!B33,'reductions data'!A:A,$M$25)</f>
        <v>0</v>
      </c>
      <c r="N33" s="62">
        <f>COUNTIFS('reductions data'!G:G,'reasons for reduction division'!B33,'reductions data'!A:A,$N$25)</f>
        <v>0</v>
      </c>
      <c r="O33" s="105">
        <f>COUNTIF('reductions data'!G:G,'reasons for reduction division'!B33)</f>
        <v>0</v>
      </c>
    </row>
    <row r="34" spans="2:15" x14ac:dyDescent="0.15">
      <c r="B34" s="113" t="s">
        <v>904</v>
      </c>
      <c r="C34" s="62">
        <f>COUNTIFS('reductions data'!G:G,'reasons for reduction division'!B33,'reductions data'!A:A,$C$25)</f>
        <v>0</v>
      </c>
      <c r="D34" s="62">
        <f>COUNTIFS('reductions data'!G:G,'reasons for reduction division'!B33,'reductions data'!A:A,$D$25)</f>
        <v>0</v>
      </c>
      <c r="E34" s="62">
        <f>COUNTIFS('reductions data'!G:G,'reasons for reduction division'!B33,'reductions data'!A:A,$E$25)</f>
        <v>0</v>
      </c>
      <c r="F34" s="62">
        <f>COUNTIFS('reductions data'!G:G,'reasons for reduction division'!B34,'reductions data'!A:A,$F$25)</f>
        <v>0</v>
      </c>
      <c r="G34" s="62">
        <f>COUNTIFS('reductions data'!G:G,'reasons for reduction division'!B34,'reductions data'!A:A,$G$25)</f>
        <v>0</v>
      </c>
      <c r="H34" s="62">
        <f>COUNTIFS('reductions data'!G:G,'reasons for reduction division'!B34,'reductions data'!A:A,$H$25)</f>
        <v>0</v>
      </c>
      <c r="I34" s="62">
        <f>COUNTIFS('reductions data'!G:G,'reasons for reduction division'!B34,'reductions data'!A:A,$I$25)</f>
        <v>0</v>
      </c>
      <c r="J34" s="62">
        <f>COUNTIFS('reductions data'!G:G,'reasons for reduction division'!B34,'reductions data'!A:A,$J$25)</f>
        <v>0</v>
      </c>
      <c r="K34" s="62">
        <f>COUNTIFS('reductions data'!G:G,'reasons for reduction division'!B34,'reductions data'!A:A,$K$25)</f>
        <v>0</v>
      </c>
      <c r="L34" s="62">
        <f>COUNTIFS('reductions data'!G:G,'reasons for reduction division'!B34,'reductions data'!A:A,$L$25)</f>
        <v>0</v>
      </c>
      <c r="M34" s="62">
        <f>COUNTIFS('reductions data'!G:G,'reasons for reduction division'!B34,'reductions data'!A:A,$M$25)</f>
        <v>0</v>
      </c>
      <c r="N34" s="62">
        <f>COUNTIFS('reductions data'!G:G,'reasons for reduction division'!B34,'reductions data'!A:A,$N$25)</f>
        <v>0</v>
      </c>
      <c r="O34" s="105">
        <f>COUNTIF('reductions data'!G:G,'reasons for reduction division'!B34)</f>
        <v>0</v>
      </c>
    </row>
    <row r="35" spans="2:15" x14ac:dyDescent="0.15">
      <c r="B35" s="113" t="s">
        <v>905</v>
      </c>
      <c r="C35" s="62">
        <f>COUNTIFS('reductions data'!G:G,'reasons for reduction division'!B35,'reductions data'!A:A,$C$25)</f>
        <v>0</v>
      </c>
      <c r="D35" s="62">
        <f>COUNTIFS('reductions data'!G:G,'reasons for reduction division'!B35,'reductions data'!A:A,$D$25)</f>
        <v>0</v>
      </c>
      <c r="E35" s="62">
        <f>COUNTIFS('reductions data'!G:G,'reasons for reduction division'!B35,'reductions data'!A:A,$E$25)</f>
        <v>0</v>
      </c>
      <c r="F35" s="62">
        <f>COUNTIFS('reductions data'!G:G,'reasons for reduction division'!B35,'reductions data'!A:A,$F$25)</f>
        <v>0</v>
      </c>
      <c r="G35" s="62">
        <f>COUNTIFS('reductions data'!G:G,'reasons for reduction division'!B35,'reductions data'!A:A,$G$25)</f>
        <v>0</v>
      </c>
      <c r="H35" s="62">
        <f>COUNTIFS('reductions data'!G:G,'reasons for reduction division'!B35,'reductions data'!A:A,$H$25)</f>
        <v>0</v>
      </c>
      <c r="I35" s="62">
        <f>COUNTIFS('reductions data'!G:G,'reasons for reduction division'!B35,'reductions data'!A:A,$I$25)</f>
        <v>0</v>
      </c>
      <c r="J35" s="62">
        <f>COUNTIFS('reductions data'!G:G,'reasons for reduction division'!B35,'reductions data'!A:A,$J$25)</f>
        <v>0</v>
      </c>
      <c r="K35" s="62">
        <f>COUNTIFS('reductions data'!G:G,'reasons for reduction division'!B35,'reductions data'!A:A,$K$25)</f>
        <v>0</v>
      </c>
      <c r="L35" s="62">
        <f>COUNTIFS('reductions data'!G:G,'reasons for reduction division'!B35,'reductions data'!A:A,$L$25)</f>
        <v>0</v>
      </c>
      <c r="M35" s="62">
        <f>COUNTIFS('reductions data'!G:G,'reasons for reduction division'!B35,'reductions data'!A:A,$M$25)</f>
        <v>0</v>
      </c>
      <c r="N35" s="62">
        <f>COUNTIFS('reductions data'!G:G,'reasons for reduction division'!B35,'reductions data'!A:A,$N$25)</f>
        <v>0</v>
      </c>
      <c r="O35" s="105">
        <f>COUNTIF('reductions data'!G:G,'reasons for reduction division'!B35)</f>
        <v>0</v>
      </c>
    </row>
    <row r="36" spans="2:15" x14ac:dyDescent="0.15">
      <c r="B36" s="113" t="s">
        <v>906</v>
      </c>
      <c r="C36" s="62">
        <f>COUNTIFS('reductions data'!G:G,'reasons for reduction division'!B36,'reductions data'!A:A,$C$25)</f>
        <v>0</v>
      </c>
      <c r="D36" s="62">
        <f>COUNTIFS('reductions data'!G:G,'reasons for reduction division'!B36,'reductions data'!A:A,$D$25)</f>
        <v>0</v>
      </c>
      <c r="E36" s="62">
        <f>COUNTIFS('reductions data'!G:G,'reasons for reduction division'!B36,'reductions data'!A:A,$E$25)</f>
        <v>0</v>
      </c>
      <c r="F36" s="62">
        <f>COUNTIFS('reductions data'!G:G,'reasons for reduction division'!B36,'reductions data'!A:A,$F$25)</f>
        <v>0</v>
      </c>
      <c r="G36" s="62">
        <f>COUNTIFS('reductions data'!G:G,'reasons for reduction division'!B36,'reductions data'!A:A,$G$25)</f>
        <v>0</v>
      </c>
      <c r="H36" s="62">
        <f>COUNTIFS('reductions data'!G:G,'reasons for reduction division'!B36,'reductions data'!A:A,$H$25)</f>
        <v>0</v>
      </c>
      <c r="I36" s="62">
        <f>COUNTIFS('reductions data'!G:G,'reasons for reduction division'!B36,'reductions data'!A:A,$I$25)</f>
        <v>0</v>
      </c>
      <c r="J36" s="62">
        <f>COUNTIFS('reductions data'!G:G,'reasons for reduction division'!B36,'reductions data'!A:A,$J$25)</f>
        <v>0</v>
      </c>
      <c r="K36" s="62">
        <f>COUNTIFS('reductions data'!G:G,'reasons for reduction division'!B36,'reductions data'!A:A,$K$25)</f>
        <v>0</v>
      </c>
      <c r="L36" s="62">
        <f>COUNTIFS('reductions data'!G:G,'reasons for reduction division'!B36,'reductions data'!A:A,$L$25)</f>
        <v>0</v>
      </c>
      <c r="M36" s="62">
        <f>COUNTIFS('reductions data'!G:G,'reasons for reduction division'!B36,'reductions data'!A:A,$M$25)</f>
        <v>0</v>
      </c>
      <c r="N36" s="62">
        <f>COUNTIFS('reductions data'!G:G,'reasons for reduction division'!B36,'reductions data'!A:A,$N$25)</f>
        <v>0</v>
      </c>
      <c r="O36" s="105">
        <f>COUNTIF('reductions data'!G:G,'reasons for reduction division'!B36)</f>
        <v>0</v>
      </c>
    </row>
    <row r="37" spans="2:15" x14ac:dyDescent="0.15">
      <c r="B37" s="113" t="s">
        <v>907</v>
      </c>
      <c r="C37" s="62">
        <f>COUNTIFS('reductions data'!G:G,'reasons for reduction division'!B37,'reductions data'!A:A,$C$25)</f>
        <v>0</v>
      </c>
      <c r="D37" s="62">
        <f>COUNTIFS('reductions data'!G:G,'reasons for reduction division'!B37,'reductions data'!A:A,$D$25)</f>
        <v>0</v>
      </c>
      <c r="E37" s="62">
        <f>COUNTIFS('reductions data'!G:G,'reasons for reduction division'!B37,'reductions data'!A:A,$E$25)</f>
        <v>0</v>
      </c>
      <c r="F37" s="62">
        <f>COUNTIFS('reductions data'!G:G,'reasons for reduction division'!B37,'reductions data'!A:A,$F$25)</f>
        <v>0</v>
      </c>
      <c r="G37" s="62">
        <f>COUNTIFS('reductions data'!G:G,'reasons for reduction division'!B37,'reductions data'!A:A,$G$25)</f>
        <v>0</v>
      </c>
      <c r="H37" s="62">
        <f>COUNTIFS('reductions data'!G:G,'reasons for reduction division'!B37,'reductions data'!A:A,$H$25)</f>
        <v>0</v>
      </c>
      <c r="I37" s="62">
        <f>COUNTIFS('reductions data'!G:G,'reasons for reduction division'!B37,'reductions data'!A:A,$I$25)</f>
        <v>0</v>
      </c>
      <c r="J37" s="62">
        <f>COUNTIFS('reductions data'!G:G,'reasons for reduction division'!B37,'reductions data'!A:A,$J$25)</f>
        <v>0</v>
      </c>
      <c r="K37" s="62">
        <f>COUNTIFS('reductions data'!G:G,'reasons for reduction division'!B37,'reductions data'!A:A,$K$25)</f>
        <v>0</v>
      </c>
      <c r="L37" s="62">
        <f>COUNTIFS('reductions data'!G:G,'reasons for reduction division'!B37,'reductions data'!A:A,$L$25)</f>
        <v>0</v>
      </c>
      <c r="M37" s="62">
        <f>COUNTIFS('reductions data'!G:G,'reasons for reduction division'!B37,'reductions data'!A:A,$M$25)</f>
        <v>0</v>
      </c>
      <c r="N37" s="62">
        <f>COUNTIFS('reductions data'!G:G,'reasons for reduction division'!B37,'reductions data'!A:A,$N$25)</f>
        <v>0</v>
      </c>
      <c r="O37" s="105">
        <f>COUNTIF('reductions data'!G:G,'reasons for reduction division'!B37)</f>
        <v>0</v>
      </c>
    </row>
    <row r="38" spans="2:15" x14ac:dyDescent="0.15">
      <c r="B38" s="113" t="s">
        <v>908</v>
      </c>
      <c r="C38" s="62">
        <f>COUNTIFS('reductions data'!G:G,'reasons for reduction division'!B38,'reductions data'!A:A,$C$25)</f>
        <v>0</v>
      </c>
      <c r="D38" s="62">
        <f>COUNTIFS('reductions data'!G:G,'reasons for reduction division'!B38,'reductions data'!A:A,$D$25)</f>
        <v>0</v>
      </c>
      <c r="E38" s="62">
        <f>COUNTIFS('reductions data'!G:G,'reasons for reduction division'!B38,'reductions data'!A:A,$E$25)</f>
        <v>0</v>
      </c>
      <c r="F38" s="62">
        <f>COUNTIFS('reductions data'!G:G,'reasons for reduction division'!B38,'reductions data'!A:A,$F$25)</f>
        <v>0</v>
      </c>
      <c r="G38" s="62">
        <f>COUNTIFS('reductions data'!G:G,'reasons for reduction division'!B38,'reductions data'!A:A,$G$25)</f>
        <v>0</v>
      </c>
      <c r="H38" s="62">
        <f>COUNTIFS('reductions data'!G:G,'reasons for reduction division'!B38,'reductions data'!A:A,$H$25)</f>
        <v>0</v>
      </c>
      <c r="I38" s="62">
        <f>COUNTIFS('reductions data'!G:G,'reasons for reduction division'!B38,'reductions data'!A:A,$I$25)</f>
        <v>0</v>
      </c>
      <c r="J38" s="62">
        <f>COUNTIFS('reductions data'!G:G,'reasons for reduction division'!B38,'reductions data'!A:A,$J$25)</f>
        <v>0</v>
      </c>
      <c r="K38" s="62">
        <f>COUNTIFS('reductions data'!G:G,'reasons for reduction division'!B38,'reductions data'!A:A,$K$25)</f>
        <v>0</v>
      </c>
      <c r="L38" s="62">
        <f>COUNTIFS('reductions data'!G:G,'reasons for reduction division'!B38,'reductions data'!A:A,$L$25)</f>
        <v>0</v>
      </c>
      <c r="M38" s="62">
        <f>COUNTIFS('reductions data'!G:G,'reasons for reduction division'!B38,'reductions data'!A:A,$M$25)</f>
        <v>0</v>
      </c>
      <c r="N38" s="62">
        <f>COUNTIFS('reductions data'!G:G,'reasons for reduction division'!B38,'reductions data'!A:A,$N$25)</f>
        <v>0</v>
      </c>
      <c r="O38" s="105">
        <f>COUNTIF('reductions data'!G:G,'reasons for reduction division'!B38)</f>
        <v>0</v>
      </c>
    </row>
    <row r="39" spans="2:15" x14ac:dyDescent="0.15">
      <c r="B39" s="113" t="s">
        <v>910</v>
      </c>
      <c r="C39" s="62">
        <f>COUNTIFS('reductions data'!G:G,'reasons for reduction division'!B39,'reductions data'!A:A,$C$25)</f>
        <v>0</v>
      </c>
      <c r="D39" s="62">
        <f>COUNTIFS('reductions data'!G:G,'reasons for reduction division'!B39,'reductions data'!A:A,$D$25)</f>
        <v>0</v>
      </c>
      <c r="E39" s="62">
        <f>COUNTIFS('reductions data'!G:G,'reasons for reduction division'!B39,'reductions data'!A:A,$E$25)</f>
        <v>0</v>
      </c>
      <c r="F39" s="62">
        <f>COUNTIFS('reductions data'!G:G,'reasons for reduction division'!B39,'reductions data'!A:A,$F$25)</f>
        <v>0</v>
      </c>
      <c r="G39" s="62">
        <f>COUNTIFS('reductions data'!G:G,'reasons for reduction division'!B39,'reductions data'!A:A,$G$25)</f>
        <v>0</v>
      </c>
      <c r="H39" s="62">
        <f>COUNTIFS('reductions data'!G:G,'reasons for reduction division'!B39,'reductions data'!A:A,$H$25)</f>
        <v>0</v>
      </c>
      <c r="I39" s="62">
        <f>COUNTIFS('reductions data'!G:G,'reasons for reduction division'!B39,'reductions data'!A:A,$I$25)</f>
        <v>0</v>
      </c>
      <c r="J39" s="62">
        <f>COUNTIFS('reductions data'!G:G,'reasons for reduction division'!B39,'reductions data'!A:A,$J$25)</f>
        <v>0</v>
      </c>
      <c r="K39" s="62">
        <f>COUNTIFS('reductions data'!G:G,'reasons for reduction division'!B39,'reductions data'!A:A,$K$25)</f>
        <v>0</v>
      </c>
      <c r="L39" s="62">
        <f>COUNTIFS('reductions data'!G:G,'reasons for reduction division'!B39,'reductions data'!A:A,$L$25)</f>
        <v>0</v>
      </c>
      <c r="M39" s="62">
        <f>COUNTIFS('reductions data'!G:G,'reasons for reduction division'!B39,'reductions data'!A:A,$M$25)</f>
        <v>0</v>
      </c>
      <c r="N39" s="62">
        <f>COUNTIFS('reductions data'!G:G,'reasons for reduction division'!B39,'reductions data'!A:A,$N$25)</f>
        <v>0</v>
      </c>
      <c r="O39" s="105">
        <f>COUNTIF('reductions data'!G:G,'reasons for reduction division'!B39)</f>
        <v>0</v>
      </c>
    </row>
    <row r="40" spans="2:15" x14ac:dyDescent="0.15">
      <c r="B40" s="113" t="s">
        <v>913</v>
      </c>
      <c r="C40" s="62">
        <f>COUNTIFS('reductions data'!G:G,'reasons for reduction division'!B40,'reductions data'!A:A,$C$25)</f>
        <v>0</v>
      </c>
      <c r="D40" s="62">
        <f>COUNTIFS('reductions data'!G:G,'reasons for reduction division'!B40,'reductions data'!A:A,$D$25)</f>
        <v>0</v>
      </c>
      <c r="E40" s="62">
        <f>COUNTIFS('reductions data'!G:G,'reasons for reduction division'!B40,'reductions data'!A:A,$E$25)</f>
        <v>0</v>
      </c>
      <c r="F40" s="62">
        <f>COUNTIFS('reductions data'!G:G,'reasons for reduction division'!B40,'reductions data'!A:A,$F$25)</f>
        <v>0</v>
      </c>
      <c r="G40" s="62">
        <f>COUNTIFS('reductions data'!G:G,'reasons for reduction division'!B40,'reductions data'!A:A,$G$25)</f>
        <v>0</v>
      </c>
      <c r="H40" s="62">
        <f>COUNTIFS('reductions data'!G:G,'reasons for reduction division'!B40,'reductions data'!A:A,$H$25)</f>
        <v>0</v>
      </c>
      <c r="I40" s="62">
        <f>COUNTIFS('reductions data'!G:G,'reasons for reduction division'!B40,'reductions data'!A:A,$I$25)</f>
        <v>0</v>
      </c>
      <c r="J40" s="62">
        <f>COUNTIFS('reductions data'!G:G,'reasons for reduction division'!B40,'reductions data'!A:A,$J$25)</f>
        <v>0</v>
      </c>
      <c r="K40" s="62">
        <f>COUNTIFS('reductions data'!G:G,'reasons for reduction division'!B40,'reductions data'!A:A,$K$25)</f>
        <v>0</v>
      </c>
      <c r="L40" s="62">
        <f>COUNTIFS('reductions data'!G:G,'reasons for reduction division'!B40,'reductions data'!A:A,$L$25)</f>
        <v>0</v>
      </c>
      <c r="M40" s="62">
        <f>COUNTIFS('reductions data'!G:G,'reasons for reduction division'!B40,'reductions data'!A:A,$M$25)</f>
        <v>0</v>
      </c>
      <c r="N40" s="62">
        <f>COUNTIFS('reductions data'!G:G,'reasons for reduction division'!B40,'reductions data'!A:A,$N$25)</f>
        <v>0</v>
      </c>
      <c r="O40" s="105">
        <f>COUNTIF('reductions data'!G:G,'reasons for reduction division'!B40)</f>
        <v>0</v>
      </c>
    </row>
    <row r="41" spans="2:15" x14ac:dyDescent="0.15">
      <c r="B41" s="113" t="s">
        <v>909</v>
      </c>
      <c r="C41" s="62">
        <f>COUNTIFS('reductions data'!G:G,'reasons for reduction division'!B41,'reductions data'!A:A,$C$25)</f>
        <v>0</v>
      </c>
      <c r="D41" s="62">
        <f>COUNTIFS('reductions data'!G:G,'reasons for reduction division'!B41,'reductions data'!A:A,$D$25)</f>
        <v>0</v>
      </c>
      <c r="E41" s="62">
        <f>COUNTIFS('reductions data'!G:G,'reasons for reduction division'!B41,'reductions data'!A:A,$E$25)</f>
        <v>0</v>
      </c>
      <c r="F41" s="62">
        <f>COUNTIFS('reductions data'!G:G,'reasons for reduction division'!B41,'reductions data'!A:A,$F$25)</f>
        <v>0</v>
      </c>
      <c r="G41" s="62">
        <f>COUNTIFS('reductions data'!G:G,'reasons for reduction division'!B41,'reductions data'!A:A,$G$25)</f>
        <v>0</v>
      </c>
      <c r="H41" s="62">
        <f>COUNTIFS('reductions data'!G:G,'reasons for reduction division'!B41,'reductions data'!A:A,$H$25)</f>
        <v>0</v>
      </c>
      <c r="I41" s="62">
        <f>COUNTIFS('reductions data'!G:G,'reasons for reduction division'!B41,'reductions data'!A:A,$I$25)</f>
        <v>0</v>
      </c>
      <c r="J41" s="62">
        <f>COUNTIFS('reductions data'!G:G,'reasons for reduction division'!B41,'reductions data'!A:A,$J$25)</f>
        <v>0</v>
      </c>
      <c r="K41" s="62">
        <f>COUNTIFS('reductions data'!G:G,'reasons for reduction division'!B41,'reductions data'!A:A,$K$25)</f>
        <v>0</v>
      </c>
      <c r="L41" s="62">
        <f>COUNTIFS('reductions data'!G:G,'reasons for reduction division'!B41,'reductions data'!A:A,$L$25)</f>
        <v>0</v>
      </c>
      <c r="M41" s="62">
        <f>COUNTIFS('reductions data'!G:G,'reasons for reduction division'!B41,'reductions data'!A:A,$M$25)</f>
        <v>0</v>
      </c>
      <c r="N41" s="62">
        <f>COUNTIFS('reductions data'!G:G,'reasons for reduction division'!B41,'reductions data'!A:A,$N$25)</f>
        <v>0</v>
      </c>
      <c r="O41" s="105">
        <f>COUNTIF('reductions data'!G:G,'reasons for reduction division'!B41)</f>
        <v>0</v>
      </c>
    </row>
    <row r="42" spans="2:15" x14ac:dyDescent="0.15">
      <c r="B42" s="113" t="s">
        <v>994</v>
      </c>
      <c r="C42" s="62">
        <f>COUNTIFS('reductions data'!G:G,'reasons for reduction division'!B42,'reductions data'!A:A,$C$25)</f>
        <v>0</v>
      </c>
      <c r="D42" s="62">
        <f>COUNTIFS('reductions data'!G:G,'reasons for reduction division'!B42,'reductions data'!A:A,$D$25)</f>
        <v>0</v>
      </c>
      <c r="E42" s="62">
        <f>COUNTIFS('reductions data'!G:G,'reasons for reduction division'!B42,'reductions data'!A:A,$E$25)</f>
        <v>0</v>
      </c>
      <c r="F42" s="62">
        <f>COUNTIFS('reductions data'!G:G,'reasons for reduction division'!B42,'reductions data'!A:A,$F$25)</f>
        <v>0</v>
      </c>
      <c r="G42" s="62">
        <f>COUNTIFS('reductions data'!G:G,'reasons for reduction division'!B42,'reductions data'!A:A,$G$25)</f>
        <v>0</v>
      </c>
      <c r="H42" s="62">
        <f>COUNTIFS('reductions data'!G:G,'reasons for reduction division'!B42,'reductions data'!A:A,$H$25)</f>
        <v>0</v>
      </c>
      <c r="I42" s="62">
        <f>COUNTIFS('reductions data'!G:G,'reasons for reduction division'!B42,'reductions data'!A:A,$I$25)</f>
        <v>0</v>
      </c>
      <c r="J42" s="62">
        <f>COUNTIFS('reductions data'!G:G,'reasons for reduction division'!B42,'reductions data'!A:A,$J$25)</f>
        <v>0</v>
      </c>
      <c r="K42" s="62">
        <f>COUNTIFS('reductions data'!G:G,'reasons for reduction division'!B42,'reductions data'!A:A,$K$25)</f>
        <v>0</v>
      </c>
      <c r="L42" s="62">
        <f>COUNTIFS('reductions data'!G:G,'reasons for reduction division'!B42,'reductions data'!A:A,$L$25)</f>
        <v>0</v>
      </c>
      <c r="M42" s="62">
        <f>COUNTIFS('reductions data'!G:G,'reasons for reduction division'!B42,'reductions data'!A:A,$M$25)</f>
        <v>0</v>
      </c>
      <c r="N42" s="62">
        <f>COUNTIFS('reductions data'!G:G,'reasons for reduction division'!B42,'reductions data'!A:A,$N$25)</f>
        <v>0</v>
      </c>
      <c r="O42" s="105">
        <f>COUNTIF('reductions data'!G:G,'reasons for reduction division'!B42)</f>
        <v>0</v>
      </c>
    </row>
    <row r="43" spans="2:15" x14ac:dyDescent="0.15">
      <c r="B43" s="113" t="s">
        <v>914</v>
      </c>
      <c r="C43" s="62">
        <f>COUNTIFS('reductions data'!G:G,'reasons for reduction division'!B43,'reductions data'!A:A,$C$25)</f>
        <v>0</v>
      </c>
      <c r="D43" s="62">
        <f>COUNTIFS('reductions data'!G:G,'reasons for reduction division'!B43,'reductions data'!A:A,$D$25)</f>
        <v>0</v>
      </c>
      <c r="E43" s="62">
        <f>COUNTIFS('reductions data'!G:G,'reasons for reduction division'!B43,'reductions data'!A:A,$E$25)</f>
        <v>0</v>
      </c>
      <c r="F43" s="62">
        <f>COUNTIFS('reductions data'!G:G,'reasons for reduction division'!B43,'reductions data'!A:A,$F$25)</f>
        <v>0</v>
      </c>
      <c r="G43" s="62">
        <f>COUNTIFS('reductions data'!G:G,'reasons for reduction division'!B43,'reductions data'!A:A,$G$25)</f>
        <v>0</v>
      </c>
      <c r="H43" s="62">
        <f>COUNTIFS('reductions data'!G:G,'reasons for reduction division'!B43,'reductions data'!A:A,$H$25)</f>
        <v>0</v>
      </c>
      <c r="I43" s="62">
        <f>COUNTIFS('reductions data'!G:G,'reasons for reduction division'!B43,'reductions data'!A:A,$I$25)</f>
        <v>0</v>
      </c>
      <c r="J43" s="62">
        <f>COUNTIFS('reductions data'!G:G,'reasons for reduction division'!B43,'reductions data'!A:A,$J$25)</f>
        <v>0</v>
      </c>
      <c r="K43" s="62">
        <f>COUNTIFS('reductions data'!G:G,'reasons for reduction division'!B43,'reductions data'!A:A,$K$25)</f>
        <v>0</v>
      </c>
      <c r="L43" s="62">
        <f>COUNTIFS('reductions data'!G:G,'reasons for reduction division'!B43,'reductions data'!A:A,$L$25)</f>
        <v>0</v>
      </c>
      <c r="M43" s="62">
        <f>COUNTIFS('reductions data'!G:G,'reasons for reduction division'!B43,'reductions data'!A:A,$M$25)</f>
        <v>0</v>
      </c>
      <c r="N43" s="62">
        <f>COUNTIFS('reductions data'!G:G,'reasons for reduction division'!B43,'reductions data'!A:A,$N$25)</f>
        <v>0</v>
      </c>
      <c r="O43" s="105">
        <f>COUNTIF('reductions data'!G:G,'reasons for reduction division'!B43)</f>
        <v>0</v>
      </c>
    </row>
    <row r="44" spans="2:15" x14ac:dyDescent="0.15">
      <c r="B44" s="113" t="s">
        <v>915</v>
      </c>
      <c r="C44" s="62">
        <f>COUNTIFS('reductions data'!G:G,'reasons for reduction division'!B44,'reductions data'!A:A,$C$25)</f>
        <v>0</v>
      </c>
      <c r="D44" s="62">
        <f>COUNTIFS('reductions data'!G:G,'reasons for reduction division'!B44,'reductions data'!A:A,$D$25)</f>
        <v>0</v>
      </c>
      <c r="E44" s="62">
        <f>COUNTIFS('reductions data'!G:G,'reasons for reduction division'!B44,'reductions data'!A:A,$E$25)</f>
        <v>0</v>
      </c>
      <c r="F44" s="62">
        <f>COUNTIFS('reductions data'!G:G,'reasons for reduction division'!B44,'reductions data'!A:A,$F$25)</f>
        <v>0</v>
      </c>
      <c r="G44" s="62">
        <f>COUNTIFS('reductions data'!G:G,'reasons for reduction division'!B44,'reductions data'!A:A,$G$25)</f>
        <v>0</v>
      </c>
      <c r="H44" s="62">
        <f>COUNTIFS('reductions data'!G:G,'reasons for reduction division'!B44,'reductions data'!A:A,$H$25)</f>
        <v>0</v>
      </c>
      <c r="I44" s="62">
        <f>COUNTIFS('reductions data'!G:G,'reasons for reduction division'!B44,'reductions data'!A:A,$I$25)</f>
        <v>0</v>
      </c>
      <c r="J44" s="62">
        <f>COUNTIFS('reductions data'!G:G,'reasons for reduction division'!B44,'reductions data'!A:A,$J$25)</f>
        <v>0</v>
      </c>
      <c r="K44" s="62">
        <f>COUNTIFS('reductions data'!G:G,'reasons for reduction division'!B44,'reductions data'!A:A,$K$25)</f>
        <v>0</v>
      </c>
      <c r="L44" s="62">
        <f>COUNTIFS('reductions data'!G:G,'reasons for reduction division'!B44,'reductions data'!A:A,$L$25)</f>
        <v>0</v>
      </c>
      <c r="M44" s="62">
        <f>COUNTIFS('reductions data'!G:G,'reasons for reduction division'!B44,'reductions data'!A:A,$M$25)</f>
        <v>0</v>
      </c>
      <c r="N44" s="62">
        <f>COUNTIFS('reductions data'!G:G,'reasons for reduction division'!B44,'reductions data'!A:A,$N$25)</f>
        <v>0</v>
      </c>
      <c r="O44" s="105">
        <f>COUNTIF('reductions data'!G:G,'reasons for reduction division'!B44)</f>
        <v>0</v>
      </c>
    </row>
    <row r="45" spans="2:15" x14ac:dyDescent="0.15">
      <c r="B45" s="113" t="s">
        <v>916</v>
      </c>
      <c r="C45" s="62">
        <f>COUNTIFS('reductions data'!G:G,'reasons for reduction division'!B45,'reductions data'!A:A,$C$25)</f>
        <v>0</v>
      </c>
      <c r="D45" s="62">
        <f>COUNTIFS('reductions data'!G:G,'reasons for reduction division'!B45,'reductions data'!A:A,$D$25)</f>
        <v>0</v>
      </c>
      <c r="E45" s="62">
        <f>COUNTIFS('reductions data'!G:G,'reasons for reduction division'!B45,'reductions data'!A:A,$E$25)</f>
        <v>0</v>
      </c>
      <c r="F45" s="62">
        <f>COUNTIFS('reductions data'!G:G,'reasons for reduction division'!B45,'reductions data'!A:A,$F$25)</f>
        <v>0</v>
      </c>
      <c r="G45" s="62">
        <f>COUNTIFS('reductions data'!G:G,'reasons for reduction division'!B45,'reductions data'!A:A,$G$25)</f>
        <v>0</v>
      </c>
      <c r="H45" s="62">
        <f>COUNTIFS('reductions data'!G:G,'reasons for reduction division'!B45,'reductions data'!A:A,$H$25)</f>
        <v>0</v>
      </c>
      <c r="I45" s="62">
        <f>COUNTIFS('reductions data'!G:G,'reasons for reduction division'!B45,'reductions data'!A:A,$I$25)</f>
        <v>0</v>
      </c>
      <c r="J45" s="62">
        <f>COUNTIFS('reductions data'!G:G,'reasons for reduction division'!B45,'reductions data'!A:A,$J$25)</f>
        <v>0</v>
      </c>
      <c r="K45" s="62">
        <f>COUNTIFS('reductions data'!G:G,'reasons for reduction division'!B45,'reductions data'!A:A,$K$25)</f>
        <v>0</v>
      </c>
      <c r="L45" s="62">
        <f>COUNTIFS('reductions data'!G:G,'reasons for reduction division'!B45,'reductions data'!A:A,$L$25)</f>
        <v>0</v>
      </c>
      <c r="M45" s="62">
        <f>COUNTIFS('reductions data'!G:G,'reasons for reduction division'!B45,'reductions data'!A:A,$M$25)</f>
        <v>0</v>
      </c>
      <c r="N45" s="62">
        <f>COUNTIFS('reductions data'!G:G,'reasons for reduction division'!B45,'reductions data'!A:A,$N$25)</f>
        <v>0</v>
      </c>
      <c r="O45" s="105">
        <f>COUNTIF('reductions data'!G:G,'reasons for reduction division'!B45)</f>
        <v>0</v>
      </c>
    </row>
    <row r="46" spans="2:15" x14ac:dyDescent="0.15">
      <c r="B46" s="113" t="s">
        <v>917</v>
      </c>
      <c r="C46" s="62">
        <f>COUNTIFS('reductions data'!G:G,'reasons for reduction division'!B46,'reductions data'!A:A,$C$25)</f>
        <v>0</v>
      </c>
      <c r="D46" s="62">
        <f>COUNTIFS('reductions data'!G:G,'reasons for reduction division'!B46,'reductions data'!A:A,$D$25)</f>
        <v>0</v>
      </c>
      <c r="E46" s="62">
        <f>COUNTIFS('reductions data'!G:G,'reasons for reduction division'!B46,'reductions data'!A:A,$E$25)</f>
        <v>0</v>
      </c>
      <c r="F46" s="62">
        <f>COUNTIFS('reductions data'!G:G,'reasons for reduction division'!B46,'reductions data'!A:A,$F$25)</f>
        <v>0</v>
      </c>
      <c r="G46" s="62">
        <f>COUNTIFS('reductions data'!G:G,'reasons for reduction division'!B46,'reductions data'!A:A,$G$25)</f>
        <v>0</v>
      </c>
      <c r="H46" s="62">
        <f>COUNTIFS('reductions data'!G:G,'reasons for reduction division'!B46,'reductions data'!A:A,$H$25)</f>
        <v>0</v>
      </c>
      <c r="I46" s="62">
        <f>COUNTIFS('reductions data'!G:G,'reasons for reduction division'!B46,'reductions data'!A:A,$I$25)</f>
        <v>0</v>
      </c>
      <c r="J46" s="62">
        <f>COUNTIFS('reductions data'!G:G,'reasons for reduction division'!B46,'reductions data'!A:A,$J$25)</f>
        <v>0</v>
      </c>
      <c r="K46" s="62">
        <f>COUNTIFS('reductions data'!G:G,'reasons for reduction division'!B46,'reductions data'!A:A,$K$25)</f>
        <v>0</v>
      </c>
      <c r="L46" s="62">
        <f>COUNTIFS('reductions data'!G:G,'reasons for reduction division'!B46,'reductions data'!A:A,$L$25)</f>
        <v>0</v>
      </c>
      <c r="M46" s="62">
        <f>COUNTIFS('reductions data'!G:G,'reasons for reduction division'!B46,'reductions data'!A:A,$M$25)</f>
        <v>0</v>
      </c>
      <c r="N46" s="62">
        <f>COUNTIFS('reductions data'!G:G,'reasons for reduction division'!B46,'reductions data'!A:A,$N$25)</f>
        <v>0</v>
      </c>
      <c r="O46" s="105">
        <f>COUNTIF('reductions data'!G:G,'reasons for reduction division'!B46)</f>
        <v>0</v>
      </c>
    </row>
    <row r="47" spans="2:15" x14ac:dyDescent="0.15">
      <c r="B47" s="113" t="s">
        <v>918</v>
      </c>
      <c r="C47" s="62">
        <f>COUNTIFS('reductions data'!G:G,'reasons for reduction division'!B47,'reductions data'!A:A,$C$25)</f>
        <v>0</v>
      </c>
      <c r="D47" s="62">
        <f>COUNTIFS('reductions data'!G:G,'reasons for reduction division'!B47,'reductions data'!A:A,$D$25)</f>
        <v>0</v>
      </c>
      <c r="E47" s="62">
        <f>COUNTIFS('reductions data'!G:G,'reasons for reduction division'!B47,'reductions data'!A:A,$E$25)</f>
        <v>0</v>
      </c>
      <c r="F47" s="62">
        <f>COUNTIFS('reductions data'!G:G,'reasons for reduction division'!B47,'reductions data'!A:A,$F$25)</f>
        <v>0</v>
      </c>
      <c r="G47" s="62">
        <f>COUNTIFS('reductions data'!G:G,'reasons for reduction division'!B47,'reductions data'!A:A,$G$25)</f>
        <v>0</v>
      </c>
      <c r="H47" s="62">
        <f>COUNTIFS('reductions data'!G:G,'reasons for reduction division'!B47,'reductions data'!A:A,$H$25)</f>
        <v>0</v>
      </c>
      <c r="I47" s="62">
        <f>COUNTIFS('reductions data'!G:G,'reasons for reduction division'!B47,'reductions data'!A:A,$I$25)</f>
        <v>0</v>
      </c>
      <c r="J47" s="62">
        <f>COUNTIFS('reductions data'!G:G,'reasons for reduction division'!B47,'reductions data'!A:A,$J$25)</f>
        <v>0</v>
      </c>
      <c r="K47" s="62">
        <f>COUNTIFS('reductions data'!G:G,'reasons for reduction division'!B47,'reductions data'!A:A,$K$25)</f>
        <v>0</v>
      </c>
      <c r="L47" s="62">
        <f>COUNTIFS('reductions data'!G:G,'reasons for reduction division'!B47,'reductions data'!A:A,$L$25)</f>
        <v>0</v>
      </c>
      <c r="M47" s="62">
        <f>COUNTIFS('reductions data'!G:G,'reasons for reduction division'!B47,'reductions data'!A:A,$M$25)</f>
        <v>0</v>
      </c>
      <c r="N47" s="62">
        <f>COUNTIFS('reductions data'!G:G,'reasons for reduction division'!B47,'reductions data'!A:A,$N$25)</f>
        <v>0</v>
      </c>
      <c r="O47" s="105">
        <f>COUNTIF('reductions data'!G:G,'reasons for reduction division'!B47)</f>
        <v>0</v>
      </c>
    </row>
    <row r="48" spans="2:15" x14ac:dyDescent="0.15">
      <c r="B48" s="113" t="s">
        <v>919</v>
      </c>
      <c r="C48" s="62">
        <f>COUNTIFS('reductions data'!G:G,'reasons for reduction division'!B48,'reductions data'!A:A,$C$25)</f>
        <v>0</v>
      </c>
      <c r="D48" s="62">
        <f>COUNTIFS('reductions data'!G:G,'reasons for reduction division'!B48,'reductions data'!A:A,$D$25)</f>
        <v>0</v>
      </c>
      <c r="E48" s="62">
        <f>COUNTIFS('reductions data'!G:G,'reasons for reduction division'!B48,'reductions data'!A:A,$E$25)</f>
        <v>0</v>
      </c>
      <c r="F48" s="62">
        <f>COUNTIFS('reductions data'!G:G,'reasons for reduction division'!B48,'reductions data'!A:A,$F$25)</f>
        <v>0</v>
      </c>
      <c r="G48" s="62">
        <f>COUNTIFS('reductions data'!G:G,'reasons for reduction division'!B48,'reductions data'!A:A,$G$25)</f>
        <v>0</v>
      </c>
      <c r="H48" s="62">
        <f>COUNTIFS('reductions data'!G:G,'reasons for reduction division'!B48,'reductions data'!A:A,$H$25)</f>
        <v>0</v>
      </c>
      <c r="I48" s="62">
        <f>COUNTIFS('reductions data'!G:G,'reasons for reduction division'!B48,'reductions data'!A:A,$I$25)</f>
        <v>0</v>
      </c>
      <c r="J48" s="62">
        <f>COUNTIFS('reductions data'!G:G,'reasons for reduction division'!B48,'reductions data'!A:A,$J$25)</f>
        <v>0</v>
      </c>
      <c r="K48" s="62">
        <f>COUNTIFS('reductions data'!G:G,'reasons for reduction division'!B48,'reductions data'!A:A,$K$25)</f>
        <v>0</v>
      </c>
      <c r="L48" s="62">
        <f>COUNTIFS('reductions data'!G:G,'reasons for reduction division'!B48,'reductions data'!A:A,$L$25)</f>
        <v>0</v>
      </c>
      <c r="M48" s="62">
        <f>COUNTIFS('reductions data'!G:G,'reasons for reduction division'!B48,'reductions data'!A:A,$M$25)</f>
        <v>0</v>
      </c>
      <c r="N48" s="62">
        <f>COUNTIFS('reductions data'!G:G,'reasons for reduction division'!B48,'reductions data'!A:A,$N$25)</f>
        <v>0</v>
      </c>
      <c r="O48" s="105">
        <f>COUNTIF('reductions data'!G:G,'reasons for reduction division'!B48)</f>
        <v>0</v>
      </c>
    </row>
    <row r="49" spans="2:15" x14ac:dyDescent="0.15">
      <c r="B49" s="113" t="s">
        <v>920</v>
      </c>
      <c r="C49" s="62">
        <f>COUNTIFS('reductions data'!G:G,'reasons for reduction division'!B49,'reductions data'!A:A,$C$25)</f>
        <v>0</v>
      </c>
      <c r="D49" s="62">
        <f>COUNTIFS('reductions data'!G:G,'reasons for reduction division'!B49,'reductions data'!A:A,$D$25)</f>
        <v>0</v>
      </c>
      <c r="E49" s="62">
        <f>COUNTIFS('reductions data'!G:G,'reasons for reduction division'!B49,'reductions data'!A:A,$E$25)</f>
        <v>0</v>
      </c>
      <c r="F49" s="62">
        <f>COUNTIFS('reductions data'!G:G,'reasons for reduction division'!B49,'reductions data'!A:A,$F$25)</f>
        <v>0</v>
      </c>
      <c r="G49" s="62">
        <f>COUNTIFS('reductions data'!G:G,'reasons for reduction division'!B49,'reductions data'!A:A,$G$25)</f>
        <v>0</v>
      </c>
      <c r="H49" s="62">
        <f>COUNTIFS('reductions data'!G:G,'reasons for reduction division'!B49,'reductions data'!A:A,$H$25)</f>
        <v>0</v>
      </c>
      <c r="I49" s="62">
        <f>COUNTIFS('reductions data'!G:G,'reasons for reduction division'!B49,'reductions data'!A:A,$I$25)</f>
        <v>0</v>
      </c>
      <c r="J49" s="62">
        <f>COUNTIFS('reductions data'!G:G,'reasons for reduction division'!B49,'reductions data'!A:A,$J$25)</f>
        <v>0</v>
      </c>
      <c r="K49" s="62">
        <f>COUNTIFS('reductions data'!G:G,'reasons for reduction division'!B49,'reductions data'!A:A,$K$25)</f>
        <v>0</v>
      </c>
      <c r="L49" s="62">
        <f>COUNTIFS('reductions data'!G:G,'reasons for reduction division'!B49,'reductions data'!A:A,$L$25)</f>
        <v>0</v>
      </c>
      <c r="M49" s="62">
        <f>COUNTIFS('reductions data'!G:G,'reasons for reduction division'!B49,'reductions data'!A:A,$M$25)</f>
        <v>0</v>
      </c>
      <c r="N49" s="62">
        <f>COUNTIFS('reductions data'!G:G,'reasons for reduction division'!B49,'reductions data'!A:A,$N$25)</f>
        <v>0</v>
      </c>
      <c r="O49" s="105">
        <f>COUNTIF('reductions data'!G:G,'reasons for reduction division'!B49)</f>
        <v>0</v>
      </c>
    </row>
    <row r="50" spans="2:15" x14ac:dyDescent="0.15">
      <c r="B50" s="113" t="s">
        <v>1255</v>
      </c>
      <c r="C50" s="62">
        <f>COUNTIFS('reductions data'!G:G,'reasons for reduction division'!B50,'reductions data'!A:A,$C$25)</f>
        <v>0</v>
      </c>
      <c r="D50" s="62">
        <f>COUNTIFS('reductions data'!G:G,'reasons for reduction division'!B50,'reductions data'!A:A,$D$25)</f>
        <v>0</v>
      </c>
      <c r="E50" s="62">
        <f>COUNTIFS('reductions data'!G:G,'reasons for reduction division'!B50,'reductions data'!A:A,$E$25)</f>
        <v>0</v>
      </c>
      <c r="F50" s="62">
        <f>COUNTIFS('reductions data'!G:G,'reasons for reduction division'!B50,'reductions data'!A:A,$F$25)</f>
        <v>0</v>
      </c>
      <c r="G50" s="62">
        <f>COUNTIFS('reductions data'!G:G,'reasons for reduction division'!B50,'reductions data'!A:A,$G$25)</f>
        <v>0</v>
      </c>
      <c r="H50" s="62">
        <f>COUNTIFS('reductions data'!G:G,'reasons for reduction division'!B50,'reductions data'!A:A,$H$25)</f>
        <v>0</v>
      </c>
      <c r="I50" s="62">
        <f>COUNTIFS('reductions data'!G:G,'reasons for reduction division'!B50,'reductions data'!A:A,$I$25)</f>
        <v>0</v>
      </c>
      <c r="J50" s="62">
        <f>COUNTIFS('reductions data'!G:G,'reasons for reduction division'!B50,'reductions data'!A:A,$J$25)</f>
        <v>0</v>
      </c>
      <c r="K50" s="62">
        <f>COUNTIFS('reductions data'!G:G,'reasons for reduction division'!B50,'reductions data'!A:A,$K$25)</f>
        <v>0</v>
      </c>
      <c r="L50" s="62">
        <f>COUNTIFS('reductions data'!G:G,'reasons for reduction division'!B50,'reductions data'!A:A,$L$25)</f>
        <v>0</v>
      </c>
      <c r="M50" s="62">
        <f>COUNTIFS('reductions data'!G:G,'reasons for reduction division'!B50,'reductions data'!A:A,$M$25)</f>
        <v>0</v>
      </c>
      <c r="N50" s="62">
        <f>COUNTIFS('reductions data'!G:G,'reasons for reduction division'!B50,'reductions data'!A:A,$N$25)</f>
        <v>0</v>
      </c>
      <c r="O50" s="105">
        <f>COUNTIF('reductions data'!G:G,'reasons for reduction division'!B50)</f>
        <v>0</v>
      </c>
    </row>
    <row r="51" spans="2:15" x14ac:dyDescent="0.15">
      <c r="B51" s="113" t="s">
        <v>1256</v>
      </c>
      <c r="C51" s="62">
        <f>COUNTIFS('reductions data'!G:G,'reasons for reduction division'!B51,'reductions data'!A:A,$C$25)</f>
        <v>0</v>
      </c>
      <c r="D51" s="62">
        <f>COUNTIFS('reductions data'!G:G,'reasons for reduction division'!B51,'reductions data'!A:A,$D$25)</f>
        <v>0</v>
      </c>
      <c r="E51" s="62">
        <f>COUNTIFS('reductions data'!G:G,'reasons for reduction division'!B51,'reductions data'!A:A,$E$25)</f>
        <v>0</v>
      </c>
      <c r="F51" s="62">
        <f>COUNTIFS('reductions data'!G:G,'reasons for reduction division'!B51,'reductions data'!A:A,$F$25)</f>
        <v>0</v>
      </c>
      <c r="G51" s="62">
        <f>COUNTIFS('reductions data'!G:G,'reasons for reduction division'!B51,'reductions data'!A:A,$G$25)</f>
        <v>0</v>
      </c>
      <c r="H51" s="62">
        <f>COUNTIFS('reductions data'!G:G,'reasons for reduction division'!B51,'reductions data'!A:A,$H$25)</f>
        <v>0</v>
      </c>
      <c r="I51" s="62">
        <f>COUNTIFS('reductions data'!G:G,'reasons for reduction division'!B51,'reductions data'!A:A,$I$25)</f>
        <v>0</v>
      </c>
      <c r="J51" s="62">
        <f>COUNTIFS('reductions data'!G:G,'reasons for reduction division'!B51,'reductions data'!A:A,$J$25)</f>
        <v>0</v>
      </c>
      <c r="K51" s="62">
        <f>COUNTIFS('reductions data'!G:G,'reasons for reduction division'!B51,'reductions data'!A:A,$K$25)</f>
        <v>0</v>
      </c>
      <c r="L51" s="62">
        <f>COUNTIFS('reductions data'!G:G,'reasons for reduction division'!B51,'reductions data'!A:A,$L$25)</f>
        <v>0</v>
      </c>
      <c r="M51" s="62">
        <f>COUNTIFS('reductions data'!G:G,'reasons for reduction division'!B51,'reductions data'!A:A,$M$25)</f>
        <v>0</v>
      </c>
      <c r="N51" s="62">
        <f>COUNTIFS('reductions data'!G:G,'reasons for reduction division'!B51,'reductions data'!A:A,$N$25)</f>
        <v>0</v>
      </c>
      <c r="O51" s="105">
        <f>COUNTIF('reductions data'!G:G,'reasons for reduction division'!B51)</f>
        <v>0</v>
      </c>
    </row>
    <row r="52" spans="2:15" x14ac:dyDescent="0.15">
      <c r="B52" s="322" t="s">
        <v>1253</v>
      </c>
      <c r="C52" s="62">
        <f>COUNTIFS('reductions data'!G:G,'reasons for reduction division'!B52,'reductions data'!A:A,$C$25)</f>
        <v>0</v>
      </c>
      <c r="D52" s="62">
        <f>COUNTIFS('reductions data'!G:G,'reasons for reduction division'!B52,'reductions data'!A:A,$D$25)</f>
        <v>0</v>
      </c>
      <c r="E52" s="62">
        <f>COUNTIFS('reductions data'!G:G,'reasons for reduction division'!B52,'reductions data'!A:A,$E$25)</f>
        <v>0</v>
      </c>
      <c r="F52" s="62">
        <f>COUNTIFS('reductions data'!G:G,'reasons for reduction division'!B52,'reductions data'!A:A,$F$25)</f>
        <v>0</v>
      </c>
      <c r="G52" s="62">
        <f>COUNTIFS('reductions data'!G:G,'reasons for reduction division'!B52,'reductions data'!A:A,$G$25)</f>
        <v>0</v>
      </c>
      <c r="H52" s="62">
        <f>COUNTIFS('reductions data'!G:G,'reasons for reduction division'!B52,'reductions data'!A:A,$H$25)</f>
        <v>0</v>
      </c>
      <c r="I52" s="62">
        <f>COUNTIFS('reductions data'!G:G,'reasons for reduction division'!B52,'reductions data'!A:A,$I$25)</f>
        <v>0</v>
      </c>
      <c r="J52" s="62">
        <f>COUNTIFS('reductions data'!G:G,'reasons for reduction division'!B52,'reductions data'!A:A,$J$25)</f>
        <v>0</v>
      </c>
      <c r="K52" s="62">
        <f>COUNTIFS('reductions data'!G:G,'reasons for reduction division'!B52,'reductions data'!A:A,$K$25)</f>
        <v>0</v>
      </c>
      <c r="L52" s="62">
        <f>COUNTIFS('reductions data'!G:G,'reasons for reduction division'!B52,'reductions data'!A:A,$L$25)</f>
        <v>0</v>
      </c>
      <c r="M52" s="62">
        <f>COUNTIFS('reductions data'!G:G,'reasons for reduction division'!B52,'reductions data'!A:A,$M$25)</f>
        <v>0</v>
      </c>
      <c r="N52" s="62">
        <f>COUNTIFS('reductions data'!G:G,'reasons for reduction division'!B52,'reductions data'!A:A,$N$25)</f>
        <v>0</v>
      </c>
      <c r="O52" s="105">
        <f>COUNTIF('reductions data'!G:G,'reasons for reduction division'!B52)</f>
        <v>0</v>
      </c>
    </row>
    <row r="53" spans="2:15" x14ac:dyDescent="0.15">
      <c r="B53" s="322" t="s">
        <v>1254</v>
      </c>
      <c r="C53" s="62">
        <f>COUNTIFS('reductions data'!G:G,'reasons for reduction division'!B53,'reductions data'!A:A,$C$25)</f>
        <v>0</v>
      </c>
      <c r="D53" s="62">
        <f>COUNTIFS('reductions data'!G:G,'reasons for reduction division'!B53,'reductions data'!A:A,$D$25)</f>
        <v>0</v>
      </c>
      <c r="E53" s="62">
        <f>COUNTIFS('reductions data'!G:G,'reasons for reduction division'!B53,'reductions data'!A:A,$E$25)</f>
        <v>0</v>
      </c>
      <c r="F53" s="62">
        <f>COUNTIFS('reductions data'!G:G,'reasons for reduction division'!B53,'reductions data'!A:A,$F$25)</f>
        <v>0</v>
      </c>
      <c r="G53" s="62">
        <f>COUNTIFS('reductions data'!G:G,'reasons for reduction division'!B53,'reductions data'!A:A,$G$25)</f>
        <v>0</v>
      </c>
      <c r="H53" s="62">
        <f>COUNTIFS('reductions data'!G:G,'reasons for reduction division'!B53,'reductions data'!A:A,$H$25)</f>
        <v>0</v>
      </c>
      <c r="I53" s="62">
        <f>COUNTIFS('reductions data'!G:G,'reasons for reduction division'!B53,'reductions data'!A:A,$I$25)</f>
        <v>0</v>
      </c>
      <c r="J53" s="62">
        <f>COUNTIFS('reductions data'!G:G,'reasons for reduction division'!B53,'reductions data'!A:A,$J$25)</f>
        <v>0</v>
      </c>
      <c r="K53" s="62">
        <f>COUNTIFS('reductions data'!G:G,'reasons for reduction division'!B53,'reductions data'!A:A,$K$25)</f>
        <v>0</v>
      </c>
      <c r="L53" s="62">
        <f>COUNTIFS('reductions data'!G:G,'reasons for reduction division'!B53,'reductions data'!A:A,$L$25)</f>
        <v>0</v>
      </c>
      <c r="M53" s="62">
        <f>COUNTIFS('reductions data'!G:G,'reasons for reduction division'!B53,'reductions data'!A:A,$M$25)</f>
        <v>0</v>
      </c>
      <c r="N53" s="62">
        <f>COUNTIFS('reductions data'!G:G,'reasons for reduction division'!B53,'reductions data'!A:A,$N$25)</f>
        <v>0</v>
      </c>
      <c r="O53" s="105">
        <f>COUNTIF('reductions data'!G:G,'reasons for reduction division'!B53)</f>
        <v>0</v>
      </c>
    </row>
    <row r="54" spans="2:15" x14ac:dyDescent="0.15">
      <c r="B54" s="322" t="s">
        <v>1263</v>
      </c>
      <c r="C54" s="62">
        <f>COUNTIFS('reductions data'!G:G,'reasons for reduction division'!B54,'reductions data'!A:A,$C$25)</f>
        <v>0</v>
      </c>
      <c r="D54" s="62">
        <f>COUNTIFS('reductions data'!G:G,'reasons for reduction division'!B54,'reductions data'!A:A,$D$25)</f>
        <v>0</v>
      </c>
      <c r="E54" s="62">
        <f>COUNTIFS('reductions data'!G:G,'reasons for reduction division'!B54,'reductions data'!A:A,$E$25)</f>
        <v>0</v>
      </c>
      <c r="F54" s="62">
        <f>COUNTIFS('reductions data'!G:G,'reasons for reduction division'!B54,'reductions data'!A:A,$F$25)</f>
        <v>0</v>
      </c>
      <c r="G54" s="62">
        <f>COUNTIFS('reductions data'!G:G,'reasons for reduction division'!B54,'reductions data'!A:A,$G$25)</f>
        <v>0</v>
      </c>
      <c r="H54" s="62">
        <f>COUNTIFS('reductions data'!G:G,'reasons for reduction division'!B54,'reductions data'!A:A,$H$25)</f>
        <v>0</v>
      </c>
      <c r="I54" s="62">
        <f>COUNTIFS('reductions data'!G:G,'reasons for reduction division'!B54,'reductions data'!A:A,$I$25)</f>
        <v>0</v>
      </c>
      <c r="J54" s="62">
        <f>COUNTIFS('reductions data'!G:G,'reasons for reduction division'!B54,'reductions data'!A:A,$J$25)</f>
        <v>0</v>
      </c>
      <c r="K54" s="62">
        <f>COUNTIFS('reductions data'!G:G,'reasons for reduction division'!B54,'reductions data'!A:A,$K$25)</f>
        <v>0</v>
      </c>
      <c r="L54" s="62">
        <f>COUNTIFS('reductions data'!G:G,'reasons for reduction division'!B54,'reductions data'!A:A,$L$25)</f>
        <v>0</v>
      </c>
      <c r="M54" s="62">
        <f>COUNTIFS('reductions data'!G:G,'reasons for reduction division'!B54,'reductions data'!A:A,$M$25)</f>
        <v>0</v>
      </c>
      <c r="N54" s="62">
        <f>COUNTIFS('reductions data'!G:G,'reasons for reduction division'!B54,'reductions data'!A:A,$N$25)</f>
        <v>0</v>
      </c>
      <c r="O54" s="105">
        <f>COUNTIF('reductions data'!G:G,'reasons for reduction division'!B54)</f>
        <v>0</v>
      </c>
    </row>
    <row r="55" spans="2:15" x14ac:dyDescent="0.15">
      <c r="B55" s="112" t="s">
        <v>1257</v>
      </c>
      <c r="C55" s="62">
        <f>COUNTIFS('reductions data'!G:G,'reasons for reduction division'!B55,'reductions data'!A:A,$C$25)</f>
        <v>0</v>
      </c>
      <c r="D55" s="62">
        <f>COUNTIFS('reductions data'!G:G,'reasons for reduction division'!B55,'reductions data'!A:A,$D$25)</f>
        <v>0</v>
      </c>
      <c r="E55" s="62">
        <f>COUNTIFS('reductions data'!G:G,'reasons for reduction division'!B55,'reductions data'!A:A,$E$25)</f>
        <v>0</v>
      </c>
      <c r="F55" s="62">
        <f>COUNTIFS('reductions data'!G:G,'reasons for reduction division'!B55,'reductions data'!A:A,$F$25)</f>
        <v>0</v>
      </c>
      <c r="G55" s="62">
        <f>COUNTIFS('reductions data'!G:G,'reasons for reduction division'!B55,'reductions data'!A:A,$G$25)</f>
        <v>0</v>
      </c>
      <c r="H55" s="62">
        <f>COUNTIFS('reductions data'!G:G,'reasons for reduction division'!B55,'reductions data'!A:A,$H$25)</f>
        <v>0</v>
      </c>
      <c r="I55" s="62">
        <f>COUNTIFS('reductions data'!G:G,'reasons for reduction division'!B55,'reductions data'!A:A,$I$25)</f>
        <v>0</v>
      </c>
      <c r="J55" s="62">
        <f>COUNTIFS('reductions data'!G:G,'reasons for reduction division'!B55,'reductions data'!A:A,$J$25)</f>
        <v>0</v>
      </c>
      <c r="K55" s="62">
        <f>COUNTIFS('reductions data'!G:G,'reasons for reduction division'!B55,'reductions data'!A:A,$K$25)</f>
        <v>0</v>
      </c>
      <c r="L55" s="62">
        <f>COUNTIFS('reductions data'!G:G,'reasons for reduction division'!B55,'reductions data'!A:A,$L$25)</f>
        <v>0</v>
      </c>
      <c r="M55" s="62">
        <f>COUNTIFS('reductions data'!G:G,'reasons for reduction division'!B55,'reductions data'!A:A,$M$25)</f>
        <v>0</v>
      </c>
      <c r="N55" s="62">
        <f>COUNTIFS('reductions data'!G:G,'reasons for reduction division'!B55,'reductions data'!A:A,$N$25)</f>
        <v>0</v>
      </c>
      <c r="O55" s="105">
        <f>COUNTIF('reductions data'!G:G,'reasons for reduction division'!B55)</f>
        <v>0</v>
      </c>
    </row>
    <row r="56" spans="2:15" x14ac:dyDescent="0.15">
      <c r="B56" s="113" t="s">
        <v>1258</v>
      </c>
      <c r="C56" s="62">
        <f>COUNTIFS('reductions data'!G:G,'reasons for reduction division'!B56,'reductions data'!A:A,$C$25)</f>
        <v>0</v>
      </c>
      <c r="D56" s="62">
        <f>COUNTIFS('reductions data'!G:G,'reasons for reduction division'!B56,'reductions data'!A:A,$D$25)</f>
        <v>0</v>
      </c>
      <c r="E56" s="62">
        <f>COUNTIFS('reductions data'!G:G,'reasons for reduction division'!B56,'reductions data'!A:A,$E$25)</f>
        <v>0</v>
      </c>
      <c r="F56" s="62">
        <f>COUNTIFS('reductions data'!G:G,'reasons for reduction division'!B56,'reductions data'!A:A,$F$25)</f>
        <v>0</v>
      </c>
      <c r="G56" s="62">
        <f>COUNTIFS('reductions data'!G:G,'reasons for reduction division'!B56,'reductions data'!A:A,$G$25)</f>
        <v>0</v>
      </c>
      <c r="H56" s="62">
        <f>COUNTIFS('reductions data'!G:G,'reasons for reduction division'!B56,'reductions data'!A:A,$H$25)</f>
        <v>0</v>
      </c>
      <c r="I56" s="62">
        <f>COUNTIFS('reductions data'!G:G,'reasons for reduction division'!B56,'reductions data'!A:A,$I$25)</f>
        <v>0</v>
      </c>
      <c r="J56" s="62">
        <f>COUNTIFS('reductions data'!G:G,'reasons for reduction division'!B56,'reductions data'!A:A,$J$25)</f>
        <v>0</v>
      </c>
      <c r="K56" s="62">
        <f>COUNTIFS('reductions data'!G:G,'reasons for reduction division'!B56,'reductions data'!A:A,$K$25)</f>
        <v>0</v>
      </c>
      <c r="L56" s="62">
        <f>COUNTIFS('reductions data'!G:G,'reasons for reduction division'!B56,'reductions data'!A:A,$L$25)</f>
        <v>0</v>
      </c>
      <c r="M56" s="62">
        <f>COUNTIFS('reductions data'!G:G,'reasons for reduction division'!B56,'reductions data'!A:A,$M$25)</f>
        <v>0</v>
      </c>
      <c r="N56" s="62">
        <f>COUNTIFS('reductions data'!G:G,'reasons for reduction division'!B56,'reductions data'!A:A,$N$25)</f>
        <v>0</v>
      </c>
      <c r="O56" s="105">
        <f>COUNTIF('reductions data'!G:G,'reasons for reduction division'!B56)</f>
        <v>0</v>
      </c>
    </row>
    <row r="57" spans="2:15" x14ac:dyDescent="0.15">
      <c r="B57" s="113" t="s">
        <v>922</v>
      </c>
      <c r="C57" s="62">
        <f>COUNTIFS('reductions data'!G:G,'reasons for reduction division'!B57,'reductions data'!A:A,$C$25)</f>
        <v>0</v>
      </c>
      <c r="D57" s="62">
        <f>COUNTIFS('reductions data'!G:G,'reasons for reduction division'!B57,'reductions data'!A:A,$D$25)</f>
        <v>0</v>
      </c>
      <c r="E57" s="62">
        <f>COUNTIFS('reductions data'!G:G,'reasons for reduction division'!B57,'reductions data'!A:A,$E$25)</f>
        <v>0</v>
      </c>
      <c r="F57" s="62">
        <f>COUNTIFS('reductions data'!G:G,'reasons for reduction division'!B57,'reductions data'!A:A,$F$25)</f>
        <v>0</v>
      </c>
      <c r="G57" s="62">
        <f>COUNTIFS('reductions data'!G:G,'reasons for reduction division'!B57,'reductions data'!A:A,$G$25)</f>
        <v>0</v>
      </c>
      <c r="H57" s="62">
        <f>COUNTIFS('reductions data'!G:G,'reasons for reduction division'!B57,'reductions data'!A:A,$H$25)</f>
        <v>0</v>
      </c>
      <c r="I57" s="62">
        <f>COUNTIFS('reductions data'!G:G,'reasons for reduction division'!B57,'reductions data'!A:A,$I$25)</f>
        <v>0</v>
      </c>
      <c r="J57" s="62">
        <f>COUNTIFS('reductions data'!G:G,'reasons for reduction division'!B57,'reductions data'!A:A,$J$25)</f>
        <v>0</v>
      </c>
      <c r="K57" s="62">
        <f>COUNTIFS('reductions data'!G:G,'reasons for reduction division'!B57,'reductions data'!A:A,$K$25)</f>
        <v>0</v>
      </c>
      <c r="L57" s="62">
        <f>COUNTIFS('reductions data'!G:G,'reasons for reduction division'!B57,'reductions data'!A:A,$L$25)</f>
        <v>0</v>
      </c>
      <c r="M57" s="62">
        <f>COUNTIFS('reductions data'!G:G,'reasons for reduction division'!B57,'reductions data'!A:A,$M$25)</f>
        <v>0</v>
      </c>
      <c r="N57" s="62">
        <f>COUNTIFS('reductions data'!G:G,'reasons for reduction division'!B57,'reductions data'!A:A,$N$25)</f>
        <v>0</v>
      </c>
      <c r="O57" s="105">
        <f>COUNTIF('reductions data'!G:G,'reasons for reduction division'!B57)</f>
        <v>0</v>
      </c>
    </row>
    <row r="58" spans="2:15" x14ac:dyDescent="0.15">
      <c r="B58" s="113" t="s">
        <v>923</v>
      </c>
      <c r="C58" s="62">
        <f>COUNTIFS('reductions data'!G:G,'reasons for reduction division'!B58,'reductions data'!A:A,$C$25)</f>
        <v>0</v>
      </c>
      <c r="D58" s="62">
        <f>COUNTIFS('reductions data'!G:G,'reasons for reduction division'!B58,'reductions data'!A:A,$D$25)</f>
        <v>0</v>
      </c>
      <c r="E58" s="62">
        <f>COUNTIFS('reductions data'!G:G,'reasons for reduction division'!B58,'reductions data'!A:A,$E$25)</f>
        <v>0</v>
      </c>
      <c r="F58" s="62">
        <f>COUNTIFS('reductions data'!G:G,'reasons for reduction division'!B58,'reductions data'!A:A,$F$25)</f>
        <v>0</v>
      </c>
      <c r="G58" s="62">
        <f>COUNTIFS('reductions data'!G:G,'reasons for reduction division'!B58,'reductions data'!A:A,$G$25)</f>
        <v>0</v>
      </c>
      <c r="H58" s="62">
        <f>COUNTIFS('reductions data'!G:G,'reasons for reduction division'!B58,'reductions data'!A:A,$H$25)</f>
        <v>0</v>
      </c>
      <c r="I58" s="62">
        <f>COUNTIFS('reductions data'!G:G,'reasons for reduction division'!B58,'reductions data'!A:A,$I$25)</f>
        <v>0</v>
      </c>
      <c r="J58" s="62">
        <f>COUNTIFS('reductions data'!G:G,'reasons for reduction division'!B58,'reductions data'!A:A,$J$25)</f>
        <v>0</v>
      </c>
      <c r="K58" s="62">
        <f>COUNTIFS('reductions data'!G:G,'reasons for reduction division'!B58,'reductions data'!A:A,$K$25)</f>
        <v>0</v>
      </c>
      <c r="L58" s="62">
        <f>COUNTIFS('reductions data'!G:G,'reasons for reduction division'!B58,'reductions data'!A:A,$L$25)</f>
        <v>0</v>
      </c>
      <c r="M58" s="62">
        <f>COUNTIFS('reductions data'!G:G,'reasons for reduction division'!B58,'reductions data'!A:A,$M$25)</f>
        <v>0</v>
      </c>
      <c r="N58" s="62">
        <f>COUNTIFS('reductions data'!G:G,'reasons for reduction division'!B58,'reductions data'!A:A,$N$25)</f>
        <v>0</v>
      </c>
      <c r="O58" s="105">
        <f>COUNTIF('reductions data'!G:G,'reasons for reduction division'!B58)</f>
        <v>0</v>
      </c>
    </row>
    <row r="59" spans="2:15" x14ac:dyDescent="0.15">
      <c r="B59" s="113" t="s">
        <v>924</v>
      </c>
      <c r="C59" s="62">
        <f>COUNTIFS('reductions data'!G:G,'reasons for reduction division'!B59,'reductions data'!A:A,$C$25)</f>
        <v>0</v>
      </c>
      <c r="D59" s="62">
        <f>COUNTIFS('reductions data'!G:G,'reasons for reduction division'!B59,'reductions data'!A:A,$D$25)</f>
        <v>0</v>
      </c>
      <c r="E59" s="62">
        <f>COUNTIFS('reductions data'!G:G,'reasons for reduction division'!B59,'reductions data'!A:A,$E$25)</f>
        <v>0</v>
      </c>
      <c r="F59" s="62">
        <f>COUNTIFS('reductions data'!G:G,'reasons for reduction division'!B59,'reductions data'!A:A,$F$25)</f>
        <v>0</v>
      </c>
      <c r="G59" s="62">
        <f>COUNTIFS('reductions data'!G:G,'reasons for reduction division'!B59,'reductions data'!A:A,$G$25)</f>
        <v>0</v>
      </c>
      <c r="H59" s="62">
        <f>COUNTIFS('reductions data'!G:G,'reasons for reduction division'!B59,'reductions data'!A:A,$H$25)</f>
        <v>0</v>
      </c>
      <c r="I59" s="62">
        <f>COUNTIFS('reductions data'!G:G,'reasons for reduction division'!B59,'reductions data'!A:A,$I$25)</f>
        <v>0</v>
      </c>
      <c r="J59" s="62">
        <f>COUNTIFS('reductions data'!G:G,'reasons for reduction division'!B59,'reductions data'!A:A,$J$25)</f>
        <v>0</v>
      </c>
      <c r="K59" s="62">
        <f>COUNTIFS('reductions data'!G:G,'reasons for reduction division'!B59,'reductions data'!A:A,$K$25)</f>
        <v>0</v>
      </c>
      <c r="L59" s="62">
        <f>COUNTIFS('reductions data'!G:G,'reasons for reduction division'!B59,'reductions data'!A:A,$L$25)</f>
        <v>0</v>
      </c>
      <c r="M59" s="62">
        <f>COUNTIFS('reductions data'!G:G,'reasons for reduction division'!B59,'reductions data'!A:A,$M$25)</f>
        <v>0</v>
      </c>
      <c r="N59" s="62">
        <f>COUNTIFS('reductions data'!G:G,'reasons for reduction division'!B59,'reductions data'!A:A,$N$25)</f>
        <v>0</v>
      </c>
      <c r="O59" s="105">
        <f>COUNTIF('reductions data'!G:G,'reasons for reduction division'!B59)</f>
        <v>0</v>
      </c>
    </row>
    <row r="60" spans="2:15" x14ac:dyDescent="0.15">
      <c r="B60" s="322" t="s">
        <v>1259</v>
      </c>
      <c r="C60" s="62">
        <f>COUNTIFS('reductions data'!G:G,'reasons for reduction division'!B60,'reductions data'!A:A,$C$25)</f>
        <v>0</v>
      </c>
      <c r="D60" s="62">
        <f>COUNTIFS('reductions data'!G:G,'reasons for reduction division'!B60,'reductions data'!A:A,$D$25)</f>
        <v>0</v>
      </c>
      <c r="E60" s="62">
        <f>COUNTIFS('reductions data'!G:G,'reasons for reduction division'!B60,'reductions data'!A:A,$E$25)</f>
        <v>0</v>
      </c>
      <c r="F60" s="62">
        <f>COUNTIFS('reductions data'!G:G,'reasons for reduction division'!B60,'reductions data'!A:A,$F$25)</f>
        <v>0</v>
      </c>
      <c r="G60" s="62">
        <f>COUNTIFS('reductions data'!G:G,'reasons for reduction division'!B60,'reductions data'!A:A,$G$25)</f>
        <v>0</v>
      </c>
      <c r="H60" s="62">
        <f>COUNTIFS('reductions data'!G:G,'reasons for reduction division'!B60,'reductions data'!A:A,$H$25)</f>
        <v>0</v>
      </c>
      <c r="I60" s="62">
        <f>COUNTIFS('reductions data'!G:G,'reasons for reduction division'!B60,'reductions data'!A:A,$I$25)</f>
        <v>0</v>
      </c>
      <c r="J60" s="62">
        <f>COUNTIFS('reductions data'!G:G,'reasons for reduction division'!B60,'reductions data'!A:A,$J$25)</f>
        <v>0</v>
      </c>
      <c r="K60" s="62">
        <f>COUNTIFS('reductions data'!G:G,'reasons for reduction division'!B60,'reductions data'!A:A,$K$25)</f>
        <v>0</v>
      </c>
      <c r="L60" s="62">
        <f>COUNTIFS('reductions data'!G:G,'reasons for reduction division'!B60,'reductions data'!A:A,$L$25)</f>
        <v>0</v>
      </c>
      <c r="M60" s="62">
        <f>COUNTIFS('reductions data'!G:G,'reasons for reduction division'!B60,'reductions data'!A:A,$M$25)</f>
        <v>0</v>
      </c>
      <c r="N60" s="62">
        <f>COUNTIFS('reductions data'!G:G,'reasons for reduction division'!B60,'reductions data'!A:A,$N$25)</f>
        <v>0</v>
      </c>
      <c r="O60" s="105">
        <f>COUNTIF('reductions data'!G:G,'reasons for reduction division'!B60)</f>
        <v>0</v>
      </c>
    </row>
    <row r="61" spans="2:15" x14ac:dyDescent="0.15">
      <c r="B61" s="322" t="s">
        <v>1260</v>
      </c>
      <c r="C61" s="62">
        <f>COUNTIFS('reductions data'!G:G,'reasons for reduction division'!B61,'reductions data'!A:A,$C$25)</f>
        <v>0</v>
      </c>
      <c r="D61" s="62">
        <f>COUNTIFS('reductions data'!G:G,'reasons for reduction division'!B61,'reductions data'!A:A,$D$25)</f>
        <v>0</v>
      </c>
      <c r="E61" s="62">
        <f>COUNTIFS('reductions data'!G:G,'reasons for reduction division'!B61,'reductions data'!A:A,$E$25)</f>
        <v>0</v>
      </c>
      <c r="F61" s="62">
        <f>COUNTIFS('reductions data'!G:G,'reasons for reduction division'!B61,'reductions data'!A:A,$F$25)</f>
        <v>0</v>
      </c>
      <c r="G61" s="62">
        <f>COUNTIFS('reductions data'!G:G,'reasons for reduction division'!B61,'reductions data'!A:A,$G$25)</f>
        <v>0</v>
      </c>
      <c r="H61" s="62">
        <f>COUNTIFS('reductions data'!G:G,'reasons for reduction division'!B61,'reductions data'!A:A,$H$25)</f>
        <v>0</v>
      </c>
      <c r="I61" s="62">
        <f>COUNTIFS('reductions data'!G:G,'reasons for reduction division'!B61,'reductions data'!A:A,$I$25)</f>
        <v>0</v>
      </c>
      <c r="J61" s="62">
        <f>COUNTIFS('reductions data'!G:G,'reasons for reduction division'!B61,'reductions data'!A:A,$J$25)</f>
        <v>0</v>
      </c>
      <c r="K61" s="62">
        <f>COUNTIFS('reductions data'!G:G,'reasons for reduction division'!B61,'reductions data'!A:A,$K$25)</f>
        <v>0</v>
      </c>
      <c r="L61" s="62">
        <f>COUNTIFS('reductions data'!G:G,'reasons for reduction division'!B61,'reductions data'!A:A,$L$25)</f>
        <v>0</v>
      </c>
      <c r="M61" s="62">
        <f>COUNTIFS('reductions data'!G:G,'reasons for reduction division'!B61,'reductions data'!A:A,$M$25)</f>
        <v>0</v>
      </c>
      <c r="N61" s="62">
        <f>COUNTIFS('reductions data'!G:G,'reasons for reduction division'!B61,'reductions data'!A:A,$N$25)</f>
        <v>0</v>
      </c>
      <c r="O61" s="105">
        <f>COUNTIF('reductions data'!G:G,'reasons for reduction division'!B61)</f>
        <v>0</v>
      </c>
    </row>
    <row r="62" spans="2:15" x14ac:dyDescent="0.15">
      <c r="B62" s="322" t="s">
        <v>1264</v>
      </c>
      <c r="C62" s="62">
        <f>COUNTIFS('reductions data'!G:G,'reasons for reduction division'!B62,'reductions data'!A:A,$C$25)</f>
        <v>0</v>
      </c>
      <c r="D62" s="62">
        <f>COUNTIFS('reductions data'!G:G,'reasons for reduction division'!B62,'reductions data'!A:A,$D$25)</f>
        <v>0</v>
      </c>
      <c r="E62" s="62">
        <f>COUNTIFS('reductions data'!G:G,'reasons for reduction division'!B62,'reductions data'!A:A,$E$25)</f>
        <v>0</v>
      </c>
      <c r="F62" s="62">
        <f>COUNTIFS('reductions data'!G:G,'reasons for reduction division'!B62,'reductions data'!A:A,$F$25)</f>
        <v>0</v>
      </c>
      <c r="G62" s="62">
        <f>COUNTIFS('reductions data'!G:G,'reasons for reduction division'!B62,'reductions data'!A:A,$G$25)</f>
        <v>0</v>
      </c>
      <c r="H62" s="62">
        <f>COUNTIFS('reductions data'!G:G,'reasons for reduction division'!B62,'reductions data'!A:A,$H$25)</f>
        <v>0</v>
      </c>
      <c r="I62" s="62">
        <f>COUNTIFS('reductions data'!G:G,'reasons for reduction division'!B62,'reductions data'!A:A,$I$25)</f>
        <v>0</v>
      </c>
      <c r="J62" s="62">
        <f>COUNTIFS('reductions data'!G:G,'reasons for reduction division'!B62,'reductions data'!A:A,$J$25)</f>
        <v>0</v>
      </c>
      <c r="K62" s="62">
        <f>COUNTIFS('reductions data'!G:G,'reasons for reduction division'!B62,'reductions data'!A:A,$K$25)</f>
        <v>0</v>
      </c>
      <c r="L62" s="62">
        <f>COUNTIFS('reductions data'!G:G,'reasons for reduction division'!B62,'reductions data'!A:A,$L$25)</f>
        <v>0</v>
      </c>
      <c r="M62" s="62">
        <f>COUNTIFS('reductions data'!G:G,'reasons for reduction division'!B62,'reductions data'!A:A,$M$25)</f>
        <v>0</v>
      </c>
      <c r="N62" s="62">
        <f>COUNTIFS('reductions data'!G:G,'reasons for reduction division'!B62,'reductions data'!A:A,$N$25)</f>
        <v>0</v>
      </c>
      <c r="O62" s="105">
        <f>COUNTIF('reductions data'!G:G,'reasons for reduction division'!B62)</f>
        <v>0</v>
      </c>
    </row>
    <row r="63" spans="2:15" x14ac:dyDescent="0.15">
      <c r="B63" s="113" t="s">
        <v>925</v>
      </c>
      <c r="C63" s="62">
        <f>COUNTIFS('reductions data'!G:G,'reasons for reduction division'!B63,'reductions data'!A:A,$C$25)</f>
        <v>0</v>
      </c>
      <c r="D63" s="62">
        <f>COUNTIFS('reductions data'!G:G,'reasons for reduction division'!B63,'reductions data'!A:A,$D$25)</f>
        <v>0</v>
      </c>
      <c r="E63" s="62">
        <f>COUNTIFS('reductions data'!G:G,'reasons for reduction division'!B63,'reductions data'!A:A,$E$25)</f>
        <v>0</v>
      </c>
      <c r="F63" s="62">
        <f>COUNTIFS('reductions data'!G:G,'reasons for reduction division'!B63,'reductions data'!A:A,$F$25)</f>
        <v>0</v>
      </c>
      <c r="G63" s="62">
        <f>COUNTIFS('reductions data'!G:G,'reasons for reduction division'!B63,'reductions data'!A:A,$G$25)</f>
        <v>0</v>
      </c>
      <c r="H63" s="62">
        <f>COUNTIFS('reductions data'!G:G,'reasons for reduction division'!B63,'reductions data'!A:A,$H$25)</f>
        <v>0</v>
      </c>
      <c r="I63" s="62">
        <f>COUNTIFS('reductions data'!G:G,'reasons for reduction division'!B63,'reductions data'!A:A,$I$25)</f>
        <v>0</v>
      </c>
      <c r="J63" s="62">
        <f>COUNTIFS('reductions data'!G:G,'reasons for reduction division'!B63,'reductions data'!A:A,$J$25)</f>
        <v>0</v>
      </c>
      <c r="K63" s="62">
        <f>COUNTIFS('reductions data'!G:G,'reasons for reduction division'!B63,'reductions data'!A:A,$K$25)</f>
        <v>0</v>
      </c>
      <c r="L63" s="62">
        <f>COUNTIFS('reductions data'!G:G,'reasons for reduction division'!B63,'reductions data'!A:A,$L$25)</f>
        <v>0</v>
      </c>
      <c r="M63" s="62">
        <f>COUNTIFS('reductions data'!G:G,'reasons for reduction division'!B63,'reductions data'!A:A,$M$25)</f>
        <v>0</v>
      </c>
      <c r="N63" s="62">
        <f>COUNTIFS('reductions data'!G:G,'reasons for reduction division'!B63,'reductions data'!A:A,$N$25)</f>
        <v>0</v>
      </c>
      <c r="O63" s="105">
        <f>COUNTIF('reductions data'!G:G,'reasons for reduction division'!B63)</f>
        <v>0</v>
      </c>
    </row>
    <row r="64" spans="2:15" x14ac:dyDescent="0.15">
      <c r="B64" s="113" t="s">
        <v>926</v>
      </c>
      <c r="C64" s="62">
        <f>COUNTIFS('reductions data'!G:G,'reasons for reduction division'!B64,'reductions data'!A:A,$C$25)</f>
        <v>0</v>
      </c>
      <c r="D64" s="62">
        <f>COUNTIFS('reductions data'!G:G,'reasons for reduction division'!B64,'reductions data'!A:A,$D$25)</f>
        <v>0</v>
      </c>
      <c r="E64" s="62">
        <f>COUNTIFS('reductions data'!G:G,'reasons for reduction division'!B64,'reductions data'!A:A,$E$25)</f>
        <v>0</v>
      </c>
      <c r="F64" s="62">
        <f>COUNTIFS('reductions data'!G:G,'reasons for reduction division'!B64,'reductions data'!A:A,$F$25)</f>
        <v>0</v>
      </c>
      <c r="G64" s="62">
        <f>COUNTIFS('reductions data'!G:G,'reasons for reduction division'!B64,'reductions data'!A:A,$G$25)</f>
        <v>0</v>
      </c>
      <c r="H64" s="62">
        <f>COUNTIFS('reductions data'!G:G,'reasons for reduction division'!B64,'reductions data'!A:A,$H$25)</f>
        <v>0</v>
      </c>
      <c r="I64" s="62">
        <f>COUNTIFS('reductions data'!G:G,'reasons for reduction division'!B64,'reductions data'!A:A,$I$25)</f>
        <v>0</v>
      </c>
      <c r="J64" s="62">
        <f>COUNTIFS('reductions data'!G:G,'reasons for reduction division'!B64,'reductions data'!A:A,$J$25)</f>
        <v>0</v>
      </c>
      <c r="K64" s="62">
        <f>COUNTIFS('reductions data'!G:G,'reasons for reduction division'!B64,'reductions data'!A:A,$K$25)</f>
        <v>0</v>
      </c>
      <c r="L64" s="62">
        <f>COUNTIFS('reductions data'!G:G,'reasons for reduction division'!B64,'reductions data'!A:A,$L$25)</f>
        <v>0</v>
      </c>
      <c r="M64" s="62">
        <f>COUNTIFS('reductions data'!G:G,'reasons for reduction division'!B64,'reductions data'!A:A,$M$25)</f>
        <v>0</v>
      </c>
      <c r="N64" s="62">
        <f>COUNTIFS('reductions data'!G:G,'reasons for reduction division'!B64,'reductions data'!A:A,$N$25)</f>
        <v>0</v>
      </c>
      <c r="O64" s="105">
        <f>COUNTIF('reductions data'!G:G,'reasons for reduction division'!B64)</f>
        <v>0</v>
      </c>
    </row>
    <row r="65" spans="2:15" x14ac:dyDescent="0.15">
      <c r="B65" s="113" t="s">
        <v>927</v>
      </c>
      <c r="C65" s="62">
        <f>COUNTIFS('reductions data'!G:G,'reasons for reduction division'!B65,'reductions data'!A:A,$C$25)</f>
        <v>0</v>
      </c>
      <c r="D65" s="62">
        <f>COUNTIFS('reductions data'!G:G,'reasons for reduction division'!B65,'reductions data'!A:A,$D$25)</f>
        <v>0</v>
      </c>
      <c r="E65" s="62">
        <f>COUNTIFS('reductions data'!G:G,'reasons for reduction division'!B65,'reductions data'!A:A,$E$25)</f>
        <v>0</v>
      </c>
      <c r="F65" s="62">
        <f>COUNTIFS('reductions data'!G:G,'reasons for reduction division'!B65,'reductions data'!A:A,$F$25)</f>
        <v>0</v>
      </c>
      <c r="G65" s="62">
        <f>COUNTIFS('reductions data'!G:G,'reasons for reduction division'!B65,'reductions data'!A:A,$G$25)</f>
        <v>0</v>
      </c>
      <c r="H65" s="62">
        <f>COUNTIFS('reductions data'!G:G,'reasons for reduction division'!B65,'reductions data'!A:A,$H$25)</f>
        <v>0</v>
      </c>
      <c r="I65" s="62">
        <f>COUNTIFS('reductions data'!G:G,'reasons for reduction division'!B65,'reductions data'!A:A,$I$25)</f>
        <v>0</v>
      </c>
      <c r="J65" s="62">
        <f>COUNTIFS('reductions data'!G:G,'reasons for reduction division'!B65,'reductions data'!A:A,$J$25)</f>
        <v>0</v>
      </c>
      <c r="K65" s="62">
        <f>COUNTIFS('reductions data'!G:G,'reasons for reduction division'!B65,'reductions data'!A:A,$K$25)</f>
        <v>0</v>
      </c>
      <c r="L65" s="62">
        <f>COUNTIFS('reductions data'!G:G,'reasons for reduction division'!B65,'reductions data'!A:A,$L$25)</f>
        <v>0</v>
      </c>
      <c r="M65" s="62">
        <f>COUNTIFS('reductions data'!G:G,'reasons for reduction division'!B65,'reductions data'!A:A,$M$25)</f>
        <v>0</v>
      </c>
      <c r="N65" s="62">
        <f>COUNTIFS('reductions data'!G:G,'reasons for reduction division'!B65,'reductions data'!A:A,$N$25)</f>
        <v>0</v>
      </c>
      <c r="O65" s="105">
        <f>COUNTIF('reductions data'!G:G,'reasons for reduction division'!B65)</f>
        <v>0</v>
      </c>
    </row>
    <row r="66" spans="2:15" x14ac:dyDescent="0.15">
      <c r="B66" s="113" t="s">
        <v>921</v>
      </c>
      <c r="C66" s="62">
        <f>COUNTIFS('reductions data'!G:G,'reasons for reduction division'!B66,'reductions data'!A:A,$C$25)</f>
        <v>0</v>
      </c>
      <c r="D66" s="62">
        <f>COUNTIFS('reductions data'!G:G,'reasons for reduction division'!B66,'reductions data'!A:A,$D$25)</f>
        <v>0</v>
      </c>
      <c r="E66" s="62">
        <f>COUNTIFS('reductions data'!G:G,'reasons for reduction division'!B66,'reductions data'!A:A,$E$25)</f>
        <v>0</v>
      </c>
      <c r="F66" s="62">
        <f>COUNTIFS('reductions data'!G:G,'reasons for reduction division'!B66,'reductions data'!A:A,$F$25)</f>
        <v>0</v>
      </c>
      <c r="G66" s="62">
        <f>COUNTIFS('reductions data'!G:G,'reasons for reduction division'!B66,'reductions data'!A:A,$G$25)</f>
        <v>0</v>
      </c>
      <c r="H66" s="62">
        <f>COUNTIFS('reductions data'!G:G,'reasons for reduction division'!B66,'reductions data'!A:A,$H$25)</f>
        <v>0</v>
      </c>
      <c r="I66" s="62">
        <f>COUNTIFS('reductions data'!G:G,'reasons for reduction division'!B66,'reductions data'!A:A,$I$25)</f>
        <v>0</v>
      </c>
      <c r="J66" s="62">
        <f>COUNTIFS('reductions data'!G:G,'reasons for reduction division'!B66,'reductions data'!A:A,$J$25)</f>
        <v>0</v>
      </c>
      <c r="K66" s="62">
        <f>COUNTIFS('reductions data'!G:G,'reasons for reduction division'!B66,'reductions data'!A:A,$K$25)</f>
        <v>0</v>
      </c>
      <c r="L66" s="62">
        <f>COUNTIFS('reductions data'!G:G,'reasons for reduction division'!B66,'reductions data'!A:A,$L$25)</f>
        <v>0</v>
      </c>
      <c r="M66" s="62">
        <f>COUNTIFS('reductions data'!G:G,'reasons for reduction division'!B66,'reductions data'!A:A,$M$25)</f>
        <v>0</v>
      </c>
      <c r="N66" s="62">
        <f>COUNTIFS('reductions data'!G:G,'reasons for reduction division'!B66,'reductions data'!A:A,$N$25)</f>
        <v>0</v>
      </c>
      <c r="O66" s="105">
        <f>COUNTIF('reductions data'!G:G,'reasons for reduction division'!B66)</f>
        <v>0</v>
      </c>
    </row>
    <row r="67" spans="2:15" x14ac:dyDescent="0.15">
      <c r="B67" s="113" t="s">
        <v>928</v>
      </c>
      <c r="C67" s="62">
        <f>COUNTIFS('reductions data'!G:G,'reasons for reduction division'!B67,'reductions data'!A:A,$C$25)</f>
        <v>0</v>
      </c>
      <c r="D67" s="62">
        <f>COUNTIFS('reductions data'!G:G,'reasons for reduction division'!B67,'reductions data'!A:A,$D$25)</f>
        <v>0</v>
      </c>
      <c r="E67" s="62">
        <f>COUNTIFS('reductions data'!G:G,'reasons for reduction division'!B67,'reductions data'!A:A,$E$25)</f>
        <v>0</v>
      </c>
      <c r="F67" s="62">
        <f>COUNTIFS('reductions data'!G:G,'reasons for reduction division'!B67,'reductions data'!A:A,$F$25)</f>
        <v>0</v>
      </c>
      <c r="G67" s="62">
        <f>COUNTIFS('reductions data'!G:G,'reasons for reduction division'!B67,'reductions data'!A:A,$G$25)</f>
        <v>0</v>
      </c>
      <c r="H67" s="62">
        <f>COUNTIFS('reductions data'!G:G,'reasons for reduction division'!B67,'reductions data'!A:A,$H$25)</f>
        <v>0</v>
      </c>
      <c r="I67" s="62">
        <f>COUNTIFS('reductions data'!G:G,'reasons for reduction division'!B67,'reductions data'!A:A,$I$25)</f>
        <v>0</v>
      </c>
      <c r="J67" s="62">
        <f>COUNTIFS('reductions data'!G:G,'reasons for reduction division'!B67,'reductions data'!A:A,$J$25)</f>
        <v>0</v>
      </c>
      <c r="K67" s="62">
        <f>COUNTIFS('reductions data'!G:G,'reasons for reduction division'!B67,'reductions data'!A:A,$K$25)</f>
        <v>0</v>
      </c>
      <c r="L67" s="62">
        <f>COUNTIFS('reductions data'!G:G,'reasons for reduction division'!B67,'reductions data'!A:A,$L$25)</f>
        <v>0</v>
      </c>
      <c r="M67" s="62">
        <f>COUNTIFS('reductions data'!G:G,'reasons for reduction division'!B67,'reductions data'!A:A,$M$25)</f>
        <v>0</v>
      </c>
      <c r="N67" s="62">
        <f>COUNTIFS('reductions data'!G:G,'reasons for reduction division'!B67,'reductions data'!A:A,$N$25)</f>
        <v>0</v>
      </c>
      <c r="O67" s="105">
        <f>COUNTIF('reductions data'!G:G,'reasons for reduction division'!B67)</f>
        <v>0</v>
      </c>
    </row>
    <row r="68" spans="2:15" x14ac:dyDescent="0.15">
      <c r="B68" s="112" t="s">
        <v>929</v>
      </c>
      <c r="C68" s="62">
        <f>COUNTIFS('reductions data'!G:G,'reasons for reduction division'!B68,'reductions data'!A:A,$C$25)</f>
        <v>0</v>
      </c>
      <c r="D68" s="62">
        <f>COUNTIFS('reductions data'!G:G,'reasons for reduction division'!B68,'reductions data'!A:A,$D$25)</f>
        <v>0</v>
      </c>
      <c r="E68" s="62">
        <f>COUNTIFS('reductions data'!G:G,'reasons for reduction division'!B68,'reductions data'!A:A,$E$25)</f>
        <v>0</v>
      </c>
      <c r="F68" s="62">
        <f>COUNTIFS('reductions data'!G:G,'reasons for reduction division'!B68,'reductions data'!A:A,$F$25)</f>
        <v>0</v>
      </c>
      <c r="G68" s="62">
        <f>COUNTIFS('reductions data'!G:G,'reasons for reduction division'!B68,'reductions data'!A:A,$G$25)</f>
        <v>0</v>
      </c>
      <c r="H68" s="62">
        <f>COUNTIFS('reductions data'!G:G,'reasons for reduction division'!B68,'reductions data'!A:A,$H$25)</f>
        <v>0</v>
      </c>
      <c r="I68" s="62">
        <f>COUNTIFS('reductions data'!G:G,'reasons for reduction division'!B68,'reductions data'!A:A,$I$25)</f>
        <v>0</v>
      </c>
      <c r="J68" s="62">
        <f>COUNTIFS('reductions data'!G:G,'reasons for reduction division'!B68,'reductions data'!A:A,$J$25)</f>
        <v>0</v>
      </c>
      <c r="K68" s="62">
        <f>COUNTIFS('reductions data'!G:G,'reasons for reduction division'!B68,'reductions data'!A:A,$K$25)</f>
        <v>0</v>
      </c>
      <c r="L68" s="62">
        <f>COUNTIFS('reductions data'!G:G,'reasons for reduction division'!B68,'reductions data'!A:A,$L$25)</f>
        <v>0</v>
      </c>
      <c r="M68" s="62">
        <f>COUNTIFS('reductions data'!G:G,'reasons for reduction division'!B68,'reductions data'!A:A,$M$25)</f>
        <v>0</v>
      </c>
      <c r="N68" s="62">
        <f>COUNTIFS('reductions data'!G:G,'reasons for reduction division'!B68,'reductions data'!A:A,$N$25)</f>
        <v>0</v>
      </c>
      <c r="O68" s="105">
        <f>COUNTIF('reductions data'!G:G,'reasons for reduction division'!B68)</f>
        <v>0</v>
      </c>
    </row>
    <row r="69" spans="2:15" x14ac:dyDescent="0.15">
      <c r="B69" s="113" t="s">
        <v>930</v>
      </c>
      <c r="C69" s="62">
        <f>COUNTIFS('reductions data'!G:G,'reasons for reduction division'!B69,'reductions data'!A:A,$C$25)</f>
        <v>0</v>
      </c>
      <c r="D69" s="62">
        <f>COUNTIFS('reductions data'!G:G,'reasons for reduction division'!B69,'reductions data'!A:A,$D$25)</f>
        <v>0</v>
      </c>
      <c r="E69" s="62">
        <f>COUNTIFS('reductions data'!G:G,'reasons for reduction division'!B69,'reductions data'!A:A,$E$25)</f>
        <v>0</v>
      </c>
      <c r="F69" s="62">
        <f>COUNTIFS('reductions data'!G:G,'reasons for reduction division'!B69,'reductions data'!A:A,$F$25)</f>
        <v>0</v>
      </c>
      <c r="G69" s="62">
        <f>COUNTIFS('reductions data'!G:G,'reasons for reduction division'!B69,'reductions data'!A:A,$G$25)</f>
        <v>0</v>
      </c>
      <c r="H69" s="62">
        <f>COUNTIFS('reductions data'!G:G,'reasons for reduction division'!B69,'reductions data'!A:A,$H$25)</f>
        <v>0</v>
      </c>
      <c r="I69" s="62">
        <f>COUNTIFS('reductions data'!G:G,'reasons for reduction division'!B69,'reductions data'!A:A,$I$25)</f>
        <v>0</v>
      </c>
      <c r="J69" s="62">
        <f>COUNTIFS('reductions data'!G:G,'reasons for reduction division'!B69,'reductions data'!A:A,$J$25)</f>
        <v>0</v>
      </c>
      <c r="K69" s="62">
        <f>COUNTIFS('reductions data'!G:G,'reasons for reduction division'!B69,'reductions data'!A:A,$K$25)</f>
        <v>0</v>
      </c>
      <c r="L69" s="62">
        <f>COUNTIFS('reductions data'!G:G,'reasons for reduction division'!B69,'reductions data'!A:A,$L$25)</f>
        <v>0</v>
      </c>
      <c r="M69" s="62">
        <f>COUNTIFS('reductions data'!G:G,'reasons for reduction division'!B69,'reductions data'!A:A,$M$25)</f>
        <v>0</v>
      </c>
      <c r="N69" s="62">
        <f>COUNTIFS('reductions data'!G:G,'reasons for reduction division'!B69,'reductions data'!A:A,$N$25)</f>
        <v>0</v>
      </c>
      <c r="O69" s="105">
        <f>COUNTIF('reductions data'!G:G,'reasons for reduction division'!B69)</f>
        <v>0</v>
      </c>
    </row>
    <row r="70" spans="2:15" x14ac:dyDescent="0.15">
      <c r="B70" s="113" t="s">
        <v>931</v>
      </c>
      <c r="C70" s="62">
        <f>COUNTIFS('reductions data'!G:G,'reasons for reduction division'!B70,'reductions data'!A:A,$C$25)</f>
        <v>0</v>
      </c>
      <c r="D70" s="62">
        <f>COUNTIFS('reductions data'!G:G,'reasons for reduction division'!B70,'reductions data'!A:A,$D$25)</f>
        <v>0</v>
      </c>
      <c r="E70" s="62">
        <f>COUNTIFS('reductions data'!G:G,'reasons for reduction division'!B70,'reductions data'!A:A,$E$25)</f>
        <v>0</v>
      </c>
      <c r="F70" s="62">
        <f>COUNTIFS('reductions data'!G:G,'reasons for reduction division'!B70,'reductions data'!A:A,$F$25)</f>
        <v>0</v>
      </c>
      <c r="G70" s="62">
        <f>COUNTIFS('reductions data'!G:G,'reasons for reduction division'!B70,'reductions data'!A:A,$G$25)</f>
        <v>0</v>
      </c>
      <c r="H70" s="62">
        <f>COUNTIFS('reductions data'!G:G,'reasons for reduction division'!B70,'reductions data'!A:A,$H$25)</f>
        <v>0</v>
      </c>
      <c r="I70" s="62">
        <f>COUNTIFS('reductions data'!G:G,'reasons for reduction division'!B70,'reductions data'!A:A,$I$25)</f>
        <v>0</v>
      </c>
      <c r="J70" s="62">
        <f>COUNTIFS('reductions data'!G:G,'reasons for reduction division'!B70,'reductions data'!A:A,$J$25)</f>
        <v>0</v>
      </c>
      <c r="K70" s="62">
        <f>COUNTIFS('reductions data'!G:G,'reasons for reduction division'!B70,'reductions data'!A:A,$K$25)</f>
        <v>0</v>
      </c>
      <c r="L70" s="62">
        <f>COUNTIFS('reductions data'!G:G,'reasons for reduction division'!B70,'reductions data'!A:A,$L$25)</f>
        <v>0</v>
      </c>
      <c r="M70" s="62">
        <f>COUNTIFS('reductions data'!G:G,'reasons for reduction division'!B70,'reductions data'!A:A,$M$25)</f>
        <v>0</v>
      </c>
      <c r="N70" s="62">
        <f>COUNTIFS('reductions data'!G:G,'reasons for reduction division'!B70,'reductions data'!A:A,$N$25)</f>
        <v>0</v>
      </c>
      <c r="O70" s="105">
        <f>COUNTIF('reductions data'!G:G,'reasons for reduction division'!B70)</f>
        <v>0</v>
      </c>
    </row>
    <row r="71" spans="2:15" x14ac:dyDescent="0.15">
      <c r="B71" s="113" t="s">
        <v>932</v>
      </c>
      <c r="C71" s="62">
        <f>COUNTIFS('reductions data'!G:G,'reasons for reduction division'!B71,'reductions data'!A:A,$C$25)</f>
        <v>0</v>
      </c>
      <c r="D71" s="62">
        <f>COUNTIFS('reductions data'!G:G,'reasons for reduction division'!B71,'reductions data'!A:A,$D$25)</f>
        <v>0</v>
      </c>
      <c r="E71" s="62">
        <f>COUNTIFS('reductions data'!G:G,'reasons for reduction division'!B71,'reductions data'!A:A,$E$25)</f>
        <v>0</v>
      </c>
      <c r="F71" s="62">
        <f>COUNTIFS('reductions data'!G:G,'reasons for reduction division'!B71,'reductions data'!A:A,$F$25)</f>
        <v>0</v>
      </c>
      <c r="G71" s="62">
        <f>COUNTIFS('reductions data'!G:G,'reasons for reduction division'!B71,'reductions data'!A:A,$G$25)</f>
        <v>0</v>
      </c>
      <c r="H71" s="62">
        <f>COUNTIFS('reductions data'!G:G,'reasons for reduction division'!B71,'reductions data'!A:A,$H$25)</f>
        <v>0</v>
      </c>
      <c r="I71" s="62">
        <f>COUNTIFS('reductions data'!G:G,'reasons for reduction division'!B71,'reductions data'!A:A,$I$25)</f>
        <v>0</v>
      </c>
      <c r="J71" s="62">
        <f>COUNTIFS('reductions data'!G:G,'reasons for reduction division'!B71,'reductions data'!A:A,$J$25)</f>
        <v>0</v>
      </c>
      <c r="K71" s="62">
        <f>COUNTIFS('reductions data'!G:G,'reasons for reduction division'!B71,'reductions data'!A:A,$K$25)</f>
        <v>0</v>
      </c>
      <c r="L71" s="62">
        <f>COUNTIFS('reductions data'!G:G,'reasons for reduction division'!B71,'reductions data'!A:A,$L$25)</f>
        <v>0</v>
      </c>
      <c r="M71" s="62">
        <f>COUNTIFS('reductions data'!G:G,'reasons for reduction division'!B71,'reductions data'!A:A,$M$25)</f>
        <v>0</v>
      </c>
      <c r="N71" s="62">
        <f>COUNTIFS('reductions data'!G:G,'reasons for reduction division'!B71,'reductions data'!A:A,$N$25)</f>
        <v>0</v>
      </c>
      <c r="O71" s="105">
        <f>COUNTIF('reductions data'!G:G,'reasons for reduction division'!B71)</f>
        <v>0</v>
      </c>
    </row>
    <row r="72" spans="2:15" x14ac:dyDescent="0.15">
      <c r="B72" s="113" t="s">
        <v>933</v>
      </c>
      <c r="C72" s="62">
        <f>COUNTIFS('reductions data'!G:G,'reasons for reduction division'!B72,'reductions data'!A:A,$C$25)</f>
        <v>0</v>
      </c>
      <c r="D72" s="62">
        <f>COUNTIFS('reductions data'!G:G,'reasons for reduction division'!B72,'reductions data'!A:A,$D$25)</f>
        <v>0</v>
      </c>
      <c r="E72" s="62">
        <f>COUNTIFS('reductions data'!G:G,'reasons for reduction division'!B72,'reductions data'!A:A,$E$25)</f>
        <v>0</v>
      </c>
      <c r="F72" s="62">
        <f>COUNTIFS('reductions data'!G:G,'reasons for reduction division'!B72,'reductions data'!A:A,$F$25)</f>
        <v>0</v>
      </c>
      <c r="G72" s="62">
        <f>COUNTIFS('reductions data'!G:G,'reasons for reduction division'!B72,'reductions data'!A:A,$G$25)</f>
        <v>0</v>
      </c>
      <c r="H72" s="62">
        <f>COUNTIFS('reductions data'!G:G,'reasons for reduction division'!B72,'reductions data'!A:A,$H$25)</f>
        <v>0</v>
      </c>
      <c r="I72" s="62">
        <f>COUNTIFS('reductions data'!G:G,'reasons for reduction division'!B72,'reductions data'!A:A,$I$25)</f>
        <v>0</v>
      </c>
      <c r="J72" s="62">
        <f>COUNTIFS('reductions data'!G:G,'reasons for reduction division'!B72,'reductions data'!A:A,$J$25)</f>
        <v>0</v>
      </c>
      <c r="K72" s="62">
        <f>COUNTIFS('reductions data'!G:G,'reasons for reduction division'!B72,'reductions data'!A:A,$K$25)</f>
        <v>0</v>
      </c>
      <c r="L72" s="62">
        <f>COUNTIFS('reductions data'!G:G,'reasons for reduction division'!B72,'reductions data'!A:A,$L$25)</f>
        <v>0</v>
      </c>
      <c r="M72" s="62">
        <f>COUNTIFS('reductions data'!G:G,'reasons for reduction division'!B72,'reductions data'!A:A,$M$25)</f>
        <v>0</v>
      </c>
      <c r="N72" s="62">
        <f>COUNTIFS('reductions data'!G:G,'reasons for reduction division'!B72,'reductions data'!A:A,$N$25)</f>
        <v>0</v>
      </c>
      <c r="O72" s="105">
        <f>COUNTIF('reductions data'!G:G,'reasons for reduction division'!B72)</f>
        <v>0</v>
      </c>
    </row>
    <row r="73" spans="2:15" x14ac:dyDescent="0.15">
      <c r="B73" s="113" t="s">
        <v>934</v>
      </c>
      <c r="C73" s="62">
        <f>COUNTIFS('reductions data'!G:G,'reasons for reduction division'!B73,'reductions data'!A:A,$C$25)</f>
        <v>0</v>
      </c>
      <c r="D73" s="62">
        <f>COUNTIFS('reductions data'!G:G,'reasons for reduction division'!B73,'reductions data'!A:A,$D$25)</f>
        <v>0</v>
      </c>
      <c r="E73" s="62">
        <f>COUNTIFS('reductions data'!G:G,'reasons for reduction division'!B73,'reductions data'!A:A,$E$25)</f>
        <v>0</v>
      </c>
      <c r="F73" s="62">
        <f>COUNTIFS('reductions data'!G:G,'reasons for reduction division'!B73,'reductions data'!A:A,$F$25)</f>
        <v>0</v>
      </c>
      <c r="G73" s="62">
        <f>COUNTIFS('reductions data'!G:G,'reasons for reduction division'!B73,'reductions data'!A:A,$G$25)</f>
        <v>0</v>
      </c>
      <c r="H73" s="62">
        <f>COUNTIFS('reductions data'!G:G,'reasons for reduction division'!B73,'reductions data'!A:A,$H$25)</f>
        <v>0</v>
      </c>
      <c r="I73" s="62">
        <f>COUNTIFS('reductions data'!G:G,'reasons for reduction division'!B73,'reductions data'!A:A,$I$25)</f>
        <v>0</v>
      </c>
      <c r="J73" s="62">
        <f>COUNTIFS('reductions data'!G:G,'reasons for reduction division'!B73,'reductions data'!A:A,$J$25)</f>
        <v>0</v>
      </c>
      <c r="K73" s="62">
        <f>COUNTIFS('reductions data'!G:G,'reasons for reduction division'!B73,'reductions data'!A:A,$K$25)</f>
        <v>0</v>
      </c>
      <c r="L73" s="62">
        <f>COUNTIFS('reductions data'!G:G,'reasons for reduction division'!B73,'reductions data'!A:A,$L$25)</f>
        <v>0</v>
      </c>
      <c r="M73" s="62">
        <f>COUNTIFS('reductions data'!G:G,'reasons for reduction division'!B73,'reductions data'!A:A,$M$25)</f>
        <v>0</v>
      </c>
      <c r="N73" s="62">
        <f>COUNTIFS('reductions data'!G:G,'reasons for reduction division'!B73,'reductions data'!A:A,$N$25)</f>
        <v>0</v>
      </c>
      <c r="O73" s="105">
        <f>COUNTIF('reductions data'!G:G,'reasons for reduction division'!B73)</f>
        <v>0</v>
      </c>
    </row>
    <row r="74" spans="2:15" x14ac:dyDescent="0.15">
      <c r="B74" s="113" t="s">
        <v>935</v>
      </c>
      <c r="C74" s="62">
        <f>COUNTIFS('reductions data'!G:G,'reasons for reduction division'!B74,'reductions data'!A:A,$C$25)</f>
        <v>0</v>
      </c>
      <c r="D74" s="62">
        <f>COUNTIFS('reductions data'!G:G,'reasons for reduction division'!B74,'reductions data'!A:A,$D$25)</f>
        <v>0</v>
      </c>
      <c r="E74" s="62">
        <f>COUNTIFS('reductions data'!G:G,'reasons for reduction division'!B74,'reductions data'!A:A,$E$25)</f>
        <v>0</v>
      </c>
      <c r="F74" s="62">
        <f>COUNTIFS('reductions data'!G:G,'reasons for reduction division'!B74,'reductions data'!A:A,$F$25)</f>
        <v>0</v>
      </c>
      <c r="G74" s="62">
        <f>COUNTIFS('reductions data'!G:G,'reasons for reduction division'!B74,'reductions data'!A:A,$G$25)</f>
        <v>0</v>
      </c>
      <c r="H74" s="62">
        <f>COUNTIFS('reductions data'!G:G,'reasons for reduction division'!B74,'reductions data'!A:A,$H$25)</f>
        <v>0</v>
      </c>
      <c r="I74" s="62">
        <f>COUNTIFS('reductions data'!G:G,'reasons for reduction division'!B74,'reductions data'!A:A,$I$25)</f>
        <v>0</v>
      </c>
      <c r="J74" s="62">
        <f>COUNTIFS('reductions data'!G:G,'reasons for reduction division'!B74,'reductions data'!A:A,$J$25)</f>
        <v>0</v>
      </c>
      <c r="K74" s="62">
        <f>COUNTIFS('reductions data'!G:G,'reasons for reduction division'!B74,'reductions data'!A:A,$K$25)</f>
        <v>0</v>
      </c>
      <c r="L74" s="62">
        <f>COUNTIFS('reductions data'!G:G,'reasons for reduction division'!B74,'reductions data'!A:A,$L$25)</f>
        <v>0</v>
      </c>
      <c r="M74" s="62">
        <f>COUNTIFS('reductions data'!G:G,'reasons for reduction division'!B74,'reductions data'!A:A,$M$25)</f>
        <v>0</v>
      </c>
      <c r="N74" s="62">
        <f>COUNTIFS('reductions data'!G:G,'reasons for reduction division'!B74,'reductions data'!A:A,$N$25)</f>
        <v>0</v>
      </c>
      <c r="O74" s="105">
        <f>COUNTIF('reductions data'!G:G,'reasons for reduction division'!B74)</f>
        <v>0</v>
      </c>
    </row>
    <row r="75" spans="2:15" x14ac:dyDescent="0.15">
      <c r="B75" s="181" t="s">
        <v>964</v>
      </c>
      <c r="C75" s="182">
        <f>COUNTIF('reductions data'!A:A,$C$25)</f>
        <v>0</v>
      </c>
      <c r="D75" s="182">
        <f>COUNTIF('reductions data'!A:A,$D$25)</f>
        <v>0</v>
      </c>
      <c r="E75" s="182">
        <f>COUNTIF('reductions data'!A:A,$E$25)</f>
        <v>0</v>
      </c>
      <c r="F75" s="182">
        <f>COUNTIF('reductions data'!A:A,$F$25)</f>
        <v>0</v>
      </c>
      <c r="G75" s="182">
        <f>COUNTIF('reductions data'!A:A,$G$25)</f>
        <v>0</v>
      </c>
      <c r="H75" s="182">
        <f>COUNTIF('reductions data'!A:A,$H$25)</f>
        <v>0</v>
      </c>
      <c r="I75" s="182">
        <f>COUNTIF('reductions data'!A:A,$I$25)</f>
        <v>0</v>
      </c>
      <c r="J75" s="182">
        <f>COUNTIF('reductions data'!A:A,$J$25)</f>
        <v>0</v>
      </c>
      <c r="K75" s="182">
        <f>COUNTIF('reductions data'!A:A,$K$25)</f>
        <v>0</v>
      </c>
      <c r="L75" s="182">
        <f>COUNTIF('reductions data'!A:A,$L$25)</f>
        <v>0</v>
      </c>
      <c r="M75" s="182">
        <f>COUNTIF('reductions data'!A:A,$M$25)</f>
        <v>0</v>
      </c>
      <c r="N75" s="182">
        <f>COUNTIF('reductions data'!$A:$A,N$25)</f>
        <v>0</v>
      </c>
      <c r="O75" s="105">
        <f>COUNTIF('reductions data'!K:K,"ACTIVE")</f>
        <v>0</v>
      </c>
    </row>
    <row r="76" spans="2:15" x14ac:dyDescent="0.15">
      <c r="B76" s="328"/>
    </row>
    <row r="78" spans="2:15" ht="20" x14ac:dyDescent="0.2">
      <c r="C78" s="572" t="s">
        <v>1186</v>
      </c>
      <c r="D78" s="572"/>
      <c r="E78" s="572"/>
      <c r="F78" s="572"/>
      <c r="G78" s="572"/>
      <c r="H78" s="572"/>
      <c r="I78" s="572"/>
      <c r="J78" s="572"/>
      <c r="K78" s="572"/>
      <c r="L78" s="572"/>
      <c r="M78" s="572"/>
      <c r="N78" s="572"/>
      <c r="O78" s="572"/>
    </row>
    <row r="79" spans="2:15" ht="34.5" customHeight="1" x14ac:dyDescent="0.15">
      <c r="B79" s="76" t="s">
        <v>894</v>
      </c>
      <c r="C79" s="76" t="s">
        <v>17</v>
      </c>
      <c r="D79" s="76" t="s">
        <v>18</v>
      </c>
      <c r="E79" s="76" t="s">
        <v>19</v>
      </c>
      <c r="F79" s="76" t="s">
        <v>20</v>
      </c>
      <c r="G79" s="76" t="s">
        <v>21</v>
      </c>
      <c r="H79" s="76" t="s">
        <v>22</v>
      </c>
      <c r="I79" s="76" t="s">
        <v>23</v>
      </c>
      <c r="J79" s="76" t="s">
        <v>24</v>
      </c>
      <c r="K79" s="76" t="s">
        <v>25</v>
      </c>
      <c r="L79" s="76" t="s">
        <v>26</v>
      </c>
      <c r="M79" s="76" t="s">
        <v>27</v>
      </c>
      <c r="N79" s="76" t="s">
        <v>28</v>
      </c>
      <c r="O79" s="76" t="s">
        <v>1185</v>
      </c>
    </row>
    <row r="80" spans="2:15" x14ac:dyDescent="0.15">
      <c r="B80" s="112" t="s">
        <v>897</v>
      </c>
      <c r="C80" s="62">
        <f>SUMIFS('reductions data'!H:H,'reductions data'!G:G,'reasons for reduction division'!B80,'reductions data'!A:A,$C$79)</f>
        <v>0</v>
      </c>
      <c r="D80" s="62">
        <f>SUMIFS('reductions data'!H:H,'reductions data'!G:G,'reasons for reduction division'!B80,'reductions data'!A:A,$D$79)</f>
        <v>0</v>
      </c>
      <c r="E80" s="62">
        <f>SUMIFS('reductions data'!H:H,'reductions data'!G:G,'reasons for reduction division'!B80,'reductions data'!A:A,$E$79)</f>
        <v>0</v>
      </c>
      <c r="F80" s="62">
        <f>SUMIFS('reductions data'!H:H,'reductions data'!G:G,'reasons for reduction division'!B80,'reductions data'!A:A,$F$79)</f>
        <v>0</v>
      </c>
      <c r="G80" s="62">
        <f>SUMIFS('reductions data'!H:H,'reductions data'!G:G,'reasons for reduction division'!B80,'reductions data'!A:A,$G$79)</f>
        <v>0</v>
      </c>
      <c r="H80" s="62">
        <f>SUMIFS('reductions data'!H:H,'reductions data'!G:G,'reasons for reduction division'!B80,'reductions data'!A:A,$H$79)</f>
        <v>0</v>
      </c>
      <c r="I80" s="62">
        <f>SUMIFS('reductions data'!H:H,'reductions data'!G:G,'reasons for reduction division'!B80,'reductions data'!A:A,$I$79)</f>
        <v>0</v>
      </c>
      <c r="J80" s="62">
        <f>SUMIFS('reductions data'!H:H,'reductions data'!G:G,'reasons for reduction division'!B80,'reductions data'!A:A,$J$79)</f>
        <v>0</v>
      </c>
      <c r="K80" s="62">
        <f>SUMIFS('reductions data'!H:H,'reductions data'!G:G,'reasons for reduction division'!B80,'reductions data'!A:A,$K$79)</f>
        <v>0</v>
      </c>
      <c r="L80" s="62">
        <f>SUMIFS('reductions data'!H:H,'reductions data'!G:G,'reasons for reduction division'!B80,'reductions data'!A:A,$L$79)</f>
        <v>0</v>
      </c>
      <c r="M80" s="62">
        <f>SUMIFS('reductions data'!H:H,'reductions data'!G:G,'reasons for reduction division'!B80,'reductions data'!A:A,$M$79)</f>
        <v>0</v>
      </c>
      <c r="N80" s="62">
        <f>SUMIFS('reductions data'!H:H,'reductions data'!G:G,'reasons for reduction division'!B80,'reductions data'!A:A,$N$79)</f>
        <v>0</v>
      </c>
      <c r="O80" s="105">
        <f>SUMIF('reductions data'!G:G,'reasons for reduction division'!B80,'reductions data'!H:H)</f>
        <v>0</v>
      </c>
    </row>
    <row r="81" spans="2:15" x14ac:dyDescent="0.15">
      <c r="B81" s="113" t="s">
        <v>899</v>
      </c>
      <c r="C81" s="62">
        <f>SUMIFS('reductions data'!H:H,'reductions data'!G:G,'reasons for reduction division'!B81,'reductions data'!A:A,$C$79)</f>
        <v>0</v>
      </c>
      <c r="D81" s="62">
        <f>SUMIFS('reductions data'!H:H,'reductions data'!G:G,'reasons for reduction division'!B81,'reductions data'!A:A,$D$79)</f>
        <v>0</v>
      </c>
      <c r="E81" s="62">
        <f>SUMIFS('reductions data'!H:H,'reductions data'!G:G,'reasons for reduction division'!B81,'reductions data'!A:A,$E$79)</f>
        <v>0</v>
      </c>
      <c r="F81" s="62">
        <f>SUMIFS('reductions data'!H:H,'reductions data'!G:G,'reasons for reduction division'!B81,'reductions data'!A:A,$F$79)</f>
        <v>0</v>
      </c>
      <c r="G81" s="62">
        <f>SUMIFS('reductions data'!H:H,'reductions data'!G:G,'reasons for reduction division'!B81,'reductions data'!A:A,$G$79)</f>
        <v>0</v>
      </c>
      <c r="H81" s="62">
        <f>SUMIFS('reductions data'!H:H,'reductions data'!G:G,'reasons for reduction division'!B81,'reductions data'!A:A,$H$79)</f>
        <v>0</v>
      </c>
      <c r="I81" s="62">
        <f>SUMIFS('reductions data'!H:H,'reductions data'!G:G,'reasons for reduction division'!B81,'reductions data'!A:A,$I$79)</f>
        <v>0</v>
      </c>
      <c r="J81" s="62">
        <f>SUMIFS('reductions data'!H:H,'reductions data'!G:G,'reasons for reduction division'!B81,'reductions data'!A:A,$J$79)</f>
        <v>0</v>
      </c>
      <c r="K81" s="62">
        <f>SUMIFS('reductions data'!H:H,'reductions data'!G:G,'reasons for reduction division'!B81,'reductions data'!A:A,$K$79)</f>
        <v>0</v>
      </c>
      <c r="L81" s="62">
        <f>SUMIFS('reductions data'!H:H,'reductions data'!G:G,'reasons for reduction division'!B81,'reductions data'!A:A,$L$79)</f>
        <v>0</v>
      </c>
      <c r="M81" s="62">
        <f>SUMIFS('reductions data'!H:H,'reductions data'!G:G,'reasons for reduction division'!B81,'reductions data'!A:A,$M$79)</f>
        <v>0</v>
      </c>
      <c r="N81" s="62">
        <f>SUMIFS('reductions data'!H:H,'reductions data'!G:G,'reasons for reduction division'!B81,'reductions data'!A:A,$N$79)</f>
        <v>0</v>
      </c>
      <c r="O81" s="105">
        <f>SUMIF('reductions data'!G:G,'reasons for reduction division'!B81,'reductions data'!H:H)</f>
        <v>0</v>
      </c>
    </row>
    <row r="82" spans="2:15" x14ac:dyDescent="0.15">
      <c r="B82" s="113" t="s">
        <v>898</v>
      </c>
      <c r="C82" s="62">
        <f>SUMIFS('reductions data'!H:H,'reductions data'!G:G,'reasons for reduction division'!B82,'reductions data'!A:A,$C$79)</f>
        <v>0</v>
      </c>
      <c r="D82" s="62">
        <f>SUMIFS('reductions data'!H:H,'reductions data'!G:G,'reasons for reduction division'!B82,'reductions data'!A:A,$D$79)</f>
        <v>0</v>
      </c>
      <c r="E82" s="62">
        <f>SUMIFS('reductions data'!H:H,'reductions data'!G:G,'reasons for reduction division'!B82,'reductions data'!A:A,$E$79)</f>
        <v>0</v>
      </c>
      <c r="F82" s="62">
        <f>SUMIFS('reductions data'!H:H,'reductions data'!G:G,'reasons for reduction division'!B82,'reductions data'!A:A,$F$79)</f>
        <v>0</v>
      </c>
      <c r="G82" s="62">
        <f>SUMIFS('reductions data'!H:H,'reductions data'!G:G,'reasons for reduction division'!B82,'reductions data'!A:A,$G$79)</f>
        <v>0</v>
      </c>
      <c r="H82" s="62">
        <f>SUMIFS('reductions data'!H:H,'reductions data'!G:G,'reasons for reduction division'!B82,'reductions data'!A:A,$H$79)</f>
        <v>0</v>
      </c>
      <c r="I82" s="62">
        <f>SUMIFS('reductions data'!H:H,'reductions data'!G:G,'reasons for reduction division'!B82,'reductions data'!A:A,$I$79)</f>
        <v>0</v>
      </c>
      <c r="J82" s="62">
        <f>SUMIFS('reductions data'!H:H,'reductions data'!G:G,'reasons for reduction division'!B82,'reductions data'!A:A,$J$79)</f>
        <v>0</v>
      </c>
      <c r="K82" s="62">
        <f>SUMIFS('reductions data'!H:H,'reductions data'!G:G,'reasons for reduction division'!B82,'reductions data'!A:A,$K$79)</f>
        <v>0</v>
      </c>
      <c r="L82" s="62">
        <f>SUMIFS('reductions data'!H:H,'reductions data'!G:G,'reasons for reduction division'!B82,'reductions data'!A:A,$L$79)</f>
        <v>0</v>
      </c>
      <c r="M82" s="62">
        <f>SUMIFS('reductions data'!H:H,'reductions data'!G:G,'reasons for reduction division'!B82,'reductions data'!A:A,$M$79)</f>
        <v>0</v>
      </c>
      <c r="N82" s="62">
        <f>SUMIFS('reductions data'!H:H,'reductions data'!G:G,'reasons for reduction division'!B82,'reductions data'!A:A,$N$79)</f>
        <v>0</v>
      </c>
      <c r="O82" s="105">
        <f>SUMIF('reductions data'!G:G,'reasons for reduction division'!B82,'reductions data'!H:H)</f>
        <v>0</v>
      </c>
    </row>
    <row r="83" spans="2:15" x14ac:dyDescent="0.15">
      <c r="B83" s="113" t="s">
        <v>900</v>
      </c>
      <c r="C83" s="62">
        <f>SUMIFS('reductions data'!H:H,'reductions data'!G:G,'reasons for reduction division'!B83,'reductions data'!A:A,$C$79)</f>
        <v>0</v>
      </c>
      <c r="D83" s="62">
        <f>SUMIFS('reductions data'!H:H,'reductions data'!G:G,'reasons for reduction division'!B83,'reductions data'!A:A,$D$79)</f>
        <v>0</v>
      </c>
      <c r="E83" s="62">
        <f>SUMIFS('reductions data'!H:H,'reductions data'!G:G,'reasons for reduction division'!B83,'reductions data'!A:A,$E$79)</f>
        <v>0</v>
      </c>
      <c r="F83" s="62">
        <f>SUMIFS('reductions data'!H:H,'reductions data'!G:G,'reasons for reduction division'!B83,'reductions data'!A:A,$F$79)</f>
        <v>0</v>
      </c>
      <c r="G83" s="62">
        <f>SUMIFS('reductions data'!H:H,'reductions data'!G:G,'reasons for reduction division'!B83,'reductions data'!A:A,$G$79)</f>
        <v>0</v>
      </c>
      <c r="H83" s="62">
        <f>SUMIFS('reductions data'!H:H,'reductions data'!G:G,'reasons for reduction division'!B83,'reductions data'!A:A,$H$79)</f>
        <v>0</v>
      </c>
      <c r="I83" s="62">
        <f>SUMIFS('reductions data'!H:H,'reductions data'!G:G,'reasons for reduction division'!B83,'reductions data'!A:A,$I$79)</f>
        <v>0</v>
      </c>
      <c r="J83" s="62">
        <f>SUMIFS('reductions data'!H:H,'reductions data'!G:G,'reasons for reduction division'!B83,'reductions data'!A:A,$J$79)</f>
        <v>0</v>
      </c>
      <c r="K83" s="62">
        <f>SUMIFS('reductions data'!H:H,'reductions data'!G:G,'reasons for reduction division'!B83,'reductions data'!A:A,$K$79)</f>
        <v>0</v>
      </c>
      <c r="L83" s="62">
        <f>SUMIFS('reductions data'!H:H,'reductions data'!G:G,'reasons for reduction division'!B83,'reductions data'!A:A,$L$79)</f>
        <v>0</v>
      </c>
      <c r="M83" s="62">
        <f>SUMIFS('reductions data'!H:H,'reductions data'!G:G,'reasons for reduction division'!B83,'reductions data'!A:A,$M$79)</f>
        <v>0</v>
      </c>
      <c r="N83" s="62">
        <f>SUMIFS('reductions data'!H:H,'reductions data'!G:G,'reasons for reduction division'!B83,'reductions data'!A:A,$N$79)</f>
        <v>0</v>
      </c>
      <c r="O83" s="105">
        <f>SUMIF('reductions data'!G:G,'reasons for reduction division'!B83,'reductions data'!H:H)</f>
        <v>0</v>
      </c>
    </row>
    <row r="84" spans="2:15" x14ac:dyDescent="0.15">
      <c r="B84" s="113" t="s">
        <v>901</v>
      </c>
      <c r="C84" s="62">
        <f>SUMIFS('reductions data'!H:H,'reductions data'!G:G,'reasons for reduction division'!B84,'reductions data'!A:A,$C$79)</f>
        <v>0</v>
      </c>
      <c r="D84" s="62">
        <f>SUMIFS('reductions data'!H:H,'reductions data'!G:G,'reasons for reduction division'!B84,'reductions data'!A:A,$D$79)</f>
        <v>0</v>
      </c>
      <c r="E84" s="62">
        <f>SUMIFS('reductions data'!H:H,'reductions data'!G:G,'reasons for reduction division'!B84,'reductions data'!A:A,$E$79)</f>
        <v>0</v>
      </c>
      <c r="F84" s="62">
        <f>SUMIFS('reductions data'!H:H,'reductions data'!G:G,'reasons for reduction division'!B84,'reductions data'!A:A,$F$79)</f>
        <v>0</v>
      </c>
      <c r="G84" s="62">
        <f>SUMIFS('reductions data'!H:H,'reductions data'!G:G,'reasons for reduction division'!B84,'reductions data'!A:A,$G$79)</f>
        <v>0</v>
      </c>
      <c r="H84" s="62">
        <f>SUMIFS('reductions data'!H:H,'reductions data'!G:G,'reasons for reduction division'!B84,'reductions data'!A:A,$H$79)</f>
        <v>0</v>
      </c>
      <c r="I84" s="62">
        <f>SUMIFS('reductions data'!H:H,'reductions data'!G:G,'reasons for reduction division'!B84,'reductions data'!A:A,$I$79)</f>
        <v>0</v>
      </c>
      <c r="J84" s="62">
        <f>SUMIFS('reductions data'!H:H,'reductions data'!G:G,'reasons for reduction division'!B84,'reductions data'!A:A,$J$79)</f>
        <v>0</v>
      </c>
      <c r="K84" s="62">
        <f>SUMIFS('reductions data'!H:H,'reductions data'!G:G,'reasons for reduction division'!B84,'reductions data'!A:A,$K$79)</f>
        <v>0</v>
      </c>
      <c r="L84" s="62">
        <f>SUMIFS('reductions data'!H:H,'reductions data'!G:G,'reasons for reduction division'!B84,'reductions data'!A:A,$L$79)</f>
        <v>0</v>
      </c>
      <c r="M84" s="62">
        <f>SUMIFS('reductions data'!H:H,'reductions data'!G:G,'reasons for reduction division'!B84,'reductions data'!A:A,$M$79)</f>
        <v>0</v>
      </c>
      <c r="N84" s="62">
        <f>SUMIFS('reductions data'!H:H,'reductions data'!G:G,'reasons for reduction division'!B84,'reductions data'!A:A,$N$79)</f>
        <v>0</v>
      </c>
      <c r="O84" s="105">
        <f>SUMIF('reductions data'!G:G,'reasons for reduction division'!B84,'reductions data'!H:H)</f>
        <v>0</v>
      </c>
    </row>
    <row r="85" spans="2:15" x14ac:dyDescent="0.15">
      <c r="B85" s="113" t="s">
        <v>902</v>
      </c>
      <c r="C85" s="62">
        <f>SUMIFS('reductions data'!H:H,'reductions data'!G:G,'reasons for reduction division'!B85,'reductions data'!A:A,$C$79)</f>
        <v>0</v>
      </c>
      <c r="D85" s="62">
        <f>SUMIFS('reductions data'!H:H,'reductions data'!G:G,'reasons for reduction division'!B85,'reductions data'!A:A,$D$79)</f>
        <v>0</v>
      </c>
      <c r="E85" s="62">
        <f>SUMIFS('reductions data'!H:H,'reductions data'!G:G,'reasons for reduction division'!B85,'reductions data'!A:A,$E$79)</f>
        <v>0</v>
      </c>
      <c r="F85" s="62">
        <f>SUMIFS('reductions data'!H:H,'reductions data'!G:G,'reasons for reduction division'!B85,'reductions data'!A:A,$F$79)</f>
        <v>0</v>
      </c>
      <c r="G85" s="62">
        <f>SUMIFS('reductions data'!H:H,'reductions data'!G:G,'reasons for reduction division'!B85,'reductions data'!A:A,$G$79)</f>
        <v>0</v>
      </c>
      <c r="H85" s="62">
        <f>SUMIFS('reductions data'!H:H,'reductions data'!G:G,'reasons for reduction division'!B85,'reductions data'!A:A,$H$79)</f>
        <v>0</v>
      </c>
      <c r="I85" s="62">
        <f>SUMIFS('reductions data'!H:H,'reductions data'!G:G,'reasons for reduction division'!B85,'reductions data'!A:A,$I$79)</f>
        <v>0</v>
      </c>
      <c r="J85" s="62">
        <f>SUMIFS('reductions data'!H:H,'reductions data'!G:G,'reasons for reduction division'!B85,'reductions data'!A:A,$J$79)</f>
        <v>0</v>
      </c>
      <c r="K85" s="62">
        <f>SUMIFS('reductions data'!H:H,'reductions data'!G:G,'reasons for reduction division'!B85,'reductions data'!A:A,$K$79)</f>
        <v>0</v>
      </c>
      <c r="L85" s="62">
        <f>SUMIFS('reductions data'!H:H,'reductions data'!G:G,'reasons for reduction division'!B85,'reductions data'!A:A,$L$79)</f>
        <v>0</v>
      </c>
      <c r="M85" s="62">
        <f>SUMIFS('reductions data'!H:H,'reductions data'!G:G,'reasons for reduction division'!B85,'reductions data'!A:A,$M$79)</f>
        <v>0</v>
      </c>
      <c r="N85" s="62">
        <f>SUMIFS('reductions data'!H:H,'reductions data'!G:G,'reasons for reduction division'!B85,'reductions data'!A:A,$N$79)</f>
        <v>0</v>
      </c>
      <c r="O85" s="105">
        <f>SUMIF('reductions data'!G:G,'reasons for reduction division'!B85,'reductions data'!H:H)</f>
        <v>0</v>
      </c>
    </row>
    <row r="86" spans="2:15" x14ac:dyDescent="0.15">
      <c r="B86" s="113" t="s">
        <v>903</v>
      </c>
      <c r="C86" s="62">
        <f>SUMIFS('reductions data'!H:H,'reductions data'!G:G,'reasons for reduction division'!B86,'reductions data'!A:A,$C$79)</f>
        <v>0</v>
      </c>
      <c r="D86" s="62">
        <f>SUMIFS('reductions data'!H:H,'reductions data'!G:G,'reasons for reduction division'!B86,'reductions data'!A:A,$D$79)</f>
        <v>0</v>
      </c>
      <c r="E86" s="62">
        <f>SUMIFS('reductions data'!H:H,'reductions data'!G:G,'reasons for reduction division'!B86,'reductions data'!A:A,$E$79)</f>
        <v>0</v>
      </c>
      <c r="F86" s="62">
        <f>SUMIFS('reductions data'!H:H,'reductions data'!G:G,'reasons for reduction division'!B86,'reductions data'!A:A,$F$79)</f>
        <v>0</v>
      </c>
      <c r="G86" s="62">
        <f>SUMIFS('reductions data'!H:H,'reductions data'!G:G,'reasons for reduction division'!B86,'reductions data'!A:A,$G$79)</f>
        <v>0</v>
      </c>
      <c r="H86" s="62">
        <f>SUMIFS('reductions data'!H:H,'reductions data'!G:G,'reasons for reduction division'!B86,'reductions data'!A:A,$H$79)</f>
        <v>0</v>
      </c>
      <c r="I86" s="62">
        <f>SUMIFS('reductions data'!H:H,'reductions data'!G:G,'reasons for reduction division'!B86,'reductions data'!A:A,$I$79)</f>
        <v>0</v>
      </c>
      <c r="J86" s="62">
        <f>SUMIFS('reductions data'!H:H,'reductions data'!G:G,'reasons for reduction division'!B86,'reductions data'!A:A,$J$79)</f>
        <v>0</v>
      </c>
      <c r="K86" s="62">
        <f>SUMIFS('reductions data'!H:H,'reductions data'!G:G,'reasons for reduction division'!B86,'reductions data'!A:A,$K$79)</f>
        <v>0</v>
      </c>
      <c r="L86" s="62">
        <f>SUMIFS('reductions data'!H:H,'reductions data'!G:G,'reasons for reduction division'!B86,'reductions data'!A:A,$L$79)</f>
        <v>0</v>
      </c>
      <c r="M86" s="62">
        <f>SUMIFS('reductions data'!H:H,'reductions data'!G:G,'reasons for reduction division'!B86,'reductions data'!A:A,$M$79)</f>
        <v>0</v>
      </c>
      <c r="N86" s="62">
        <f>SUMIFS('reductions data'!H:H,'reductions data'!G:G,'reasons for reduction division'!B86,'reductions data'!A:A,$N$79)</f>
        <v>0</v>
      </c>
      <c r="O86" s="105">
        <f>SUMIF('reductions data'!G:G,'reasons for reduction division'!B86,'reductions data'!H:H)</f>
        <v>0</v>
      </c>
    </row>
    <row r="87" spans="2:15" x14ac:dyDescent="0.15">
      <c r="B87" s="113" t="s">
        <v>1262</v>
      </c>
      <c r="C87" s="62">
        <f>SUMIFS('reductions data'!H:H,'reductions data'!G:G,'reasons for reduction division'!B87,'reductions data'!A:A,$C$79)</f>
        <v>0</v>
      </c>
      <c r="D87" s="62">
        <f>SUMIFS('reductions data'!H:H,'reductions data'!G:G,'reasons for reduction division'!B87,'reductions data'!A:A,$D$79)</f>
        <v>0</v>
      </c>
      <c r="E87" s="62">
        <f>SUMIFS('reductions data'!H:H,'reductions data'!G:G,'reasons for reduction division'!B87,'reductions data'!A:A,$E$79)</f>
        <v>0</v>
      </c>
      <c r="F87" s="62">
        <f>SUMIFS('reductions data'!H:H,'reductions data'!G:G,'reasons for reduction division'!B87,'reductions data'!A:A,$F$79)</f>
        <v>0</v>
      </c>
      <c r="G87" s="62">
        <f>SUMIFS('reductions data'!H:H,'reductions data'!G:G,'reasons for reduction division'!B87,'reductions data'!A:A,$G$79)</f>
        <v>0</v>
      </c>
      <c r="H87" s="62">
        <f>SUMIFS('reductions data'!H:H,'reductions data'!G:G,'reasons for reduction division'!B87,'reductions data'!A:A,$H$79)</f>
        <v>0</v>
      </c>
      <c r="I87" s="62">
        <f>SUMIFS('reductions data'!H:H,'reductions data'!G:G,'reasons for reduction division'!B87,'reductions data'!A:A,$I$79)</f>
        <v>0</v>
      </c>
      <c r="J87" s="62">
        <f>SUMIFS('reductions data'!H:H,'reductions data'!G:G,'reasons for reduction division'!B87,'reductions data'!A:A,$J$79)</f>
        <v>0</v>
      </c>
      <c r="K87" s="62">
        <f>SUMIFS('reductions data'!H:H,'reductions data'!G:G,'reasons for reduction division'!B87,'reductions data'!A:A,$K$79)</f>
        <v>0</v>
      </c>
      <c r="L87" s="62">
        <f>SUMIFS('reductions data'!H:H,'reductions data'!G:G,'reasons for reduction division'!B87,'reductions data'!A:A,$L$79)</f>
        <v>0</v>
      </c>
      <c r="M87" s="62">
        <f>SUMIFS('reductions data'!H:H,'reductions data'!G:G,'reasons for reduction division'!B87,'reductions data'!A:A,$M$79)</f>
        <v>0</v>
      </c>
      <c r="N87" s="62">
        <f>SUMIFS('reductions data'!H:H,'reductions data'!G:G,'reasons for reduction division'!B87,'reductions data'!A:A,$N$79)</f>
        <v>0</v>
      </c>
      <c r="O87" s="105">
        <f>SUMIF('reductions data'!G:G,'reasons for reduction division'!B87,'reductions data'!H:H)</f>
        <v>0</v>
      </c>
    </row>
    <row r="88" spans="2:15" x14ac:dyDescent="0.15">
      <c r="B88" s="113" t="s">
        <v>904</v>
      </c>
      <c r="C88" s="62">
        <f>SUMIFS('reductions data'!H:H,'reductions data'!G:G,'reasons for reduction division'!B88,'reductions data'!A:A,$C$79)</f>
        <v>0</v>
      </c>
      <c r="D88" s="62">
        <f>SUMIFS('reductions data'!H:H,'reductions data'!G:G,'reasons for reduction division'!B88,'reductions data'!A:A,$D$79)</f>
        <v>0</v>
      </c>
      <c r="E88" s="62">
        <f>SUMIFS('reductions data'!H:H,'reductions data'!G:G,'reasons for reduction division'!B88,'reductions data'!A:A,$E$79)</f>
        <v>0</v>
      </c>
      <c r="F88" s="62">
        <f>SUMIFS('reductions data'!H:H,'reductions data'!G:G,'reasons for reduction division'!B88,'reductions data'!A:A,$F$79)</f>
        <v>0</v>
      </c>
      <c r="G88" s="62">
        <f>SUMIFS('reductions data'!H:H,'reductions data'!G:G,'reasons for reduction division'!B88,'reductions data'!A:A,$G$79)</f>
        <v>0</v>
      </c>
      <c r="H88" s="62">
        <f>SUMIFS('reductions data'!H:H,'reductions data'!G:G,'reasons for reduction division'!B88,'reductions data'!A:A,$H$79)</f>
        <v>0</v>
      </c>
      <c r="I88" s="62">
        <f>SUMIFS('reductions data'!H:H,'reductions data'!G:G,'reasons for reduction division'!B88,'reductions data'!A:A,$I$79)</f>
        <v>0</v>
      </c>
      <c r="J88" s="62">
        <f>SUMIFS('reductions data'!H:H,'reductions data'!G:G,'reasons for reduction division'!B88,'reductions data'!A:A,$J$79)</f>
        <v>0</v>
      </c>
      <c r="K88" s="62">
        <f>SUMIFS('reductions data'!H:H,'reductions data'!G:G,'reasons for reduction division'!B88,'reductions data'!A:A,$K$79)</f>
        <v>0</v>
      </c>
      <c r="L88" s="62">
        <f>SUMIFS('reductions data'!H:H,'reductions data'!G:G,'reasons for reduction division'!B88,'reductions data'!A:A,$L$79)</f>
        <v>0</v>
      </c>
      <c r="M88" s="62">
        <f>SUMIFS('reductions data'!H:H,'reductions data'!G:G,'reasons for reduction division'!B88,'reductions data'!A:A,$M$79)</f>
        <v>0</v>
      </c>
      <c r="N88" s="62">
        <f>SUMIFS('reductions data'!H:H,'reductions data'!G:G,'reasons for reduction division'!B88,'reductions data'!A:A,$N$79)</f>
        <v>0</v>
      </c>
      <c r="O88" s="105">
        <f>SUMIF('reductions data'!G:G,'reasons for reduction division'!B88,'reductions data'!H:H)</f>
        <v>0</v>
      </c>
    </row>
    <row r="89" spans="2:15" x14ac:dyDescent="0.15">
      <c r="B89" s="113" t="s">
        <v>905</v>
      </c>
      <c r="C89" s="62">
        <f>SUMIFS('reductions data'!H:H,'reductions data'!G:G,'reasons for reduction division'!B89,'reductions data'!A:A,$C$79)</f>
        <v>0</v>
      </c>
      <c r="D89" s="62">
        <f>SUMIFS('reductions data'!H:H,'reductions data'!G:G,'reasons for reduction division'!B89,'reductions data'!A:A,$D$79)</f>
        <v>0</v>
      </c>
      <c r="E89" s="62">
        <f>SUMIFS('reductions data'!H:H,'reductions data'!G:G,'reasons for reduction division'!B89,'reductions data'!A:A,$E$79)</f>
        <v>0</v>
      </c>
      <c r="F89" s="62">
        <f>SUMIFS('reductions data'!H:H,'reductions data'!G:G,'reasons for reduction division'!B89,'reductions data'!A:A,$F$79)</f>
        <v>0</v>
      </c>
      <c r="G89" s="62">
        <f>SUMIFS('reductions data'!H:H,'reductions data'!G:G,'reasons for reduction division'!B89,'reductions data'!A:A,$G$79)</f>
        <v>0</v>
      </c>
      <c r="H89" s="62">
        <f>SUMIFS('reductions data'!H:H,'reductions data'!G:G,'reasons for reduction division'!B89,'reductions data'!A:A,$H$79)</f>
        <v>0</v>
      </c>
      <c r="I89" s="62">
        <f>SUMIFS('reductions data'!H:H,'reductions data'!G:G,'reasons for reduction division'!B89,'reductions data'!A:A,$I$79)</f>
        <v>0</v>
      </c>
      <c r="J89" s="62">
        <f>SUMIFS('reductions data'!H:H,'reductions data'!G:G,'reasons for reduction division'!B89,'reductions data'!A:A,$J$79)</f>
        <v>0</v>
      </c>
      <c r="K89" s="62">
        <f>SUMIFS('reductions data'!H:H,'reductions data'!G:G,'reasons for reduction division'!B89,'reductions data'!A:A,$K$79)</f>
        <v>0</v>
      </c>
      <c r="L89" s="62">
        <f>SUMIFS('reductions data'!H:H,'reductions data'!G:G,'reasons for reduction division'!B89,'reductions data'!A:A,$L$79)</f>
        <v>0</v>
      </c>
      <c r="M89" s="62">
        <f>SUMIFS('reductions data'!H:H,'reductions data'!G:G,'reasons for reduction division'!B89,'reductions data'!A:A,$M$79)</f>
        <v>0</v>
      </c>
      <c r="N89" s="62">
        <f>SUMIFS('reductions data'!H:H,'reductions data'!G:G,'reasons for reduction division'!B89,'reductions data'!A:A,$N$79)</f>
        <v>0</v>
      </c>
      <c r="O89" s="105">
        <f>SUMIF('reductions data'!G:G,'reasons for reduction division'!B89,'reductions data'!H:H)</f>
        <v>0</v>
      </c>
    </row>
    <row r="90" spans="2:15" x14ac:dyDescent="0.15">
      <c r="B90" s="113" t="s">
        <v>906</v>
      </c>
      <c r="C90" s="62">
        <f>SUMIFS('reductions data'!H:H,'reductions data'!G:G,'reasons for reduction division'!B90,'reductions data'!A:A,$C$79)</f>
        <v>0</v>
      </c>
      <c r="D90" s="62">
        <f>SUMIFS('reductions data'!H:H,'reductions data'!G:G,'reasons for reduction division'!B90,'reductions data'!A:A,$D$79)</f>
        <v>0</v>
      </c>
      <c r="E90" s="62">
        <f>SUMIFS('reductions data'!H:H,'reductions data'!G:G,'reasons for reduction division'!B90,'reductions data'!A:A,$E$79)</f>
        <v>0</v>
      </c>
      <c r="F90" s="62">
        <f>SUMIFS('reductions data'!H:H,'reductions data'!G:G,'reasons for reduction division'!B90,'reductions data'!A:A,$F$79)</f>
        <v>0</v>
      </c>
      <c r="G90" s="62">
        <f>SUMIFS('reductions data'!H:H,'reductions data'!G:G,'reasons for reduction division'!B90,'reductions data'!A:A,$G$79)</f>
        <v>0</v>
      </c>
      <c r="H90" s="62">
        <f>SUMIFS('reductions data'!H:H,'reductions data'!G:G,'reasons for reduction division'!B90,'reductions data'!A:A,$H$79)</f>
        <v>0</v>
      </c>
      <c r="I90" s="62">
        <f>SUMIFS('reductions data'!H:H,'reductions data'!G:G,'reasons for reduction division'!B90,'reductions data'!A:A,$I$79)</f>
        <v>0</v>
      </c>
      <c r="J90" s="62">
        <f>SUMIFS('reductions data'!H:H,'reductions data'!G:G,'reasons for reduction division'!B90,'reductions data'!A:A,$J$79)</f>
        <v>0</v>
      </c>
      <c r="K90" s="62">
        <f>SUMIFS('reductions data'!H:H,'reductions data'!G:G,'reasons for reduction division'!B90,'reductions data'!A:A,$K$79)</f>
        <v>0</v>
      </c>
      <c r="L90" s="62">
        <f>SUMIFS('reductions data'!H:H,'reductions data'!G:G,'reasons for reduction division'!B90,'reductions data'!A:A,$L$79)</f>
        <v>0</v>
      </c>
      <c r="M90" s="62">
        <f>SUMIFS('reductions data'!H:H,'reductions data'!G:G,'reasons for reduction division'!B90,'reductions data'!A:A,$M$79)</f>
        <v>0</v>
      </c>
      <c r="N90" s="62">
        <f>SUMIFS('reductions data'!H:H,'reductions data'!G:G,'reasons for reduction division'!B90,'reductions data'!A:A,$N$79)</f>
        <v>0</v>
      </c>
      <c r="O90" s="105">
        <f>SUMIF('reductions data'!G:G,'reasons for reduction division'!B90,'reductions data'!H:H)</f>
        <v>0</v>
      </c>
    </row>
    <row r="91" spans="2:15" x14ac:dyDescent="0.15">
      <c r="B91" s="113" t="s">
        <v>907</v>
      </c>
      <c r="C91" s="62">
        <f>SUMIFS('reductions data'!H:H,'reductions data'!G:G,'reasons for reduction division'!B91,'reductions data'!A:A,$C$79)</f>
        <v>0</v>
      </c>
      <c r="D91" s="62">
        <f>SUMIFS('reductions data'!H:H,'reductions data'!G:G,'reasons for reduction division'!B91,'reductions data'!A:A,$D$79)</f>
        <v>0</v>
      </c>
      <c r="E91" s="62">
        <f>SUMIFS('reductions data'!H:H,'reductions data'!G:G,'reasons for reduction division'!B91,'reductions data'!A:A,$E$79)</f>
        <v>0</v>
      </c>
      <c r="F91" s="62">
        <f>SUMIFS('reductions data'!H:H,'reductions data'!G:G,'reasons for reduction division'!B91,'reductions data'!A:A,$F$79)</f>
        <v>0</v>
      </c>
      <c r="G91" s="62">
        <f>SUMIFS('reductions data'!H:H,'reductions data'!G:G,'reasons for reduction division'!B91,'reductions data'!A:A,$G$79)</f>
        <v>0</v>
      </c>
      <c r="H91" s="62">
        <f>SUMIFS('reductions data'!H:H,'reductions data'!G:G,'reasons for reduction division'!B91,'reductions data'!A:A,$H$79)</f>
        <v>0</v>
      </c>
      <c r="I91" s="62">
        <f>SUMIFS('reductions data'!H:H,'reductions data'!G:G,'reasons for reduction division'!B91,'reductions data'!A:A,$I$79)</f>
        <v>0</v>
      </c>
      <c r="J91" s="62">
        <f>SUMIFS('reductions data'!H:H,'reductions data'!G:G,'reasons for reduction division'!B91,'reductions data'!A:A,$J$79)</f>
        <v>0</v>
      </c>
      <c r="K91" s="62">
        <f>SUMIFS('reductions data'!H:H,'reductions data'!G:G,'reasons for reduction division'!B91,'reductions data'!A:A,$K$79)</f>
        <v>0</v>
      </c>
      <c r="L91" s="62">
        <f>SUMIFS('reductions data'!H:H,'reductions data'!G:G,'reasons for reduction division'!B91,'reductions data'!A:A,$L$79)</f>
        <v>0</v>
      </c>
      <c r="M91" s="62">
        <f>SUMIFS('reductions data'!H:H,'reductions data'!G:G,'reasons for reduction division'!B91,'reductions data'!A:A,$M$79)</f>
        <v>0</v>
      </c>
      <c r="N91" s="62">
        <f>SUMIFS('reductions data'!H:H,'reductions data'!G:G,'reasons for reduction division'!B91,'reductions data'!A:A,$N$79)</f>
        <v>0</v>
      </c>
      <c r="O91" s="105">
        <f>SUMIF('reductions data'!G:G,'reasons for reduction division'!B91,'reductions data'!H:H)</f>
        <v>0</v>
      </c>
    </row>
    <row r="92" spans="2:15" x14ac:dyDescent="0.15">
      <c r="B92" s="113" t="s">
        <v>908</v>
      </c>
      <c r="C92" s="62">
        <f>SUMIFS('reductions data'!H:H,'reductions data'!G:G,'reasons for reduction division'!B92,'reductions data'!A:A,$C$79)</f>
        <v>0</v>
      </c>
      <c r="D92" s="62">
        <f>SUMIFS('reductions data'!H:H,'reductions data'!G:G,'reasons for reduction division'!B92,'reductions data'!A:A,$D$79)</f>
        <v>0</v>
      </c>
      <c r="E92" s="62">
        <f>SUMIFS('reductions data'!H:H,'reductions data'!G:G,'reasons for reduction division'!B92,'reductions data'!A:A,$E$79)</f>
        <v>0</v>
      </c>
      <c r="F92" s="62">
        <f>SUMIFS('reductions data'!H:H,'reductions data'!G:G,'reasons for reduction division'!B92,'reductions data'!A:A,$F$79)</f>
        <v>0</v>
      </c>
      <c r="G92" s="62">
        <f>SUMIFS('reductions data'!H:H,'reductions data'!G:G,'reasons for reduction division'!B92,'reductions data'!A:A,$G$79)</f>
        <v>0</v>
      </c>
      <c r="H92" s="62">
        <f>SUMIFS('reductions data'!H:H,'reductions data'!G:G,'reasons for reduction division'!B92,'reductions data'!A:A,$H$79)</f>
        <v>0</v>
      </c>
      <c r="I92" s="62">
        <f>SUMIFS('reductions data'!H:H,'reductions data'!G:G,'reasons for reduction division'!B92,'reductions data'!A:A,$I$79)</f>
        <v>0</v>
      </c>
      <c r="J92" s="62">
        <f>SUMIFS('reductions data'!H:H,'reductions data'!G:G,'reasons for reduction division'!B92,'reductions data'!A:A,$J$79)</f>
        <v>0</v>
      </c>
      <c r="K92" s="62">
        <f>SUMIFS('reductions data'!H:H,'reductions data'!G:G,'reasons for reduction division'!B92,'reductions data'!A:A,$K$79)</f>
        <v>0</v>
      </c>
      <c r="L92" s="62">
        <f>SUMIFS('reductions data'!H:H,'reductions data'!G:G,'reasons for reduction division'!B92,'reductions data'!A:A,$L$79)</f>
        <v>0</v>
      </c>
      <c r="M92" s="62">
        <f>SUMIFS('reductions data'!H:H,'reductions data'!G:G,'reasons for reduction division'!B92,'reductions data'!A:A,$M$79)</f>
        <v>0</v>
      </c>
      <c r="N92" s="62">
        <f>SUMIFS('reductions data'!H:H,'reductions data'!G:G,'reasons for reduction division'!B92,'reductions data'!A:A,$N$79)</f>
        <v>0</v>
      </c>
      <c r="O92" s="105">
        <f>SUMIF('reductions data'!G:G,'reasons for reduction division'!B92,'reductions data'!H:H)</f>
        <v>0</v>
      </c>
    </row>
    <row r="93" spans="2:15" x14ac:dyDescent="0.15">
      <c r="B93" s="113" t="s">
        <v>910</v>
      </c>
      <c r="C93" s="62">
        <f>SUMIFS('reductions data'!H:H,'reductions data'!G:G,'reasons for reduction division'!B93,'reductions data'!A:A,$C$79)</f>
        <v>0</v>
      </c>
      <c r="D93" s="62">
        <f>SUMIFS('reductions data'!H:H,'reductions data'!G:G,'reasons for reduction division'!B93,'reductions data'!A:A,$D$79)</f>
        <v>0</v>
      </c>
      <c r="E93" s="62">
        <f>SUMIFS('reductions data'!H:H,'reductions data'!G:G,'reasons for reduction division'!B93,'reductions data'!A:A,$E$79)</f>
        <v>0</v>
      </c>
      <c r="F93" s="62">
        <f>SUMIFS('reductions data'!H:H,'reductions data'!G:G,'reasons for reduction division'!B93,'reductions data'!A:A,$F$79)</f>
        <v>0</v>
      </c>
      <c r="G93" s="62">
        <f>SUMIFS('reductions data'!H:H,'reductions data'!G:G,'reasons for reduction division'!B93,'reductions data'!A:A,$G$79)</f>
        <v>0</v>
      </c>
      <c r="H93" s="62">
        <f>SUMIFS('reductions data'!H:H,'reductions data'!G:G,'reasons for reduction division'!B93,'reductions data'!A:A,$H$79)</f>
        <v>0</v>
      </c>
      <c r="I93" s="62">
        <f>SUMIFS('reductions data'!H:H,'reductions data'!G:G,'reasons for reduction division'!B93,'reductions data'!A:A,$I$79)</f>
        <v>0</v>
      </c>
      <c r="J93" s="62">
        <f>SUMIFS('reductions data'!H:H,'reductions data'!G:G,'reasons for reduction division'!B93,'reductions data'!A:A,$J$79)</f>
        <v>0</v>
      </c>
      <c r="K93" s="62">
        <f>SUMIFS('reductions data'!H:H,'reductions data'!G:G,'reasons for reduction division'!B93,'reductions data'!A:A,$K$79)</f>
        <v>0</v>
      </c>
      <c r="L93" s="62">
        <f>SUMIFS('reductions data'!H:H,'reductions data'!G:G,'reasons for reduction division'!B93,'reductions data'!A:A,$L$79)</f>
        <v>0</v>
      </c>
      <c r="M93" s="62">
        <f>SUMIFS('reductions data'!H:H,'reductions data'!G:G,'reasons for reduction division'!B93,'reductions data'!A:A,$M$79)</f>
        <v>0</v>
      </c>
      <c r="N93" s="62">
        <f>SUMIFS('reductions data'!H:H,'reductions data'!G:G,'reasons for reduction division'!B93,'reductions data'!A:A,$N$79)</f>
        <v>0</v>
      </c>
      <c r="O93" s="105">
        <f>SUMIF('reductions data'!G:G,'reasons for reduction division'!B93,'reductions data'!H:H)</f>
        <v>0</v>
      </c>
    </row>
    <row r="94" spans="2:15" x14ac:dyDescent="0.15">
      <c r="B94" s="113" t="s">
        <v>913</v>
      </c>
      <c r="C94" s="62">
        <f>SUMIFS('reductions data'!H:H,'reductions data'!G:G,'reasons for reduction division'!B94,'reductions data'!A:A,$C$79)</f>
        <v>0</v>
      </c>
      <c r="D94" s="62">
        <f>SUMIFS('reductions data'!H:H,'reductions data'!G:G,'reasons for reduction division'!B94,'reductions data'!A:A,$D$79)</f>
        <v>0</v>
      </c>
      <c r="E94" s="62">
        <f>SUMIFS('reductions data'!H:H,'reductions data'!G:G,'reasons for reduction division'!B94,'reductions data'!A:A,$E$79)</f>
        <v>0</v>
      </c>
      <c r="F94" s="62">
        <f>SUMIFS('reductions data'!H:H,'reductions data'!G:G,'reasons for reduction division'!B94,'reductions data'!A:A,$F$79)</f>
        <v>0</v>
      </c>
      <c r="G94" s="62">
        <f>SUMIFS('reductions data'!H:H,'reductions data'!G:G,'reasons for reduction division'!B94,'reductions data'!A:A,$G$79)</f>
        <v>0</v>
      </c>
      <c r="H94" s="62">
        <f>SUMIFS('reductions data'!H:H,'reductions data'!G:G,'reasons for reduction division'!B94,'reductions data'!A:A,$H$79)</f>
        <v>0</v>
      </c>
      <c r="I94" s="62">
        <f>SUMIFS('reductions data'!H:H,'reductions data'!G:G,'reasons for reduction division'!B94,'reductions data'!A:A,$I$79)</f>
        <v>0</v>
      </c>
      <c r="J94" s="62">
        <f>SUMIFS('reductions data'!H:H,'reductions data'!G:G,'reasons for reduction division'!B94,'reductions data'!A:A,$J$79)</f>
        <v>0</v>
      </c>
      <c r="K94" s="62">
        <f>SUMIFS('reductions data'!H:H,'reductions data'!G:G,'reasons for reduction division'!B94,'reductions data'!A:A,$K$79)</f>
        <v>0</v>
      </c>
      <c r="L94" s="62">
        <f>SUMIFS('reductions data'!H:H,'reductions data'!G:G,'reasons for reduction division'!B94,'reductions data'!A:A,$L$79)</f>
        <v>0</v>
      </c>
      <c r="M94" s="62">
        <f>SUMIFS('reductions data'!H:H,'reductions data'!G:G,'reasons for reduction division'!B94,'reductions data'!A:A,$M$79)</f>
        <v>0</v>
      </c>
      <c r="N94" s="62">
        <f>SUMIFS('reductions data'!H:H,'reductions data'!G:G,'reasons for reduction division'!B94,'reductions data'!A:A,$N$79)</f>
        <v>0</v>
      </c>
      <c r="O94" s="105">
        <f>SUMIF('reductions data'!G:G,'reasons for reduction division'!B94,'reductions data'!H:H)</f>
        <v>0</v>
      </c>
    </row>
    <row r="95" spans="2:15" x14ac:dyDescent="0.15">
      <c r="B95" s="113" t="s">
        <v>909</v>
      </c>
      <c r="C95" s="62">
        <f>SUMIFS('reductions data'!H:H,'reductions data'!G:G,'reasons for reduction division'!B95,'reductions data'!A:A,$C$79)</f>
        <v>0</v>
      </c>
      <c r="D95" s="62">
        <f>SUMIFS('reductions data'!H:H,'reductions data'!G:G,'reasons for reduction division'!B95,'reductions data'!A:A,$D$79)</f>
        <v>0</v>
      </c>
      <c r="E95" s="62">
        <f>SUMIFS('reductions data'!H:H,'reductions data'!G:G,'reasons for reduction division'!B95,'reductions data'!A:A,$E$79)</f>
        <v>0</v>
      </c>
      <c r="F95" s="62">
        <f>SUMIFS('reductions data'!H:H,'reductions data'!G:G,'reasons for reduction division'!B95,'reductions data'!A:A,$F$79)</f>
        <v>0</v>
      </c>
      <c r="G95" s="62">
        <f>SUMIFS('reductions data'!H:H,'reductions data'!G:G,'reasons for reduction division'!B95,'reductions data'!A:A,$G$79)</f>
        <v>0</v>
      </c>
      <c r="H95" s="62">
        <f>SUMIFS('reductions data'!H:H,'reductions data'!G:G,'reasons for reduction division'!B95,'reductions data'!A:A,$H$79)</f>
        <v>0</v>
      </c>
      <c r="I95" s="62">
        <f>SUMIFS('reductions data'!H:H,'reductions data'!G:G,'reasons for reduction division'!B95,'reductions data'!A:A,$I$79)</f>
        <v>0</v>
      </c>
      <c r="J95" s="62">
        <f>SUMIFS('reductions data'!H:H,'reductions data'!G:G,'reasons for reduction division'!B95,'reductions data'!A:A,$J$79)</f>
        <v>0</v>
      </c>
      <c r="K95" s="62">
        <f>SUMIFS('reductions data'!H:H,'reductions data'!G:G,'reasons for reduction division'!B95,'reductions data'!A:A,$K$79)</f>
        <v>0</v>
      </c>
      <c r="L95" s="62">
        <f>SUMIFS('reductions data'!H:H,'reductions data'!G:G,'reasons for reduction division'!B95,'reductions data'!A:A,$L$79)</f>
        <v>0</v>
      </c>
      <c r="M95" s="62">
        <f>SUMIFS('reductions data'!H:H,'reductions data'!G:G,'reasons for reduction division'!B95,'reductions data'!A:A,$M$79)</f>
        <v>0</v>
      </c>
      <c r="N95" s="62">
        <f>SUMIFS('reductions data'!H:H,'reductions data'!G:G,'reasons for reduction division'!B95,'reductions data'!A:A,$N$79)</f>
        <v>0</v>
      </c>
      <c r="O95" s="105">
        <f>SUMIF('reductions data'!G:G,'reasons for reduction division'!B95,'reductions data'!H:H)</f>
        <v>0</v>
      </c>
    </row>
    <row r="96" spans="2:15" x14ac:dyDescent="0.15">
      <c r="B96" s="113" t="s">
        <v>994</v>
      </c>
      <c r="C96" s="62">
        <f>SUMIFS('reductions data'!H:H,'reductions data'!G:G,'reasons for reduction division'!B96,'reductions data'!A:A,$C$79)</f>
        <v>0</v>
      </c>
      <c r="D96" s="62">
        <f>SUMIFS('reductions data'!H:H,'reductions data'!G:G,'reasons for reduction division'!B96,'reductions data'!A:A,$D$79)</f>
        <v>0</v>
      </c>
      <c r="E96" s="62">
        <f>SUMIFS('reductions data'!H:H,'reductions data'!G:G,'reasons for reduction division'!B96,'reductions data'!A:A,$E$79)</f>
        <v>0</v>
      </c>
      <c r="F96" s="62">
        <f>SUMIFS('reductions data'!H:H,'reductions data'!G:G,'reasons for reduction division'!B96,'reductions data'!A:A,$F$79)</f>
        <v>0</v>
      </c>
      <c r="G96" s="62">
        <f>SUMIFS('reductions data'!H:H,'reductions data'!G:G,'reasons for reduction division'!B96,'reductions data'!A:A,$G$79)</f>
        <v>0</v>
      </c>
      <c r="H96" s="62">
        <f>SUMIFS('reductions data'!H:H,'reductions data'!G:G,'reasons for reduction division'!B96,'reductions data'!A:A,$H$79)</f>
        <v>0</v>
      </c>
      <c r="I96" s="62">
        <f>SUMIFS('reductions data'!H:H,'reductions data'!G:G,'reasons for reduction division'!B96,'reductions data'!A:A,$I$79)</f>
        <v>0</v>
      </c>
      <c r="J96" s="62">
        <f>SUMIFS('reductions data'!H:H,'reductions data'!G:G,'reasons for reduction division'!B96,'reductions data'!A:A,$J$79)</f>
        <v>0</v>
      </c>
      <c r="K96" s="62">
        <f>SUMIFS('reductions data'!H:H,'reductions data'!G:G,'reasons for reduction division'!B96,'reductions data'!A:A,$K$79)</f>
        <v>0</v>
      </c>
      <c r="L96" s="62">
        <f>SUMIFS('reductions data'!H:H,'reductions data'!G:G,'reasons for reduction division'!B96,'reductions data'!A:A,$L$79)</f>
        <v>0</v>
      </c>
      <c r="M96" s="62">
        <f>SUMIFS('reductions data'!H:H,'reductions data'!G:G,'reasons for reduction division'!B96,'reductions data'!A:A,$M$79)</f>
        <v>0</v>
      </c>
      <c r="N96" s="62">
        <f>SUMIFS('reductions data'!H:H,'reductions data'!G:G,'reasons for reduction division'!B96,'reductions data'!A:A,$N$79)</f>
        <v>0</v>
      </c>
      <c r="O96" s="105">
        <f>SUMIF('reductions data'!G:G,'reasons for reduction division'!B96,'reductions data'!H:H)</f>
        <v>0</v>
      </c>
    </row>
    <row r="97" spans="2:15" x14ac:dyDescent="0.15">
      <c r="B97" s="113" t="s">
        <v>914</v>
      </c>
      <c r="C97" s="62">
        <f>SUMIFS('reductions data'!H:H,'reductions data'!G:G,'reasons for reduction division'!B97,'reductions data'!A:A,$C$79)</f>
        <v>0</v>
      </c>
      <c r="D97" s="62">
        <f>SUMIFS('reductions data'!H:H,'reductions data'!G:G,'reasons for reduction division'!B97,'reductions data'!A:A,$D$79)</f>
        <v>0</v>
      </c>
      <c r="E97" s="62">
        <f>SUMIFS('reductions data'!H:H,'reductions data'!G:G,'reasons for reduction division'!B97,'reductions data'!A:A,$E$79)</f>
        <v>0</v>
      </c>
      <c r="F97" s="62">
        <f>SUMIFS('reductions data'!H:H,'reductions data'!G:G,'reasons for reduction division'!B97,'reductions data'!A:A,$F$79)</f>
        <v>0</v>
      </c>
      <c r="G97" s="62">
        <f>SUMIFS('reductions data'!H:H,'reductions data'!G:G,'reasons for reduction division'!B97,'reductions data'!A:A,$G$79)</f>
        <v>0</v>
      </c>
      <c r="H97" s="62">
        <f>SUMIFS('reductions data'!H:H,'reductions data'!G:G,'reasons for reduction division'!B97,'reductions data'!A:A,$H$79)</f>
        <v>0</v>
      </c>
      <c r="I97" s="62">
        <f>SUMIFS('reductions data'!H:H,'reductions data'!G:G,'reasons for reduction division'!B97,'reductions data'!A:A,$I$79)</f>
        <v>0</v>
      </c>
      <c r="J97" s="62">
        <f>SUMIFS('reductions data'!H:H,'reductions data'!G:G,'reasons for reduction division'!B97,'reductions data'!A:A,$J$79)</f>
        <v>0</v>
      </c>
      <c r="K97" s="62">
        <f>SUMIFS('reductions data'!H:H,'reductions data'!G:G,'reasons for reduction division'!B97,'reductions data'!A:A,$K$79)</f>
        <v>0</v>
      </c>
      <c r="L97" s="62">
        <f>SUMIFS('reductions data'!H:H,'reductions data'!G:G,'reasons for reduction division'!B97,'reductions data'!A:A,$L$79)</f>
        <v>0</v>
      </c>
      <c r="M97" s="62">
        <f>SUMIFS('reductions data'!H:H,'reductions data'!G:G,'reasons for reduction division'!B97,'reductions data'!A:A,$M$79)</f>
        <v>0</v>
      </c>
      <c r="N97" s="62">
        <f>SUMIFS('reductions data'!H:H,'reductions data'!G:G,'reasons for reduction division'!B97,'reductions data'!A:A,$N$79)</f>
        <v>0</v>
      </c>
      <c r="O97" s="105">
        <f>SUMIF('reductions data'!G:G,'reasons for reduction division'!B97,'reductions data'!H:H)</f>
        <v>0</v>
      </c>
    </row>
    <row r="98" spans="2:15" x14ac:dyDescent="0.15">
      <c r="B98" s="113" t="s">
        <v>915</v>
      </c>
      <c r="C98" s="62">
        <f>SUMIFS('reductions data'!H:H,'reductions data'!G:G,'reasons for reduction division'!B98,'reductions data'!A:A,$C$79)</f>
        <v>0</v>
      </c>
      <c r="D98" s="62">
        <f>SUMIFS('reductions data'!H:H,'reductions data'!G:G,'reasons for reduction division'!B98,'reductions data'!A:A,$D$79)</f>
        <v>0</v>
      </c>
      <c r="E98" s="62">
        <f>SUMIFS('reductions data'!H:H,'reductions data'!G:G,'reasons for reduction division'!B98,'reductions data'!A:A,$E$79)</f>
        <v>0</v>
      </c>
      <c r="F98" s="62">
        <f>SUMIFS('reductions data'!H:H,'reductions data'!G:G,'reasons for reduction division'!B98,'reductions data'!A:A,$F$79)</f>
        <v>0</v>
      </c>
      <c r="G98" s="62">
        <f>SUMIFS('reductions data'!H:H,'reductions data'!G:G,'reasons for reduction division'!B98,'reductions data'!A:A,$G$79)</f>
        <v>0</v>
      </c>
      <c r="H98" s="62">
        <f>SUMIFS('reductions data'!H:H,'reductions data'!G:G,'reasons for reduction division'!B98,'reductions data'!A:A,$H$79)</f>
        <v>0</v>
      </c>
      <c r="I98" s="62">
        <f>SUMIFS('reductions data'!H:H,'reductions data'!G:G,'reasons for reduction division'!B98,'reductions data'!A:A,$I$79)</f>
        <v>0</v>
      </c>
      <c r="J98" s="62">
        <f>SUMIFS('reductions data'!H:H,'reductions data'!G:G,'reasons for reduction division'!B98,'reductions data'!A:A,$J$79)</f>
        <v>0</v>
      </c>
      <c r="K98" s="62">
        <f>SUMIFS('reductions data'!H:H,'reductions data'!G:G,'reasons for reduction division'!B98,'reductions data'!A:A,$K$79)</f>
        <v>0</v>
      </c>
      <c r="L98" s="62">
        <f>SUMIFS('reductions data'!H:H,'reductions data'!G:G,'reasons for reduction division'!B98,'reductions data'!A:A,$L$79)</f>
        <v>0</v>
      </c>
      <c r="M98" s="62">
        <f>SUMIFS('reductions data'!H:H,'reductions data'!G:G,'reasons for reduction division'!B98,'reductions data'!A:A,$M$79)</f>
        <v>0</v>
      </c>
      <c r="N98" s="62">
        <f>SUMIFS('reductions data'!H:H,'reductions data'!G:G,'reasons for reduction division'!B98,'reductions data'!A:A,$N$79)</f>
        <v>0</v>
      </c>
      <c r="O98" s="105">
        <f>SUMIF('reductions data'!G:G,'reasons for reduction division'!B98,'reductions data'!H:H)</f>
        <v>0</v>
      </c>
    </row>
    <row r="99" spans="2:15" x14ac:dyDescent="0.15">
      <c r="B99" s="113" t="s">
        <v>916</v>
      </c>
      <c r="C99" s="62">
        <f>SUMIFS('reductions data'!H:H,'reductions data'!G:G,'reasons for reduction division'!B99,'reductions data'!A:A,$C$79)</f>
        <v>0</v>
      </c>
      <c r="D99" s="62">
        <f>SUMIFS('reductions data'!H:H,'reductions data'!G:G,'reasons for reduction division'!B99,'reductions data'!A:A,$D$79)</f>
        <v>0</v>
      </c>
      <c r="E99" s="62">
        <f>SUMIFS('reductions data'!H:H,'reductions data'!G:G,'reasons for reduction division'!B99,'reductions data'!A:A,$E$79)</f>
        <v>0</v>
      </c>
      <c r="F99" s="62">
        <f>SUMIFS('reductions data'!H:H,'reductions data'!G:G,'reasons for reduction division'!B99,'reductions data'!A:A,$F$79)</f>
        <v>0</v>
      </c>
      <c r="G99" s="62">
        <f>SUMIFS('reductions data'!H:H,'reductions data'!G:G,'reasons for reduction division'!B99,'reductions data'!A:A,$G$79)</f>
        <v>0</v>
      </c>
      <c r="H99" s="62">
        <f>SUMIFS('reductions data'!H:H,'reductions data'!G:G,'reasons for reduction division'!B99,'reductions data'!A:A,$H$79)</f>
        <v>0</v>
      </c>
      <c r="I99" s="62">
        <f>SUMIFS('reductions data'!H:H,'reductions data'!G:G,'reasons for reduction division'!B99,'reductions data'!A:A,$I$79)</f>
        <v>0</v>
      </c>
      <c r="J99" s="62">
        <f>SUMIFS('reductions data'!H:H,'reductions data'!G:G,'reasons for reduction division'!B99,'reductions data'!A:A,$J$79)</f>
        <v>0</v>
      </c>
      <c r="K99" s="62">
        <f>SUMIFS('reductions data'!H:H,'reductions data'!G:G,'reasons for reduction division'!B99,'reductions data'!A:A,$K$79)</f>
        <v>0</v>
      </c>
      <c r="L99" s="62">
        <f>SUMIFS('reductions data'!H:H,'reductions data'!G:G,'reasons for reduction division'!B99,'reductions data'!A:A,$L$79)</f>
        <v>0</v>
      </c>
      <c r="M99" s="62">
        <f>SUMIFS('reductions data'!H:H,'reductions data'!G:G,'reasons for reduction division'!B99,'reductions data'!A:A,$M$79)</f>
        <v>0</v>
      </c>
      <c r="N99" s="62">
        <f>SUMIFS('reductions data'!H:H,'reductions data'!G:G,'reasons for reduction division'!B99,'reductions data'!A:A,$N$79)</f>
        <v>0</v>
      </c>
      <c r="O99" s="105">
        <f>SUMIF('reductions data'!G:G,'reasons for reduction division'!B99,'reductions data'!H:H)</f>
        <v>0</v>
      </c>
    </row>
    <row r="100" spans="2:15" x14ac:dyDescent="0.15">
      <c r="B100" s="113" t="s">
        <v>917</v>
      </c>
      <c r="C100" s="62">
        <f>SUMIFS('reductions data'!H:H,'reductions data'!G:G,'reasons for reduction division'!B100,'reductions data'!A:A,$C$79)</f>
        <v>0</v>
      </c>
      <c r="D100" s="62">
        <f>SUMIFS('reductions data'!H:H,'reductions data'!G:G,'reasons for reduction division'!B100,'reductions data'!A:A,$D$79)</f>
        <v>0</v>
      </c>
      <c r="E100" s="62">
        <f>SUMIFS('reductions data'!H:H,'reductions data'!G:G,'reasons for reduction division'!B100,'reductions data'!A:A,$E$79)</f>
        <v>0</v>
      </c>
      <c r="F100" s="62">
        <f>SUMIFS('reductions data'!H:H,'reductions data'!G:G,'reasons for reduction division'!B100,'reductions data'!A:A,$F$79)</f>
        <v>0</v>
      </c>
      <c r="G100" s="62">
        <f>SUMIFS('reductions data'!H:H,'reductions data'!G:G,'reasons for reduction division'!B100,'reductions data'!A:A,$G$79)</f>
        <v>0</v>
      </c>
      <c r="H100" s="62">
        <f>SUMIFS('reductions data'!H:H,'reductions data'!G:G,'reasons for reduction division'!B100,'reductions data'!A:A,$H$79)</f>
        <v>0</v>
      </c>
      <c r="I100" s="62">
        <f>SUMIFS('reductions data'!H:H,'reductions data'!G:G,'reasons for reduction division'!B100,'reductions data'!A:A,$I$79)</f>
        <v>0</v>
      </c>
      <c r="J100" s="62">
        <f>SUMIFS('reductions data'!H:H,'reductions data'!G:G,'reasons for reduction division'!B100,'reductions data'!A:A,$J$79)</f>
        <v>0</v>
      </c>
      <c r="K100" s="62">
        <f>SUMIFS('reductions data'!H:H,'reductions data'!G:G,'reasons for reduction division'!B100,'reductions data'!A:A,$K$79)</f>
        <v>0</v>
      </c>
      <c r="L100" s="62">
        <f>SUMIFS('reductions data'!H:H,'reductions data'!G:G,'reasons for reduction division'!B100,'reductions data'!A:A,$L$79)</f>
        <v>0</v>
      </c>
      <c r="M100" s="62">
        <f>SUMIFS('reductions data'!H:H,'reductions data'!G:G,'reasons for reduction division'!B100,'reductions data'!A:A,$M$79)</f>
        <v>0</v>
      </c>
      <c r="N100" s="62">
        <f>SUMIFS('reductions data'!H:H,'reductions data'!G:G,'reasons for reduction division'!B100,'reductions data'!A:A,$N$79)</f>
        <v>0</v>
      </c>
      <c r="O100" s="105">
        <f>SUMIF('reductions data'!G:G,'reasons for reduction division'!B100,'reductions data'!H:H)</f>
        <v>0</v>
      </c>
    </row>
    <row r="101" spans="2:15" x14ac:dyDescent="0.15">
      <c r="B101" s="113" t="s">
        <v>918</v>
      </c>
      <c r="C101" s="62">
        <f>SUMIFS('reductions data'!H:H,'reductions data'!G:G,'reasons for reduction division'!B101,'reductions data'!A:A,$C$79)</f>
        <v>0</v>
      </c>
      <c r="D101" s="62">
        <f>SUMIFS('reductions data'!H:H,'reductions data'!G:G,'reasons for reduction division'!B101,'reductions data'!A:A,$D$79)</f>
        <v>0</v>
      </c>
      <c r="E101" s="62">
        <f>SUMIFS('reductions data'!H:H,'reductions data'!G:G,'reasons for reduction division'!B101,'reductions data'!A:A,$E$79)</f>
        <v>0</v>
      </c>
      <c r="F101" s="62">
        <f>SUMIFS('reductions data'!H:H,'reductions data'!G:G,'reasons for reduction division'!B101,'reductions data'!A:A,$F$79)</f>
        <v>0</v>
      </c>
      <c r="G101" s="62">
        <f>SUMIFS('reductions data'!H:H,'reductions data'!G:G,'reasons for reduction division'!B101,'reductions data'!A:A,$G$79)</f>
        <v>0</v>
      </c>
      <c r="H101" s="62">
        <f>SUMIFS('reductions data'!H:H,'reductions data'!G:G,'reasons for reduction division'!B101,'reductions data'!A:A,$H$79)</f>
        <v>0</v>
      </c>
      <c r="I101" s="62">
        <f>SUMIFS('reductions data'!H:H,'reductions data'!G:G,'reasons for reduction division'!B101,'reductions data'!A:A,$I$79)</f>
        <v>0</v>
      </c>
      <c r="J101" s="62">
        <f>SUMIFS('reductions data'!H:H,'reductions data'!G:G,'reasons for reduction division'!B101,'reductions data'!A:A,$J$79)</f>
        <v>0</v>
      </c>
      <c r="K101" s="62">
        <f>SUMIFS('reductions data'!H:H,'reductions data'!G:G,'reasons for reduction division'!B101,'reductions data'!A:A,$K$79)</f>
        <v>0</v>
      </c>
      <c r="L101" s="62">
        <f>SUMIFS('reductions data'!H:H,'reductions data'!G:G,'reasons for reduction division'!B101,'reductions data'!A:A,$L$79)</f>
        <v>0</v>
      </c>
      <c r="M101" s="62">
        <f>SUMIFS('reductions data'!H:H,'reductions data'!G:G,'reasons for reduction division'!B101,'reductions data'!A:A,$M$79)</f>
        <v>0</v>
      </c>
      <c r="N101" s="62">
        <f>SUMIFS('reductions data'!H:H,'reductions data'!G:G,'reasons for reduction division'!B101,'reductions data'!A:A,$N$79)</f>
        <v>0</v>
      </c>
      <c r="O101" s="105">
        <f>SUMIF('reductions data'!G:G,'reasons for reduction division'!B101,'reductions data'!H:H)</f>
        <v>0</v>
      </c>
    </row>
    <row r="102" spans="2:15" x14ac:dyDescent="0.15">
      <c r="B102" s="113" t="s">
        <v>919</v>
      </c>
      <c r="C102" s="62">
        <f>SUMIFS('reductions data'!H:H,'reductions data'!G:G,'reasons for reduction division'!B102,'reductions data'!A:A,$C$79)</f>
        <v>0</v>
      </c>
      <c r="D102" s="62">
        <f>SUMIFS('reductions data'!H:H,'reductions data'!G:G,'reasons for reduction division'!B102,'reductions data'!A:A,$D$79)</f>
        <v>0</v>
      </c>
      <c r="E102" s="62">
        <f>SUMIFS('reductions data'!H:H,'reductions data'!G:G,'reasons for reduction division'!B102,'reductions data'!A:A,$E$79)</f>
        <v>0</v>
      </c>
      <c r="F102" s="62">
        <f>SUMIFS('reductions data'!H:H,'reductions data'!G:G,'reasons for reduction division'!B102,'reductions data'!A:A,$F$79)</f>
        <v>0</v>
      </c>
      <c r="G102" s="62">
        <f>SUMIFS('reductions data'!H:H,'reductions data'!G:G,'reasons for reduction division'!B102,'reductions data'!A:A,$G$79)</f>
        <v>0</v>
      </c>
      <c r="H102" s="62">
        <f>SUMIFS('reductions data'!H:H,'reductions data'!G:G,'reasons for reduction division'!B102,'reductions data'!A:A,$H$79)</f>
        <v>0</v>
      </c>
      <c r="I102" s="62">
        <f>SUMIFS('reductions data'!H:H,'reductions data'!G:G,'reasons for reduction division'!B102,'reductions data'!A:A,$I$79)</f>
        <v>0</v>
      </c>
      <c r="J102" s="62">
        <f>SUMIFS('reductions data'!H:H,'reductions data'!G:G,'reasons for reduction division'!B102,'reductions data'!A:A,$J$79)</f>
        <v>0</v>
      </c>
      <c r="K102" s="62">
        <f>SUMIFS('reductions data'!H:H,'reductions data'!G:G,'reasons for reduction division'!B102,'reductions data'!A:A,$K$79)</f>
        <v>0</v>
      </c>
      <c r="L102" s="62">
        <f>SUMIFS('reductions data'!H:H,'reductions data'!G:G,'reasons for reduction division'!B102,'reductions data'!A:A,$L$79)</f>
        <v>0</v>
      </c>
      <c r="M102" s="62">
        <f>SUMIFS('reductions data'!H:H,'reductions data'!G:G,'reasons for reduction division'!B102,'reductions data'!A:A,$M$79)</f>
        <v>0</v>
      </c>
      <c r="N102" s="62">
        <f>SUMIFS('reductions data'!H:H,'reductions data'!G:G,'reasons for reduction division'!B102,'reductions data'!A:A,$N$79)</f>
        <v>0</v>
      </c>
      <c r="O102" s="105">
        <f>SUMIF('reductions data'!G:G,'reasons for reduction division'!B102,'reductions data'!H:H)</f>
        <v>0</v>
      </c>
    </row>
    <row r="103" spans="2:15" x14ac:dyDescent="0.15">
      <c r="B103" s="113" t="s">
        <v>920</v>
      </c>
      <c r="C103" s="62">
        <f>SUMIFS('reductions data'!H:H,'reductions data'!G:G,'reasons for reduction division'!B103,'reductions data'!A:A,$C$79)</f>
        <v>0</v>
      </c>
      <c r="D103" s="62">
        <f>SUMIFS('reductions data'!H:H,'reductions data'!G:G,'reasons for reduction division'!B103,'reductions data'!A:A,$D$79)</f>
        <v>0</v>
      </c>
      <c r="E103" s="62">
        <f>SUMIFS('reductions data'!H:H,'reductions data'!G:G,'reasons for reduction division'!B103,'reductions data'!A:A,$E$79)</f>
        <v>0</v>
      </c>
      <c r="F103" s="62">
        <f>SUMIFS('reductions data'!H:H,'reductions data'!G:G,'reasons for reduction division'!B103,'reductions data'!A:A,$F$79)</f>
        <v>0</v>
      </c>
      <c r="G103" s="62">
        <f>SUMIFS('reductions data'!H:H,'reductions data'!G:G,'reasons for reduction division'!B103,'reductions data'!A:A,$G$79)</f>
        <v>0</v>
      </c>
      <c r="H103" s="62">
        <f>SUMIFS('reductions data'!H:H,'reductions data'!G:G,'reasons for reduction division'!B103,'reductions data'!A:A,$H$79)</f>
        <v>0</v>
      </c>
      <c r="I103" s="62">
        <f>SUMIFS('reductions data'!H:H,'reductions data'!G:G,'reasons for reduction division'!B103,'reductions data'!A:A,$I$79)</f>
        <v>0</v>
      </c>
      <c r="J103" s="62">
        <f>SUMIFS('reductions data'!H:H,'reductions data'!G:G,'reasons for reduction division'!B103,'reductions data'!A:A,$J$79)</f>
        <v>0</v>
      </c>
      <c r="K103" s="62">
        <f>SUMIFS('reductions data'!H:H,'reductions data'!G:G,'reasons for reduction division'!B103,'reductions data'!A:A,$K$79)</f>
        <v>0</v>
      </c>
      <c r="L103" s="62">
        <f>SUMIFS('reductions data'!H:H,'reductions data'!G:G,'reasons for reduction division'!B103,'reductions data'!A:A,$L$79)</f>
        <v>0</v>
      </c>
      <c r="M103" s="62">
        <f>SUMIFS('reductions data'!H:H,'reductions data'!G:G,'reasons for reduction division'!B103,'reductions data'!A:A,$M$79)</f>
        <v>0</v>
      </c>
      <c r="N103" s="62">
        <f>SUMIFS('reductions data'!H:H,'reductions data'!G:G,'reasons for reduction division'!B103,'reductions data'!A:A,$N$79)</f>
        <v>0</v>
      </c>
      <c r="O103" s="105">
        <f>SUMIF('reductions data'!G:G,'reasons for reduction division'!B103,'reductions data'!H:H)</f>
        <v>0</v>
      </c>
    </row>
    <row r="104" spans="2:15" x14ac:dyDescent="0.15">
      <c r="B104" s="113" t="s">
        <v>1255</v>
      </c>
      <c r="C104" s="62">
        <f>SUMIFS('reductions data'!H:H,'reductions data'!G:G,'reasons for reduction division'!B104,'reductions data'!A:A,$C$79)</f>
        <v>0</v>
      </c>
      <c r="D104" s="62">
        <f>SUMIFS('reductions data'!H:H,'reductions data'!G:G,'reasons for reduction division'!B104,'reductions data'!A:A,$D$79)</f>
        <v>0</v>
      </c>
      <c r="E104" s="62">
        <f>SUMIFS('reductions data'!H:H,'reductions data'!G:G,'reasons for reduction division'!B104,'reductions data'!A:A,$E$79)</f>
        <v>0</v>
      </c>
      <c r="F104" s="62">
        <f>SUMIFS('reductions data'!H:H,'reductions data'!G:G,'reasons for reduction division'!B104,'reductions data'!A:A,$F$79)</f>
        <v>0</v>
      </c>
      <c r="G104" s="62">
        <f>SUMIFS('reductions data'!H:H,'reductions data'!G:G,'reasons for reduction division'!B104,'reductions data'!A:A,$G$79)</f>
        <v>0</v>
      </c>
      <c r="H104" s="62">
        <f>SUMIFS('reductions data'!H:H,'reductions data'!G:G,'reasons for reduction division'!B104,'reductions data'!A:A,$H$79)</f>
        <v>0</v>
      </c>
      <c r="I104" s="62">
        <f>SUMIFS('reductions data'!H:H,'reductions data'!G:G,'reasons for reduction division'!B104,'reductions data'!A:A,$I$79)</f>
        <v>0</v>
      </c>
      <c r="J104" s="62">
        <f>SUMIFS('reductions data'!H:H,'reductions data'!G:G,'reasons for reduction division'!B104,'reductions data'!A:A,$J$79)</f>
        <v>0</v>
      </c>
      <c r="K104" s="62">
        <f>SUMIFS('reductions data'!H:H,'reductions data'!G:G,'reasons for reduction division'!B104,'reductions data'!A:A,$K$79)</f>
        <v>0</v>
      </c>
      <c r="L104" s="62">
        <f>SUMIFS('reductions data'!H:H,'reductions data'!G:G,'reasons for reduction division'!B104,'reductions data'!A:A,$L$79)</f>
        <v>0</v>
      </c>
      <c r="M104" s="62">
        <f>SUMIFS('reductions data'!H:H,'reductions data'!G:G,'reasons for reduction division'!B104,'reductions data'!A:A,$M$79)</f>
        <v>0</v>
      </c>
      <c r="N104" s="62">
        <f>SUMIFS('reductions data'!H:H,'reductions data'!G:G,'reasons for reduction division'!B104,'reductions data'!A:A,$N$79)</f>
        <v>0</v>
      </c>
      <c r="O104" s="105">
        <f>SUMIF('reductions data'!G:G,'reasons for reduction division'!B104,'reductions data'!H:H)</f>
        <v>0</v>
      </c>
    </row>
    <row r="105" spans="2:15" x14ac:dyDescent="0.15">
      <c r="B105" s="113" t="s">
        <v>1256</v>
      </c>
      <c r="C105" s="62">
        <f>SUMIFS('reductions data'!H:H,'reductions data'!G:G,'reasons for reduction division'!B105,'reductions data'!A:A,$C$79)</f>
        <v>0</v>
      </c>
      <c r="D105" s="62">
        <f>SUMIFS('reductions data'!H:H,'reductions data'!G:G,'reasons for reduction division'!B105,'reductions data'!A:A,$D$79)</f>
        <v>0</v>
      </c>
      <c r="E105" s="62">
        <f>SUMIFS('reductions data'!H:H,'reductions data'!G:G,'reasons for reduction division'!B105,'reductions data'!A:A,$E$79)</f>
        <v>0</v>
      </c>
      <c r="F105" s="62">
        <f>SUMIFS('reductions data'!H:H,'reductions data'!G:G,'reasons for reduction division'!B105,'reductions data'!A:A,$F$79)</f>
        <v>0</v>
      </c>
      <c r="G105" s="62">
        <f>SUMIFS('reductions data'!H:H,'reductions data'!G:G,'reasons for reduction division'!B105,'reductions data'!A:A,$G$79)</f>
        <v>0</v>
      </c>
      <c r="H105" s="62">
        <f>SUMIFS('reductions data'!H:H,'reductions data'!G:G,'reasons for reduction division'!B105,'reductions data'!A:A,$H$79)</f>
        <v>0</v>
      </c>
      <c r="I105" s="62">
        <f>SUMIFS('reductions data'!H:H,'reductions data'!G:G,'reasons for reduction division'!B105,'reductions data'!A:A,$I$79)</f>
        <v>0</v>
      </c>
      <c r="J105" s="62">
        <f>SUMIFS('reductions data'!H:H,'reductions data'!G:G,'reasons for reduction division'!B105,'reductions data'!A:A,$J$79)</f>
        <v>0</v>
      </c>
      <c r="K105" s="62">
        <f>SUMIFS('reductions data'!H:H,'reductions data'!G:G,'reasons for reduction division'!B105,'reductions data'!A:A,$K$79)</f>
        <v>0</v>
      </c>
      <c r="L105" s="62">
        <f>SUMIFS('reductions data'!H:H,'reductions data'!G:G,'reasons for reduction division'!B105,'reductions data'!A:A,$L$79)</f>
        <v>0</v>
      </c>
      <c r="M105" s="62">
        <f>SUMIFS('reductions data'!H:H,'reductions data'!G:G,'reasons for reduction division'!B105,'reductions data'!A:A,$M$79)</f>
        <v>0</v>
      </c>
      <c r="N105" s="62">
        <f>SUMIFS('reductions data'!H:H,'reductions data'!G:G,'reasons for reduction division'!B105,'reductions data'!A:A,$N$79)</f>
        <v>0</v>
      </c>
      <c r="O105" s="105">
        <f>SUMIF('reductions data'!G:G,'reasons for reduction division'!B105,'reductions data'!H:H)</f>
        <v>0</v>
      </c>
    </row>
    <row r="106" spans="2:15" x14ac:dyDescent="0.15">
      <c r="B106" s="322" t="s">
        <v>1253</v>
      </c>
      <c r="C106" s="62">
        <f>SUMIFS('reductions data'!H:H,'reductions data'!G:G,'reasons for reduction division'!B106,'reductions data'!A:A,$C$79)</f>
        <v>0</v>
      </c>
      <c r="D106" s="62">
        <f>SUMIFS('reductions data'!H:H,'reductions data'!G:G,'reasons for reduction division'!B106,'reductions data'!A:A,$D$79)</f>
        <v>0</v>
      </c>
      <c r="E106" s="62">
        <f>SUMIFS('reductions data'!H:H,'reductions data'!G:G,'reasons for reduction division'!B106,'reductions data'!A:A,$E$79)</f>
        <v>0</v>
      </c>
      <c r="F106" s="62">
        <f>SUMIFS('reductions data'!H:H,'reductions data'!G:G,'reasons for reduction division'!B106,'reductions data'!A:A,$F$79)</f>
        <v>0</v>
      </c>
      <c r="G106" s="62">
        <f>SUMIFS('reductions data'!H:H,'reductions data'!G:G,'reasons for reduction division'!B106,'reductions data'!A:A,$G$79)</f>
        <v>0</v>
      </c>
      <c r="H106" s="62">
        <f>SUMIFS('reductions data'!H:H,'reductions data'!G:G,'reasons for reduction division'!B106,'reductions data'!A:A,$H$79)</f>
        <v>0</v>
      </c>
      <c r="I106" s="62">
        <f>SUMIFS('reductions data'!H:H,'reductions data'!G:G,'reasons for reduction division'!B106,'reductions data'!A:A,$I$79)</f>
        <v>0</v>
      </c>
      <c r="J106" s="62">
        <f>SUMIFS('reductions data'!H:H,'reductions data'!G:G,'reasons for reduction division'!B106,'reductions data'!A:A,$J$79)</f>
        <v>0</v>
      </c>
      <c r="K106" s="62">
        <f>SUMIFS('reductions data'!H:H,'reductions data'!G:G,'reasons for reduction division'!B106,'reductions data'!A:A,$K$79)</f>
        <v>0</v>
      </c>
      <c r="L106" s="62">
        <f>SUMIFS('reductions data'!H:H,'reductions data'!G:G,'reasons for reduction division'!B106,'reductions data'!A:A,$L$79)</f>
        <v>0</v>
      </c>
      <c r="M106" s="62">
        <f>SUMIFS('reductions data'!H:H,'reductions data'!G:G,'reasons for reduction division'!B106,'reductions data'!A:A,$M$79)</f>
        <v>0</v>
      </c>
      <c r="N106" s="62">
        <f>SUMIFS('reductions data'!H:H,'reductions data'!G:G,'reasons for reduction division'!B106,'reductions data'!A:A,$N$79)</f>
        <v>0</v>
      </c>
      <c r="O106" s="105">
        <f>SUMIF('reductions data'!G:G,'reasons for reduction division'!B106,'reductions data'!H:H)</f>
        <v>0</v>
      </c>
    </row>
    <row r="107" spans="2:15" x14ac:dyDescent="0.15">
      <c r="B107" s="322" t="s">
        <v>1254</v>
      </c>
      <c r="C107" s="62">
        <f>SUMIFS('reductions data'!H:H,'reductions data'!G:G,'reasons for reduction division'!B107,'reductions data'!A:A,$C$79)</f>
        <v>0</v>
      </c>
      <c r="D107" s="62">
        <f>SUMIFS('reductions data'!H:H,'reductions data'!G:G,'reasons for reduction division'!B107,'reductions data'!A:A,$D$79)</f>
        <v>0</v>
      </c>
      <c r="E107" s="62">
        <f>SUMIFS('reductions data'!H:H,'reductions data'!G:G,'reasons for reduction division'!B107,'reductions data'!A:A,$E$79)</f>
        <v>0</v>
      </c>
      <c r="F107" s="62">
        <f>SUMIFS('reductions data'!H:H,'reductions data'!G:G,'reasons for reduction division'!B107,'reductions data'!A:A,$F$79)</f>
        <v>0</v>
      </c>
      <c r="G107" s="62">
        <f>SUMIFS('reductions data'!H:H,'reductions data'!G:G,'reasons for reduction division'!B107,'reductions data'!A:A,$G$79)</f>
        <v>0</v>
      </c>
      <c r="H107" s="62">
        <f>SUMIFS('reductions data'!H:H,'reductions data'!G:G,'reasons for reduction division'!B107,'reductions data'!A:A,$H$79)</f>
        <v>0</v>
      </c>
      <c r="I107" s="62">
        <f>SUMIFS('reductions data'!H:H,'reductions data'!G:G,'reasons for reduction division'!B107,'reductions data'!A:A,$I$79)</f>
        <v>0</v>
      </c>
      <c r="J107" s="62">
        <f>SUMIFS('reductions data'!H:H,'reductions data'!G:G,'reasons for reduction division'!B107,'reductions data'!A:A,$J$79)</f>
        <v>0</v>
      </c>
      <c r="K107" s="62">
        <f>SUMIFS('reductions data'!H:H,'reductions data'!G:G,'reasons for reduction division'!B107,'reductions data'!A:A,$K$79)</f>
        <v>0</v>
      </c>
      <c r="L107" s="62">
        <f>SUMIFS('reductions data'!H:H,'reductions data'!G:G,'reasons for reduction division'!B107,'reductions data'!A:A,$L$79)</f>
        <v>0</v>
      </c>
      <c r="M107" s="62">
        <f>SUMIFS('reductions data'!H:H,'reductions data'!G:G,'reasons for reduction division'!B107,'reductions data'!A:A,$M$79)</f>
        <v>0</v>
      </c>
      <c r="N107" s="62">
        <f>SUMIFS('reductions data'!H:H,'reductions data'!G:G,'reasons for reduction division'!B107,'reductions data'!A:A,$N$79)</f>
        <v>0</v>
      </c>
      <c r="O107" s="105">
        <f>SUMIF('reductions data'!G:G,'reasons for reduction division'!B107,'reductions data'!H:H)</f>
        <v>0</v>
      </c>
    </row>
    <row r="108" spans="2:15" x14ac:dyDescent="0.15">
      <c r="B108" s="322" t="s">
        <v>1263</v>
      </c>
      <c r="C108" s="62">
        <f>SUMIFS('reductions data'!H:H,'reductions data'!G:G,'reasons for reduction division'!B108,'reductions data'!A:A,$C$79)</f>
        <v>0</v>
      </c>
      <c r="D108" s="62">
        <f>SUMIFS('reductions data'!H:H,'reductions data'!G:G,'reasons for reduction division'!B108,'reductions data'!A:A,$D$79)</f>
        <v>0</v>
      </c>
      <c r="E108" s="62">
        <f>SUMIFS('reductions data'!H:H,'reductions data'!G:G,'reasons for reduction division'!B108,'reductions data'!A:A,$E$79)</f>
        <v>0</v>
      </c>
      <c r="F108" s="62">
        <f>SUMIFS('reductions data'!H:H,'reductions data'!G:G,'reasons for reduction division'!B108,'reductions data'!A:A,$F$79)</f>
        <v>0</v>
      </c>
      <c r="G108" s="62">
        <f>SUMIFS('reductions data'!H:H,'reductions data'!G:G,'reasons for reduction division'!B108,'reductions data'!A:A,$G$79)</f>
        <v>0</v>
      </c>
      <c r="H108" s="62">
        <f>SUMIFS('reductions data'!H:H,'reductions data'!G:G,'reasons for reduction division'!B108,'reductions data'!A:A,$H$79)</f>
        <v>0</v>
      </c>
      <c r="I108" s="62">
        <f>SUMIFS('reductions data'!H:H,'reductions data'!G:G,'reasons for reduction division'!B108,'reductions data'!A:A,$I$79)</f>
        <v>0</v>
      </c>
      <c r="J108" s="62">
        <f>SUMIFS('reductions data'!H:H,'reductions data'!G:G,'reasons for reduction division'!B108,'reductions data'!A:A,$J$79)</f>
        <v>0</v>
      </c>
      <c r="K108" s="62">
        <f>SUMIFS('reductions data'!H:H,'reductions data'!G:G,'reasons for reduction division'!B108,'reductions data'!A:A,$K$79)</f>
        <v>0</v>
      </c>
      <c r="L108" s="62">
        <f>SUMIFS('reductions data'!H:H,'reductions data'!G:G,'reasons for reduction division'!B108,'reductions data'!A:A,$L$79)</f>
        <v>0</v>
      </c>
      <c r="M108" s="62">
        <f>SUMIFS('reductions data'!H:H,'reductions data'!G:G,'reasons for reduction division'!B108,'reductions data'!A:A,$M$79)</f>
        <v>0</v>
      </c>
      <c r="N108" s="62">
        <f>SUMIFS('reductions data'!H:H,'reductions data'!G:G,'reasons for reduction division'!B108,'reductions data'!A:A,$N$79)</f>
        <v>0</v>
      </c>
      <c r="O108" s="105">
        <f>SUMIF('reductions data'!G:G,'reasons for reduction division'!B108,'reductions data'!H:H)</f>
        <v>0</v>
      </c>
    </row>
    <row r="109" spans="2:15" x14ac:dyDescent="0.15">
      <c r="B109" s="112" t="s">
        <v>1257</v>
      </c>
      <c r="C109" s="62">
        <f>SUMIFS('reductions data'!H:H,'reductions data'!G:G,'reasons for reduction division'!B109,'reductions data'!A:A,$C$79)</f>
        <v>0</v>
      </c>
      <c r="D109" s="62">
        <f>SUMIFS('reductions data'!H:H,'reductions data'!G:G,'reasons for reduction division'!B109,'reductions data'!A:A,$D$79)</f>
        <v>0</v>
      </c>
      <c r="E109" s="62">
        <f>SUMIFS('reductions data'!H:H,'reductions data'!G:G,'reasons for reduction division'!B109,'reductions data'!A:A,$E$79)</f>
        <v>0</v>
      </c>
      <c r="F109" s="62">
        <f>SUMIFS('reductions data'!H:H,'reductions data'!G:G,'reasons for reduction division'!B109,'reductions data'!A:A,$F$79)</f>
        <v>0</v>
      </c>
      <c r="G109" s="62">
        <f>SUMIFS('reductions data'!H:H,'reductions data'!G:G,'reasons for reduction division'!B109,'reductions data'!A:A,$G$79)</f>
        <v>0</v>
      </c>
      <c r="H109" s="62">
        <f>SUMIFS('reductions data'!H:H,'reductions data'!G:G,'reasons for reduction division'!B109,'reductions data'!A:A,$H$79)</f>
        <v>0</v>
      </c>
      <c r="I109" s="62">
        <f>SUMIFS('reductions data'!H:H,'reductions data'!G:G,'reasons for reduction division'!B109,'reductions data'!A:A,$I$79)</f>
        <v>0</v>
      </c>
      <c r="J109" s="62">
        <f>SUMIFS('reductions data'!H:H,'reductions data'!G:G,'reasons for reduction division'!B109,'reductions data'!A:A,$J$79)</f>
        <v>0</v>
      </c>
      <c r="K109" s="62">
        <f>SUMIFS('reductions data'!H:H,'reductions data'!G:G,'reasons for reduction division'!B109,'reductions data'!A:A,$K$79)</f>
        <v>0</v>
      </c>
      <c r="L109" s="62">
        <f>SUMIFS('reductions data'!H:H,'reductions data'!G:G,'reasons for reduction division'!B109,'reductions data'!A:A,$L$79)</f>
        <v>0</v>
      </c>
      <c r="M109" s="62">
        <f>SUMIFS('reductions data'!H:H,'reductions data'!G:G,'reasons for reduction division'!B109,'reductions data'!A:A,$M$79)</f>
        <v>0</v>
      </c>
      <c r="N109" s="62">
        <f>SUMIFS('reductions data'!H:H,'reductions data'!G:G,'reasons for reduction division'!B109,'reductions data'!A:A,$N$79)</f>
        <v>0</v>
      </c>
      <c r="O109" s="105">
        <f>SUMIF('reductions data'!G:G,'reasons for reduction division'!B109,'reductions data'!H:H)</f>
        <v>0</v>
      </c>
    </row>
    <row r="110" spans="2:15" x14ac:dyDescent="0.15">
      <c r="B110" s="113" t="s">
        <v>1258</v>
      </c>
      <c r="C110" s="62">
        <f>SUMIFS('reductions data'!H:H,'reductions data'!G:G,'reasons for reduction division'!B110,'reductions data'!A:A,$C$79)</f>
        <v>0</v>
      </c>
      <c r="D110" s="62">
        <f>SUMIFS('reductions data'!H:H,'reductions data'!G:G,'reasons for reduction division'!B110,'reductions data'!A:A,$D$79)</f>
        <v>0</v>
      </c>
      <c r="E110" s="62">
        <f>SUMIFS('reductions data'!H:H,'reductions data'!G:G,'reasons for reduction division'!B110,'reductions data'!A:A,$E$79)</f>
        <v>0</v>
      </c>
      <c r="F110" s="62">
        <f>SUMIFS('reductions data'!H:H,'reductions data'!G:G,'reasons for reduction division'!B110,'reductions data'!A:A,$F$79)</f>
        <v>0</v>
      </c>
      <c r="G110" s="62">
        <f>SUMIFS('reductions data'!H:H,'reductions data'!G:G,'reasons for reduction division'!B110,'reductions data'!A:A,$G$79)</f>
        <v>0</v>
      </c>
      <c r="H110" s="62">
        <f>SUMIFS('reductions data'!H:H,'reductions data'!G:G,'reasons for reduction division'!B110,'reductions data'!A:A,$H$79)</f>
        <v>0</v>
      </c>
      <c r="I110" s="62">
        <f>SUMIFS('reductions data'!H:H,'reductions data'!G:G,'reasons for reduction division'!B110,'reductions data'!A:A,$I$79)</f>
        <v>0</v>
      </c>
      <c r="J110" s="62">
        <f>SUMIFS('reductions data'!H:H,'reductions data'!G:G,'reasons for reduction division'!B110,'reductions data'!A:A,$J$79)</f>
        <v>0</v>
      </c>
      <c r="K110" s="62">
        <f>SUMIFS('reductions data'!H:H,'reductions data'!G:G,'reasons for reduction division'!B110,'reductions data'!A:A,$K$79)</f>
        <v>0</v>
      </c>
      <c r="L110" s="62">
        <f>SUMIFS('reductions data'!H:H,'reductions data'!G:G,'reasons for reduction division'!B110,'reductions data'!A:A,$L$79)</f>
        <v>0</v>
      </c>
      <c r="M110" s="62">
        <f>SUMIFS('reductions data'!H:H,'reductions data'!G:G,'reasons for reduction division'!B110,'reductions data'!A:A,$M$79)</f>
        <v>0</v>
      </c>
      <c r="N110" s="62">
        <f>SUMIFS('reductions data'!H:H,'reductions data'!G:G,'reasons for reduction division'!B110,'reductions data'!A:A,$N$79)</f>
        <v>0</v>
      </c>
      <c r="O110" s="105">
        <f>SUMIF('reductions data'!G:G,'reasons for reduction division'!B110,'reductions data'!H:H)</f>
        <v>0</v>
      </c>
    </row>
    <row r="111" spans="2:15" x14ac:dyDescent="0.15">
      <c r="B111" s="113" t="s">
        <v>922</v>
      </c>
      <c r="C111" s="62">
        <f>SUMIFS('reductions data'!H:H,'reductions data'!G:G,'reasons for reduction division'!B111,'reductions data'!A:A,$C$79)</f>
        <v>0</v>
      </c>
      <c r="D111" s="62">
        <f>SUMIFS('reductions data'!H:H,'reductions data'!G:G,'reasons for reduction division'!B111,'reductions data'!A:A,$D$79)</f>
        <v>0</v>
      </c>
      <c r="E111" s="62">
        <f>SUMIFS('reductions data'!H:H,'reductions data'!G:G,'reasons for reduction division'!B111,'reductions data'!A:A,$E$79)</f>
        <v>0</v>
      </c>
      <c r="F111" s="62">
        <f>SUMIFS('reductions data'!H:H,'reductions data'!G:G,'reasons for reduction division'!B111,'reductions data'!A:A,$F$79)</f>
        <v>0</v>
      </c>
      <c r="G111" s="62">
        <f>SUMIFS('reductions data'!H:H,'reductions data'!G:G,'reasons for reduction division'!B111,'reductions data'!A:A,$G$79)</f>
        <v>0</v>
      </c>
      <c r="H111" s="62">
        <f>SUMIFS('reductions data'!H:H,'reductions data'!G:G,'reasons for reduction division'!B111,'reductions data'!A:A,$H$79)</f>
        <v>0</v>
      </c>
      <c r="I111" s="62">
        <f>SUMIFS('reductions data'!H:H,'reductions data'!G:G,'reasons for reduction division'!B111,'reductions data'!A:A,$I$79)</f>
        <v>0</v>
      </c>
      <c r="J111" s="62">
        <f>SUMIFS('reductions data'!H:H,'reductions data'!G:G,'reasons for reduction division'!B111,'reductions data'!A:A,$J$79)</f>
        <v>0</v>
      </c>
      <c r="K111" s="62">
        <f>SUMIFS('reductions data'!H:H,'reductions data'!G:G,'reasons for reduction division'!B111,'reductions data'!A:A,$K$79)</f>
        <v>0</v>
      </c>
      <c r="L111" s="62">
        <f>SUMIFS('reductions data'!H:H,'reductions data'!G:G,'reasons for reduction division'!B111,'reductions data'!A:A,$L$79)</f>
        <v>0</v>
      </c>
      <c r="M111" s="62">
        <f>SUMIFS('reductions data'!H:H,'reductions data'!G:G,'reasons for reduction division'!B111,'reductions data'!A:A,$M$79)</f>
        <v>0</v>
      </c>
      <c r="N111" s="62">
        <f>SUMIFS('reductions data'!H:H,'reductions data'!G:G,'reasons for reduction division'!B111,'reductions data'!A:A,$N$79)</f>
        <v>0</v>
      </c>
      <c r="O111" s="105">
        <f>SUMIF('reductions data'!G:G,'reasons for reduction division'!B111,'reductions data'!H:H)</f>
        <v>0</v>
      </c>
    </row>
    <row r="112" spans="2:15" x14ac:dyDescent="0.15">
      <c r="B112" s="113" t="s">
        <v>923</v>
      </c>
      <c r="C112" s="62">
        <f>SUMIFS('reductions data'!H:H,'reductions data'!G:G,'reasons for reduction division'!B112,'reductions data'!A:A,$C$79)</f>
        <v>0</v>
      </c>
      <c r="D112" s="62">
        <f>SUMIFS('reductions data'!H:H,'reductions data'!G:G,'reasons for reduction division'!B112,'reductions data'!A:A,$D$79)</f>
        <v>0</v>
      </c>
      <c r="E112" s="62">
        <f>SUMIFS('reductions data'!H:H,'reductions data'!G:G,'reasons for reduction division'!B112,'reductions data'!A:A,$E$79)</f>
        <v>0</v>
      </c>
      <c r="F112" s="62">
        <f>SUMIFS('reductions data'!H:H,'reductions data'!G:G,'reasons for reduction division'!B112,'reductions data'!A:A,$F$79)</f>
        <v>0</v>
      </c>
      <c r="G112" s="62">
        <f>SUMIFS('reductions data'!H:H,'reductions data'!G:G,'reasons for reduction division'!B112,'reductions data'!A:A,$G$79)</f>
        <v>0</v>
      </c>
      <c r="H112" s="62">
        <f>SUMIFS('reductions data'!H:H,'reductions data'!G:G,'reasons for reduction division'!B112,'reductions data'!A:A,$H$79)</f>
        <v>0</v>
      </c>
      <c r="I112" s="62">
        <f>SUMIFS('reductions data'!H:H,'reductions data'!G:G,'reasons for reduction division'!B112,'reductions data'!A:A,$I$79)</f>
        <v>0</v>
      </c>
      <c r="J112" s="62">
        <f>SUMIFS('reductions data'!H:H,'reductions data'!G:G,'reasons for reduction division'!B112,'reductions data'!A:A,$J$79)</f>
        <v>0</v>
      </c>
      <c r="K112" s="62">
        <f>SUMIFS('reductions data'!H:H,'reductions data'!G:G,'reasons for reduction division'!B112,'reductions data'!A:A,$K$79)</f>
        <v>0</v>
      </c>
      <c r="L112" s="62">
        <f>SUMIFS('reductions data'!H:H,'reductions data'!G:G,'reasons for reduction division'!B112,'reductions data'!A:A,$L$79)</f>
        <v>0</v>
      </c>
      <c r="M112" s="62">
        <f>SUMIFS('reductions data'!H:H,'reductions data'!G:G,'reasons for reduction division'!B112,'reductions data'!A:A,$M$79)</f>
        <v>0</v>
      </c>
      <c r="N112" s="62">
        <f>SUMIFS('reductions data'!H:H,'reductions data'!G:G,'reasons for reduction division'!B112,'reductions data'!A:A,$N$79)</f>
        <v>0</v>
      </c>
      <c r="O112" s="105">
        <f>SUMIF('reductions data'!G:G,'reasons for reduction division'!B112,'reductions data'!H:H)</f>
        <v>0</v>
      </c>
    </row>
    <row r="113" spans="2:15" x14ac:dyDescent="0.15">
      <c r="B113" s="113" t="s">
        <v>924</v>
      </c>
      <c r="C113" s="62">
        <f>SUMIFS('reductions data'!H:H,'reductions data'!G:G,'reasons for reduction division'!B113,'reductions data'!A:A,$C$79)</f>
        <v>0</v>
      </c>
      <c r="D113" s="62">
        <f>SUMIFS('reductions data'!H:H,'reductions data'!G:G,'reasons for reduction division'!B113,'reductions data'!A:A,$D$79)</f>
        <v>0</v>
      </c>
      <c r="E113" s="62">
        <f>SUMIFS('reductions data'!H:H,'reductions data'!G:G,'reasons for reduction division'!B113,'reductions data'!A:A,$E$79)</f>
        <v>0</v>
      </c>
      <c r="F113" s="62">
        <f>SUMIFS('reductions data'!H:H,'reductions data'!G:G,'reasons for reduction division'!B113,'reductions data'!A:A,$F$79)</f>
        <v>0</v>
      </c>
      <c r="G113" s="62">
        <f>SUMIFS('reductions data'!H:H,'reductions data'!G:G,'reasons for reduction division'!B113,'reductions data'!A:A,$G$79)</f>
        <v>0</v>
      </c>
      <c r="H113" s="62">
        <f>SUMIFS('reductions data'!H:H,'reductions data'!G:G,'reasons for reduction division'!B113,'reductions data'!A:A,$H$79)</f>
        <v>0</v>
      </c>
      <c r="I113" s="62">
        <f>SUMIFS('reductions data'!H:H,'reductions data'!G:G,'reasons for reduction division'!B113,'reductions data'!A:A,$I$79)</f>
        <v>0</v>
      </c>
      <c r="J113" s="62">
        <f>SUMIFS('reductions data'!H:H,'reductions data'!G:G,'reasons for reduction division'!B113,'reductions data'!A:A,$J$79)</f>
        <v>0</v>
      </c>
      <c r="K113" s="62">
        <f>SUMIFS('reductions data'!H:H,'reductions data'!G:G,'reasons for reduction division'!B113,'reductions data'!A:A,$K$79)</f>
        <v>0</v>
      </c>
      <c r="L113" s="62">
        <f>SUMIFS('reductions data'!H:H,'reductions data'!G:G,'reasons for reduction division'!B113,'reductions data'!A:A,$L$79)</f>
        <v>0</v>
      </c>
      <c r="M113" s="62">
        <f>SUMIFS('reductions data'!H:H,'reductions data'!G:G,'reasons for reduction division'!B113,'reductions data'!A:A,$M$79)</f>
        <v>0</v>
      </c>
      <c r="N113" s="62">
        <f>SUMIFS('reductions data'!H:H,'reductions data'!G:G,'reasons for reduction division'!B113,'reductions data'!A:A,$N$79)</f>
        <v>0</v>
      </c>
      <c r="O113" s="105">
        <f>SUMIF('reductions data'!G:G,'reasons for reduction division'!B113,'reductions data'!H:H)</f>
        <v>0</v>
      </c>
    </row>
    <row r="114" spans="2:15" x14ac:dyDescent="0.15">
      <c r="B114" s="322" t="s">
        <v>1259</v>
      </c>
      <c r="C114" s="62">
        <f>SUMIFS('reductions data'!H:H,'reductions data'!G:G,'reasons for reduction division'!B114,'reductions data'!A:A,$C$79)</f>
        <v>0</v>
      </c>
      <c r="D114" s="62">
        <f>SUMIFS('reductions data'!H:H,'reductions data'!G:G,'reasons for reduction division'!B114,'reductions data'!A:A,$D$79)</f>
        <v>0</v>
      </c>
      <c r="E114" s="62">
        <f>SUMIFS('reductions data'!H:H,'reductions data'!G:G,'reasons for reduction division'!B114,'reductions data'!A:A,$E$79)</f>
        <v>0</v>
      </c>
      <c r="F114" s="62">
        <f>SUMIFS('reductions data'!H:H,'reductions data'!G:G,'reasons for reduction division'!B114,'reductions data'!A:A,$F$79)</f>
        <v>0</v>
      </c>
      <c r="G114" s="62">
        <f>SUMIFS('reductions data'!H:H,'reductions data'!G:G,'reasons for reduction division'!B114,'reductions data'!A:A,$G$79)</f>
        <v>0</v>
      </c>
      <c r="H114" s="62">
        <f>SUMIFS('reductions data'!H:H,'reductions data'!G:G,'reasons for reduction division'!B114,'reductions data'!A:A,$H$79)</f>
        <v>0</v>
      </c>
      <c r="I114" s="62">
        <f>SUMIFS('reductions data'!H:H,'reductions data'!G:G,'reasons for reduction division'!B114,'reductions data'!A:A,$I$79)</f>
        <v>0</v>
      </c>
      <c r="J114" s="62">
        <f>SUMIFS('reductions data'!H:H,'reductions data'!G:G,'reasons for reduction division'!B114,'reductions data'!A:A,$J$79)</f>
        <v>0</v>
      </c>
      <c r="K114" s="62">
        <f>SUMIFS('reductions data'!H:H,'reductions data'!G:G,'reasons for reduction division'!B114,'reductions data'!A:A,$K$79)</f>
        <v>0</v>
      </c>
      <c r="L114" s="62">
        <f>SUMIFS('reductions data'!H:H,'reductions data'!G:G,'reasons for reduction division'!B114,'reductions data'!A:A,$L$79)</f>
        <v>0</v>
      </c>
      <c r="M114" s="62">
        <f>SUMIFS('reductions data'!H:H,'reductions data'!G:G,'reasons for reduction division'!B114,'reductions data'!A:A,$M$79)</f>
        <v>0</v>
      </c>
      <c r="N114" s="62">
        <f>SUMIFS('reductions data'!H:H,'reductions data'!G:G,'reasons for reduction division'!B114,'reductions data'!A:A,$N$79)</f>
        <v>0</v>
      </c>
      <c r="O114" s="105">
        <f>SUMIF('reductions data'!G:G,'reasons for reduction division'!B114,'reductions data'!H:H)</f>
        <v>0</v>
      </c>
    </row>
    <row r="115" spans="2:15" x14ac:dyDescent="0.15">
      <c r="B115" s="322" t="s">
        <v>1260</v>
      </c>
      <c r="C115" s="62">
        <f>SUMIFS('reductions data'!H:H,'reductions data'!G:G,'reasons for reduction division'!B115,'reductions data'!A:A,$C$79)</f>
        <v>0</v>
      </c>
      <c r="D115" s="62">
        <f>SUMIFS('reductions data'!H:H,'reductions data'!G:G,'reasons for reduction division'!B115,'reductions data'!A:A,$D$79)</f>
        <v>0</v>
      </c>
      <c r="E115" s="62">
        <f>SUMIFS('reductions data'!H:H,'reductions data'!G:G,'reasons for reduction division'!B115,'reductions data'!A:A,$E$79)</f>
        <v>0</v>
      </c>
      <c r="F115" s="62">
        <f>SUMIFS('reductions data'!H:H,'reductions data'!G:G,'reasons for reduction division'!B115,'reductions data'!A:A,$F$79)</f>
        <v>0</v>
      </c>
      <c r="G115" s="62">
        <f>SUMIFS('reductions data'!H:H,'reductions data'!G:G,'reasons for reduction division'!B115,'reductions data'!A:A,$G$79)</f>
        <v>0</v>
      </c>
      <c r="H115" s="62">
        <f>SUMIFS('reductions data'!H:H,'reductions data'!G:G,'reasons for reduction division'!B115,'reductions data'!A:A,$H$79)</f>
        <v>0</v>
      </c>
      <c r="I115" s="62">
        <f>SUMIFS('reductions data'!H:H,'reductions data'!G:G,'reasons for reduction division'!B115,'reductions data'!A:A,$I$79)</f>
        <v>0</v>
      </c>
      <c r="J115" s="62">
        <f>SUMIFS('reductions data'!H:H,'reductions data'!G:G,'reasons for reduction division'!B115,'reductions data'!A:A,$J$79)</f>
        <v>0</v>
      </c>
      <c r="K115" s="62">
        <f>SUMIFS('reductions data'!H:H,'reductions data'!G:G,'reasons for reduction division'!B115,'reductions data'!A:A,$K$79)</f>
        <v>0</v>
      </c>
      <c r="L115" s="62">
        <f>SUMIFS('reductions data'!H:H,'reductions data'!G:G,'reasons for reduction division'!B115,'reductions data'!A:A,$L$79)</f>
        <v>0</v>
      </c>
      <c r="M115" s="62">
        <f>SUMIFS('reductions data'!H:H,'reductions data'!G:G,'reasons for reduction division'!B115,'reductions data'!A:A,$M$79)</f>
        <v>0</v>
      </c>
      <c r="N115" s="62">
        <f>SUMIFS('reductions data'!H:H,'reductions data'!G:G,'reasons for reduction division'!B115,'reductions data'!A:A,$N$79)</f>
        <v>0</v>
      </c>
      <c r="O115" s="105">
        <f>SUMIF('reductions data'!G:G,'reasons for reduction division'!B115,'reductions data'!H:H)</f>
        <v>0</v>
      </c>
    </row>
    <row r="116" spans="2:15" x14ac:dyDescent="0.15">
      <c r="B116" s="322" t="s">
        <v>1264</v>
      </c>
      <c r="C116" s="62">
        <f>SUMIFS('reductions data'!H:H,'reductions data'!G:G,'reasons for reduction division'!B116,'reductions data'!A:A,$C$79)</f>
        <v>0</v>
      </c>
      <c r="D116" s="62">
        <f>SUMIFS('reductions data'!H:H,'reductions data'!G:G,'reasons for reduction division'!B116,'reductions data'!A:A,$D$79)</f>
        <v>0</v>
      </c>
      <c r="E116" s="62">
        <f>SUMIFS('reductions data'!H:H,'reductions data'!G:G,'reasons for reduction division'!B116,'reductions data'!A:A,$E$79)</f>
        <v>0</v>
      </c>
      <c r="F116" s="62">
        <f>SUMIFS('reductions data'!H:H,'reductions data'!G:G,'reasons for reduction division'!B116,'reductions data'!A:A,$F$79)</f>
        <v>0</v>
      </c>
      <c r="G116" s="62">
        <f>SUMIFS('reductions data'!H:H,'reductions data'!G:G,'reasons for reduction division'!B116,'reductions data'!A:A,$G$79)</f>
        <v>0</v>
      </c>
      <c r="H116" s="62">
        <f>SUMIFS('reductions data'!H:H,'reductions data'!G:G,'reasons for reduction division'!B116,'reductions data'!A:A,$H$79)</f>
        <v>0</v>
      </c>
      <c r="I116" s="62">
        <f>SUMIFS('reductions data'!H:H,'reductions data'!G:G,'reasons for reduction division'!B116,'reductions data'!A:A,$I$79)</f>
        <v>0</v>
      </c>
      <c r="J116" s="62">
        <f>SUMIFS('reductions data'!H:H,'reductions data'!G:G,'reasons for reduction division'!B116,'reductions data'!A:A,$J$79)</f>
        <v>0</v>
      </c>
      <c r="K116" s="62">
        <f>SUMIFS('reductions data'!H:H,'reductions data'!G:G,'reasons for reduction division'!B116,'reductions data'!A:A,$K$79)</f>
        <v>0</v>
      </c>
      <c r="L116" s="62">
        <f>SUMIFS('reductions data'!H:H,'reductions data'!G:G,'reasons for reduction division'!B116,'reductions data'!A:A,$L$79)</f>
        <v>0</v>
      </c>
      <c r="M116" s="62">
        <f>SUMIFS('reductions data'!H:H,'reductions data'!G:G,'reasons for reduction division'!B116,'reductions data'!A:A,$M$79)</f>
        <v>0</v>
      </c>
      <c r="N116" s="62">
        <f>SUMIFS('reductions data'!H:H,'reductions data'!G:G,'reasons for reduction division'!B116,'reductions data'!A:A,$N$79)</f>
        <v>0</v>
      </c>
      <c r="O116" s="105">
        <f>SUMIF('reductions data'!G:G,'reasons for reduction division'!B116,'reductions data'!H:H)</f>
        <v>0</v>
      </c>
    </row>
    <row r="117" spans="2:15" x14ac:dyDescent="0.15">
      <c r="B117" s="113" t="s">
        <v>925</v>
      </c>
      <c r="C117" s="62">
        <f>SUMIFS('reductions data'!H:H,'reductions data'!G:G,'reasons for reduction division'!B117,'reductions data'!A:A,$C$79)</f>
        <v>0</v>
      </c>
      <c r="D117" s="62">
        <f>SUMIFS('reductions data'!H:H,'reductions data'!G:G,'reasons for reduction division'!B117,'reductions data'!A:A,$D$79)</f>
        <v>0</v>
      </c>
      <c r="E117" s="62">
        <f>SUMIFS('reductions data'!H:H,'reductions data'!G:G,'reasons for reduction division'!B117,'reductions data'!A:A,$E$79)</f>
        <v>0</v>
      </c>
      <c r="F117" s="62">
        <f>SUMIFS('reductions data'!H:H,'reductions data'!G:G,'reasons for reduction division'!B117,'reductions data'!A:A,$F$79)</f>
        <v>0</v>
      </c>
      <c r="G117" s="62">
        <f>SUMIFS('reductions data'!H:H,'reductions data'!G:G,'reasons for reduction division'!B117,'reductions data'!A:A,$G$79)</f>
        <v>0</v>
      </c>
      <c r="H117" s="62">
        <f>SUMIFS('reductions data'!H:H,'reductions data'!G:G,'reasons for reduction division'!B117,'reductions data'!A:A,$H$79)</f>
        <v>0</v>
      </c>
      <c r="I117" s="62">
        <f>SUMIFS('reductions data'!H:H,'reductions data'!G:G,'reasons for reduction division'!B117,'reductions data'!A:A,$I$79)</f>
        <v>0</v>
      </c>
      <c r="J117" s="62">
        <f>SUMIFS('reductions data'!H:H,'reductions data'!G:G,'reasons for reduction division'!B117,'reductions data'!A:A,$J$79)</f>
        <v>0</v>
      </c>
      <c r="K117" s="62">
        <f>SUMIFS('reductions data'!H:H,'reductions data'!G:G,'reasons for reduction division'!B117,'reductions data'!A:A,$K$79)</f>
        <v>0</v>
      </c>
      <c r="L117" s="62">
        <f>SUMIFS('reductions data'!H:H,'reductions data'!G:G,'reasons for reduction division'!B117,'reductions data'!A:A,$L$79)</f>
        <v>0</v>
      </c>
      <c r="M117" s="62">
        <f>SUMIFS('reductions data'!H:H,'reductions data'!G:G,'reasons for reduction division'!B117,'reductions data'!A:A,$M$79)</f>
        <v>0</v>
      </c>
      <c r="N117" s="62">
        <f>SUMIFS('reductions data'!H:H,'reductions data'!G:G,'reasons for reduction division'!B117,'reductions data'!A:A,$N$79)</f>
        <v>0</v>
      </c>
      <c r="O117" s="105">
        <f>SUMIF('reductions data'!G:G,'reasons for reduction division'!B117,'reductions data'!H:H)</f>
        <v>0</v>
      </c>
    </row>
    <row r="118" spans="2:15" x14ac:dyDescent="0.15">
      <c r="B118" s="113" t="s">
        <v>926</v>
      </c>
      <c r="C118" s="62">
        <f>SUMIFS('reductions data'!H:H,'reductions data'!G:G,'reasons for reduction division'!B118,'reductions data'!A:A,$C$79)</f>
        <v>0</v>
      </c>
      <c r="D118" s="62">
        <f>SUMIFS('reductions data'!H:H,'reductions data'!G:G,'reasons for reduction division'!B118,'reductions data'!A:A,$D$79)</f>
        <v>0</v>
      </c>
      <c r="E118" s="62">
        <f>SUMIFS('reductions data'!H:H,'reductions data'!G:G,'reasons for reduction division'!B118,'reductions data'!A:A,$E$79)</f>
        <v>0</v>
      </c>
      <c r="F118" s="62">
        <f>SUMIFS('reductions data'!H:H,'reductions data'!G:G,'reasons for reduction division'!B118,'reductions data'!A:A,$F$79)</f>
        <v>0</v>
      </c>
      <c r="G118" s="62">
        <f>SUMIFS('reductions data'!H:H,'reductions data'!G:G,'reasons for reduction division'!B118,'reductions data'!A:A,$G$79)</f>
        <v>0</v>
      </c>
      <c r="H118" s="62">
        <f>SUMIFS('reductions data'!H:H,'reductions data'!G:G,'reasons for reduction division'!B118,'reductions data'!A:A,$H$79)</f>
        <v>0</v>
      </c>
      <c r="I118" s="62">
        <f>SUMIFS('reductions data'!H:H,'reductions data'!G:G,'reasons for reduction division'!B118,'reductions data'!A:A,$I$79)</f>
        <v>0</v>
      </c>
      <c r="J118" s="62">
        <f>SUMIFS('reductions data'!H:H,'reductions data'!G:G,'reasons for reduction division'!B118,'reductions data'!A:A,$J$79)</f>
        <v>0</v>
      </c>
      <c r="K118" s="62">
        <f>SUMIFS('reductions data'!H:H,'reductions data'!G:G,'reasons for reduction division'!B118,'reductions data'!A:A,$K$79)</f>
        <v>0</v>
      </c>
      <c r="L118" s="62">
        <f>SUMIFS('reductions data'!H:H,'reductions data'!G:G,'reasons for reduction division'!B118,'reductions data'!A:A,$L$79)</f>
        <v>0</v>
      </c>
      <c r="M118" s="62">
        <f>SUMIFS('reductions data'!H:H,'reductions data'!G:G,'reasons for reduction division'!B118,'reductions data'!A:A,$M$79)</f>
        <v>0</v>
      </c>
      <c r="N118" s="62">
        <f>SUMIFS('reductions data'!H:H,'reductions data'!G:G,'reasons for reduction division'!B118,'reductions data'!A:A,$N$79)</f>
        <v>0</v>
      </c>
      <c r="O118" s="105">
        <f>SUMIF('reductions data'!G:G,'reasons for reduction division'!B118,'reductions data'!H:H)</f>
        <v>0</v>
      </c>
    </row>
    <row r="119" spans="2:15" x14ac:dyDescent="0.15">
      <c r="B119" s="113" t="s">
        <v>927</v>
      </c>
      <c r="C119" s="62">
        <f>SUMIFS('reductions data'!H:H,'reductions data'!G:G,'reasons for reduction division'!B119,'reductions data'!A:A,$C$79)</f>
        <v>0</v>
      </c>
      <c r="D119" s="62">
        <f>SUMIFS('reductions data'!H:H,'reductions data'!G:G,'reasons for reduction division'!B119,'reductions data'!A:A,$D$79)</f>
        <v>0</v>
      </c>
      <c r="E119" s="62">
        <f>SUMIFS('reductions data'!H:H,'reductions data'!G:G,'reasons for reduction division'!B119,'reductions data'!A:A,$E$79)</f>
        <v>0</v>
      </c>
      <c r="F119" s="62">
        <f>SUMIFS('reductions data'!H:H,'reductions data'!G:G,'reasons for reduction division'!B119,'reductions data'!A:A,$F$79)</f>
        <v>0</v>
      </c>
      <c r="G119" s="62">
        <f>SUMIFS('reductions data'!H:H,'reductions data'!G:G,'reasons for reduction division'!B119,'reductions data'!A:A,$G$79)</f>
        <v>0</v>
      </c>
      <c r="H119" s="62">
        <f>SUMIFS('reductions data'!H:H,'reductions data'!G:G,'reasons for reduction division'!B119,'reductions data'!A:A,$H$79)</f>
        <v>0</v>
      </c>
      <c r="I119" s="62">
        <f>SUMIFS('reductions data'!H:H,'reductions data'!G:G,'reasons for reduction division'!B119,'reductions data'!A:A,$I$79)</f>
        <v>0</v>
      </c>
      <c r="J119" s="62">
        <f>SUMIFS('reductions data'!H:H,'reductions data'!G:G,'reasons for reduction division'!B119,'reductions data'!A:A,$J$79)</f>
        <v>0</v>
      </c>
      <c r="K119" s="62">
        <f>SUMIFS('reductions data'!H:H,'reductions data'!G:G,'reasons for reduction division'!B119,'reductions data'!A:A,$K$79)</f>
        <v>0</v>
      </c>
      <c r="L119" s="62">
        <f>SUMIFS('reductions data'!H:H,'reductions data'!G:G,'reasons for reduction division'!B119,'reductions data'!A:A,$L$79)</f>
        <v>0</v>
      </c>
      <c r="M119" s="62">
        <f>SUMIFS('reductions data'!H:H,'reductions data'!G:G,'reasons for reduction division'!B119,'reductions data'!A:A,$M$79)</f>
        <v>0</v>
      </c>
      <c r="N119" s="62">
        <f>SUMIFS('reductions data'!H:H,'reductions data'!G:G,'reasons for reduction division'!B119,'reductions data'!A:A,$N$79)</f>
        <v>0</v>
      </c>
      <c r="O119" s="105">
        <f>SUMIF('reductions data'!G:G,'reasons for reduction division'!B119,'reductions data'!H:H)</f>
        <v>0</v>
      </c>
    </row>
    <row r="120" spans="2:15" x14ac:dyDescent="0.15">
      <c r="B120" s="113" t="s">
        <v>921</v>
      </c>
      <c r="C120" s="62">
        <f>SUMIFS('reductions data'!H:H,'reductions data'!G:G,'reasons for reduction division'!B120,'reductions data'!A:A,$C$79)</f>
        <v>0</v>
      </c>
      <c r="D120" s="62">
        <f>SUMIFS('reductions data'!H:H,'reductions data'!G:G,'reasons for reduction division'!B120,'reductions data'!A:A,$D$79)</f>
        <v>0</v>
      </c>
      <c r="E120" s="62">
        <f>SUMIFS('reductions data'!H:H,'reductions data'!G:G,'reasons for reduction division'!B120,'reductions data'!A:A,$E$79)</f>
        <v>0</v>
      </c>
      <c r="F120" s="62">
        <f>SUMIFS('reductions data'!H:H,'reductions data'!G:G,'reasons for reduction division'!B120,'reductions data'!A:A,$F$79)</f>
        <v>0</v>
      </c>
      <c r="G120" s="62">
        <f>SUMIFS('reductions data'!H:H,'reductions data'!G:G,'reasons for reduction division'!B120,'reductions data'!A:A,$G$79)</f>
        <v>0</v>
      </c>
      <c r="H120" s="62">
        <f>SUMIFS('reductions data'!H:H,'reductions data'!G:G,'reasons for reduction division'!B120,'reductions data'!A:A,$H$79)</f>
        <v>0</v>
      </c>
      <c r="I120" s="62">
        <f>SUMIFS('reductions data'!H:H,'reductions data'!G:G,'reasons for reduction division'!B120,'reductions data'!A:A,$I$79)</f>
        <v>0</v>
      </c>
      <c r="J120" s="62">
        <f>SUMIFS('reductions data'!H:H,'reductions data'!G:G,'reasons for reduction division'!B120,'reductions data'!A:A,$J$79)</f>
        <v>0</v>
      </c>
      <c r="K120" s="62">
        <f>SUMIFS('reductions data'!H:H,'reductions data'!G:G,'reasons for reduction division'!B120,'reductions data'!A:A,$K$79)</f>
        <v>0</v>
      </c>
      <c r="L120" s="62">
        <f>SUMIFS('reductions data'!H:H,'reductions data'!G:G,'reasons for reduction division'!B120,'reductions data'!A:A,$L$79)</f>
        <v>0</v>
      </c>
      <c r="M120" s="62">
        <f>SUMIFS('reductions data'!H:H,'reductions data'!G:G,'reasons for reduction division'!B120,'reductions data'!A:A,$M$79)</f>
        <v>0</v>
      </c>
      <c r="N120" s="62">
        <f>SUMIFS('reductions data'!H:H,'reductions data'!G:G,'reasons for reduction division'!B120,'reductions data'!A:A,$N$79)</f>
        <v>0</v>
      </c>
      <c r="O120" s="105">
        <f>SUMIF('reductions data'!G:G,'reasons for reduction division'!B120,'reductions data'!H:H)</f>
        <v>0</v>
      </c>
    </row>
    <row r="121" spans="2:15" x14ac:dyDescent="0.15">
      <c r="B121" s="113" t="s">
        <v>928</v>
      </c>
      <c r="C121" s="62">
        <f>SUMIFS('reductions data'!H:H,'reductions data'!G:G,'reasons for reduction division'!B121,'reductions data'!A:A,$C$79)</f>
        <v>0</v>
      </c>
      <c r="D121" s="62">
        <f>SUMIFS('reductions data'!H:H,'reductions data'!G:G,'reasons for reduction division'!B121,'reductions data'!A:A,$D$79)</f>
        <v>0</v>
      </c>
      <c r="E121" s="62">
        <f>SUMIFS('reductions data'!H:H,'reductions data'!G:G,'reasons for reduction division'!B121,'reductions data'!A:A,$E$79)</f>
        <v>0</v>
      </c>
      <c r="F121" s="62">
        <f>SUMIFS('reductions data'!H:H,'reductions data'!G:G,'reasons for reduction division'!B121,'reductions data'!A:A,$F$79)</f>
        <v>0</v>
      </c>
      <c r="G121" s="62">
        <f>SUMIFS('reductions data'!H:H,'reductions data'!G:G,'reasons for reduction division'!B121,'reductions data'!A:A,$G$79)</f>
        <v>0</v>
      </c>
      <c r="H121" s="62">
        <f>SUMIFS('reductions data'!H:H,'reductions data'!G:G,'reasons for reduction division'!B121,'reductions data'!A:A,$H$79)</f>
        <v>0</v>
      </c>
      <c r="I121" s="62">
        <f>SUMIFS('reductions data'!H:H,'reductions data'!G:G,'reasons for reduction division'!B121,'reductions data'!A:A,$I$79)</f>
        <v>0</v>
      </c>
      <c r="J121" s="62">
        <f>SUMIFS('reductions data'!H:H,'reductions data'!G:G,'reasons for reduction division'!B121,'reductions data'!A:A,$J$79)</f>
        <v>0</v>
      </c>
      <c r="K121" s="62">
        <f>SUMIFS('reductions data'!H:H,'reductions data'!G:G,'reasons for reduction division'!B121,'reductions data'!A:A,$K$79)</f>
        <v>0</v>
      </c>
      <c r="L121" s="62">
        <f>SUMIFS('reductions data'!H:H,'reductions data'!G:G,'reasons for reduction division'!B121,'reductions data'!A:A,$L$79)</f>
        <v>0</v>
      </c>
      <c r="M121" s="62">
        <f>SUMIFS('reductions data'!H:H,'reductions data'!G:G,'reasons for reduction division'!B121,'reductions data'!A:A,$M$79)</f>
        <v>0</v>
      </c>
      <c r="N121" s="62">
        <f>SUMIFS('reductions data'!H:H,'reductions data'!G:G,'reasons for reduction division'!B121,'reductions data'!A:A,$N$79)</f>
        <v>0</v>
      </c>
      <c r="O121" s="105">
        <f>SUMIF('reductions data'!G:G,'reasons for reduction division'!B121,'reductions data'!H:H)</f>
        <v>0</v>
      </c>
    </row>
    <row r="122" spans="2:15" x14ac:dyDescent="0.15">
      <c r="B122" s="113" t="s">
        <v>929</v>
      </c>
      <c r="C122" s="62">
        <f>SUMIFS('reductions data'!H:H,'reductions data'!G:G,'reasons for reduction division'!B122,'reductions data'!A:A,$C$79)</f>
        <v>0</v>
      </c>
      <c r="D122" s="62">
        <f>SUMIFS('reductions data'!H:H,'reductions data'!G:G,'reasons for reduction division'!B122,'reductions data'!A:A,$D$79)</f>
        <v>0</v>
      </c>
      <c r="E122" s="62">
        <f>SUMIFS('reductions data'!H:H,'reductions data'!G:G,'reasons for reduction division'!B122,'reductions data'!A:A,$E$79)</f>
        <v>0</v>
      </c>
      <c r="F122" s="62">
        <f>SUMIFS('reductions data'!H:H,'reductions data'!G:G,'reasons for reduction division'!B122,'reductions data'!A:A,$F$79)</f>
        <v>0</v>
      </c>
      <c r="G122" s="62">
        <f>SUMIFS('reductions data'!H:H,'reductions data'!G:G,'reasons for reduction division'!B122,'reductions data'!A:A,$G$79)</f>
        <v>0</v>
      </c>
      <c r="H122" s="62">
        <f>SUMIFS('reductions data'!H:H,'reductions data'!G:G,'reasons for reduction division'!B122,'reductions data'!A:A,$H$79)</f>
        <v>0</v>
      </c>
      <c r="I122" s="62">
        <f>SUMIFS('reductions data'!H:H,'reductions data'!G:G,'reasons for reduction division'!B122,'reductions data'!A:A,$I$79)</f>
        <v>0</v>
      </c>
      <c r="J122" s="62">
        <f>SUMIFS('reductions data'!H:H,'reductions data'!G:G,'reasons for reduction division'!B122,'reductions data'!A:A,$J$79)</f>
        <v>0</v>
      </c>
      <c r="K122" s="62">
        <f>SUMIFS('reductions data'!H:H,'reductions data'!G:G,'reasons for reduction division'!B122,'reductions data'!A:A,$K$79)</f>
        <v>0</v>
      </c>
      <c r="L122" s="62">
        <f>SUMIFS('reductions data'!H:H,'reductions data'!G:G,'reasons for reduction division'!B122,'reductions data'!A:A,$L$79)</f>
        <v>0</v>
      </c>
      <c r="M122" s="62">
        <f>SUMIFS('reductions data'!H:H,'reductions data'!G:G,'reasons for reduction division'!B122,'reductions data'!A:A,$M$79)</f>
        <v>0</v>
      </c>
      <c r="N122" s="62">
        <f>SUMIFS('reductions data'!H:H,'reductions data'!G:G,'reasons for reduction division'!B122,'reductions data'!A:A,$N$79)</f>
        <v>0</v>
      </c>
      <c r="O122" s="105">
        <f>SUMIF('reductions data'!G:G,'reasons for reduction division'!B122,'reductions data'!H:H)</f>
        <v>0</v>
      </c>
    </row>
    <row r="123" spans="2:15" x14ac:dyDescent="0.15">
      <c r="B123" s="113" t="s">
        <v>930</v>
      </c>
      <c r="C123" s="62">
        <f>SUMIFS('reductions data'!H:H,'reductions data'!G:G,'reasons for reduction division'!B123,'reductions data'!A:A,$C$79)</f>
        <v>0</v>
      </c>
      <c r="D123" s="62">
        <f>SUMIFS('reductions data'!H:H,'reductions data'!G:G,'reasons for reduction division'!B123,'reductions data'!A:A,$D$79)</f>
        <v>0</v>
      </c>
      <c r="E123" s="62">
        <f>SUMIFS('reductions data'!H:H,'reductions data'!G:G,'reasons for reduction division'!B123,'reductions data'!A:A,$E$79)</f>
        <v>0</v>
      </c>
      <c r="F123" s="62">
        <f>SUMIFS('reductions data'!H:H,'reductions data'!G:G,'reasons for reduction division'!B123,'reductions data'!A:A,$F$79)</f>
        <v>0</v>
      </c>
      <c r="G123" s="62">
        <f>SUMIFS('reductions data'!H:H,'reductions data'!G:G,'reasons for reduction division'!B123,'reductions data'!A:A,$G$79)</f>
        <v>0</v>
      </c>
      <c r="H123" s="62">
        <f>SUMIFS('reductions data'!H:H,'reductions data'!G:G,'reasons for reduction division'!B123,'reductions data'!A:A,$H$79)</f>
        <v>0</v>
      </c>
      <c r="I123" s="62">
        <f>SUMIFS('reductions data'!H:H,'reductions data'!G:G,'reasons for reduction division'!B123,'reductions data'!A:A,$I$79)</f>
        <v>0</v>
      </c>
      <c r="J123" s="62">
        <f>SUMIFS('reductions data'!H:H,'reductions data'!G:G,'reasons for reduction division'!B123,'reductions data'!A:A,$J$79)</f>
        <v>0</v>
      </c>
      <c r="K123" s="62">
        <f>SUMIFS('reductions data'!H:H,'reductions data'!G:G,'reasons for reduction division'!B123,'reductions data'!A:A,$K$79)</f>
        <v>0</v>
      </c>
      <c r="L123" s="62">
        <f>SUMIFS('reductions data'!H:H,'reductions data'!G:G,'reasons for reduction division'!B123,'reductions data'!A:A,$L$79)</f>
        <v>0</v>
      </c>
      <c r="M123" s="62">
        <f>SUMIFS('reductions data'!H:H,'reductions data'!G:G,'reasons for reduction division'!B123,'reductions data'!A:A,$M$79)</f>
        <v>0</v>
      </c>
      <c r="N123" s="62">
        <f>SUMIFS('reductions data'!H:H,'reductions data'!G:G,'reasons for reduction division'!B123,'reductions data'!A:A,$N$79)</f>
        <v>0</v>
      </c>
      <c r="O123" s="105">
        <f>SUMIF('reductions data'!G:G,'reasons for reduction division'!B123,'reductions data'!H:H)</f>
        <v>0</v>
      </c>
    </row>
    <row r="124" spans="2:15" x14ac:dyDescent="0.15">
      <c r="B124" s="113" t="s">
        <v>931</v>
      </c>
      <c r="C124" s="62">
        <f>SUMIFS('reductions data'!H:H,'reductions data'!G:G,'reasons for reduction division'!B124,'reductions data'!A:A,$C$79)</f>
        <v>0</v>
      </c>
      <c r="D124" s="62">
        <f>SUMIFS('reductions data'!H:H,'reductions data'!G:G,'reasons for reduction division'!B124,'reductions data'!A:A,$D$79)</f>
        <v>0</v>
      </c>
      <c r="E124" s="62">
        <f>SUMIFS('reductions data'!H:H,'reductions data'!G:G,'reasons for reduction division'!B124,'reductions data'!A:A,$E$79)</f>
        <v>0</v>
      </c>
      <c r="F124" s="62">
        <f>SUMIFS('reductions data'!H:H,'reductions data'!G:G,'reasons for reduction division'!B124,'reductions data'!A:A,$F$79)</f>
        <v>0</v>
      </c>
      <c r="G124" s="62">
        <f>SUMIFS('reductions data'!H:H,'reductions data'!G:G,'reasons for reduction division'!B124,'reductions data'!A:A,$G$79)</f>
        <v>0</v>
      </c>
      <c r="H124" s="62">
        <f>SUMIFS('reductions data'!H:H,'reductions data'!G:G,'reasons for reduction division'!B124,'reductions data'!A:A,$H$79)</f>
        <v>0</v>
      </c>
      <c r="I124" s="62">
        <f>SUMIFS('reductions data'!H:H,'reductions data'!G:G,'reasons for reduction division'!B124,'reductions data'!A:A,$I$79)</f>
        <v>0</v>
      </c>
      <c r="J124" s="62">
        <f>SUMIFS('reductions data'!H:H,'reductions data'!G:G,'reasons for reduction division'!B124,'reductions data'!A:A,$J$79)</f>
        <v>0</v>
      </c>
      <c r="K124" s="62">
        <f>SUMIFS('reductions data'!H:H,'reductions data'!G:G,'reasons for reduction division'!B124,'reductions data'!A:A,$K$79)</f>
        <v>0</v>
      </c>
      <c r="L124" s="62">
        <f>SUMIFS('reductions data'!H:H,'reductions data'!G:G,'reasons for reduction division'!B124,'reductions data'!A:A,$L$79)</f>
        <v>0</v>
      </c>
      <c r="M124" s="62">
        <f>SUMIFS('reductions data'!H:H,'reductions data'!G:G,'reasons for reduction division'!B124,'reductions data'!A:A,$M$79)</f>
        <v>0</v>
      </c>
      <c r="N124" s="62">
        <f>SUMIFS('reductions data'!H:H,'reductions data'!G:G,'reasons for reduction division'!B124,'reductions data'!A:A,$N$79)</f>
        <v>0</v>
      </c>
      <c r="O124" s="105">
        <f>SUMIF('reductions data'!G:G,'reasons for reduction division'!B124,'reductions data'!H:H)</f>
        <v>0</v>
      </c>
    </row>
    <row r="125" spans="2:15" x14ac:dyDescent="0.15">
      <c r="B125" s="113" t="s">
        <v>932</v>
      </c>
      <c r="C125" s="62">
        <f>SUMIFS('reductions data'!H:H,'reductions data'!G:G,'reasons for reduction division'!B125,'reductions data'!A:A,$C$79)</f>
        <v>0</v>
      </c>
      <c r="D125" s="62">
        <f>SUMIFS('reductions data'!H:H,'reductions data'!G:G,'reasons for reduction division'!B125,'reductions data'!A:A,$D$79)</f>
        <v>0</v>
      </c>
      <c r="E125" s="62">
        <f>SUMIFS('reductions data'!H:H,'reductions data'!G:G,'reasons for reduction division'!B125,'reductions data'!A:A,$E$79)</f>
        <v>0</v>
      </c>
      <c r="F125" s="62">
        <f>SUMIFS('reductions data'!H:H,'reductions data'!G:G,'reasons for reduction division'!B125,'reductions data'!A:A,$F$79)</f>
        <v>0</v>
      </c>
      <c r="G125" s="62">
        <f>SUMIFS('reductions data'!H:H,'reductions data'!G:G,'reasons for reduction division'!B125,'reductions data'!A:A,$G$79)</f>
        <v>0</v>
      </c>
      <c r="H125" s="62">
        <f>SUMIFS('reductions data'!H:H,'reductions data'!G:G,'reasons for reduction division'!B125,'reductions data'!A:A,$H$79)</f>
        <v>0</v>
      </c>
      <c r="I125" s="62">
        <f>SUMIFS('reductions data'!H:H,'reductions data'!G:G,'reasons for reduction division'!B125,'reductions data'!A:A,$I$79)</f>
        <v>0</v>
      </c>
      <c r="J125" s="62">
        <f>SUMIFS('reductions data'!H:H,'reductions data'!G:G,'reasons for reduction division'!B125,'reductions data'!A:A,$J$79)</f>
        <v>0</v>
      </c>
      <c r="K125" s="62">
        <f>SUMIFS('reductions data'!H:H,'reductions data'!G:G,'reasons for reduction division'!B125,'reductions data'!A:A,$K$79)</f>
        <v>0</v>
      </c>
      <c r="L125" s="62">
        <f>SUMIFS('reductions data'!H:H,'reductions data'!G:G,'reasons for reduction division'!B125,'reductions data'!A:A,$L$79)</f>
        <v>0</v>
      </c>
      <c r="M125" s="62">
        <f>SUMIFS('reductions data'!H:H,'reductions data'!G:G,'reasons for reduction division'!B125,'reductions data'!A:A,$M$79)</f>
        <v>0</v>
      </c>
      <c r="N125" s="62">
        <f>SUMIFS('reductions data'!H:H,'reductions data'!G:G,'reasons for reduction division'!B125,'reductions data'!A:A,$N$79)</f>
        <v>0</v>
      </c>
      <c r="O125" s="105">
        <f>SUMIF('reductions data'!G:G,'reasons for reduction division'!B125,'reductions data'!H:H)</f>
        <v>0</v>
      </c>
    </row>
    <row r="126" spans="2:15" x14ac:dyDescent="0.15">
      <c r="B126" s="113" t="s">
        <v>933</v>
      </c>
      <c r="C126" s="62">
        <f>SUMIFS('reductions data'!H:H,'reductions data'!G:G,'reasons for reduction division'!B126,'reductions data'!A:A,$C$79)</f>
        <v>0</v>
      </c>
      <c r="D126" s="62">
        <f>SUMIFS('reductions data'!H:H,'reductions data'!G:G,'reasons for reduction division'!B126,'reductions data'!A:A,$D$79)</f>
        <v>0</v>
      </c>
      <c r="E126" s="62">
        <f>SUMIFS('reductions data'!H:H,'reductions data'!G:G,'reasons for reduction division'!B126,'reductions data'!A:A,$E$79)</f>
        <v>0</v>
      </c>
      <c r="F126" s="62">
        <f>SUMIFS('reductions data'!H:H,'reductions data'!G:G,'reasons for reduction division'!B126,'reductions data'!A:A,$F$79)</f>
        <v>0</v>
      </c>
      <c r="G126" s="62">
        <f>SUMIFS('reductions data'!H:H,'reductions data'!G:G,'reasons for reduction division'!B126,'reductions data'!A:A,$G$79)</f>
        <v>0</v>
      </c>
      <c r="H126" s="62">
        <f>SUMIFS('reductions data'!H:H,'reductions data'!G:G,'reasons for reduction division'!B126,'reductions data'!A:A,$H$79)</f>
        <v>0</v>
      </c>
      <c r="I126" s="62">
        <f>SUMIFS('reductions data'!H:H,'reductions data'!G:G,'reasons for reduction division'!B126,'reductions data'!A:A,$I$79)</f>
        <v>0</v>
      </c>
      <c r="J126" s="62">
        <f>SUMIFS('reductions data'!H:H,'reductions data'!G:G,'reasons for reduction division'!B126,'reductions data'!A:A,$J$79)</f>
        <v>0</v>
      </c>
      <c r="K126" s="62">
        <f>SUMIFS('reductions data'!H:H,'reductions data'!G:G,'reasons for reduction division'!B126,'reductions data'!A:A,$K$79)</f>
        <v>0</v>
      </c>
      <c r="L126" s="62">
        <f>SUMIFS('reductions data'!H:H,'reductions data'!G:G,'reasons for reduction division'!B126,'reductions data'!A:A,$L$79)</f>
        <v>0</v>
      </c>
      <c r="M126" s="62">
        <f>SUMIFS('reductions data'!H:H,'reductions data'!G:G,'reasons for reduction division'!B126,'reductions data'!A:A,$M$79)</f>
        <v>0</v>
      </c>
      <c r="N126" s="62">
        <f>SUMIFS('reductions data'!H:H,'reductions data'!G:G,'reasons for reduction division'!B126,'reductions data'!A:A,$N$79)</f>
        <v>0</v>
      </c>
      <c r="O126" s="105">
        <f>SUMIF('reductions data'!G:G,'reasons for reduction division'!B126,'reductions data'!H:H)</f>
        <v>0</v>
      </c>
    </row>
    <row r="127" spans="2:15" x14ac:dyDescent="0.15">
      <c r="B127" s="113" t="s">
        <v>934</v>
      </c>
      <c r="C127" s="62">
        <f>SUMIFS('reductions data'!H:H,'reductions data'!G:G,'reasons for reduction division'!B127,'reductions data'!A:A,$C$79)</f>
        <v>0</v>
      </c>
      <c r="D127" s="62">
        <f>SUMIFS('reductions data'!H:H,'reductions data'!G:G,'reasons for reduction division'!B127,'reductions data'!A:A,$D$79)</f>
        <v>0</v>
      </c>
      <c r="E127" s="62">
        <f>SUMIFS('reductions data'!H:H,'reductions data'!G:G,'reasons for reduction division'!B127,'reductions data'!A:A,$E$79)</f>
        <v>0</v>
      </c>
      <c r="F127" s="62">
        <f>SUMIFS('reductions data'!H:H,'reductions data'!G:G,'reasons for reduction division'!B127,'reductions data'!A:A,$F$79)</f>
        <v>0</v>
      </c>
      <c r="G127" s="62">
        <f>SUMIFS('reductions data'!H:H,'reductions data'!G:G,'reasons for reduction division'!B127,'reductions data'!A:A,$G$79)</f>
        <v>0</v>
      </c>
      <c r="H127" s="62">
        <f>SUMIFS('reductions data'!H:H,'reductions data'!G:G,'reasons for reduction division'!B127,'reductions data'!A:A,$H$79)</f>
        <v>0</v>
      </c>
      <c r="I127" s="62">
        <f>SUMIFS('reductions data'!H:H,'reductions data'!G:G,'reasons for reduction division'!B127,'reductions data'!A:A,$I$79)</f>
        <v>0</v>
      </c>
      <c r="J127" s="62">
        <f>SUMIFS('reductions data'!H:H,'reductions data'!G:G,'reasons for reduction division'!B127,'reductions data'!A:A,$J$79)</f>
        <v>0</v>
      </c>
      <c r="K127" s="62">
        <f>SUMIFS('reductions data'!H:H,'reductions data'!G:G,'reasons for reduction division'!B127,'reductions data'!A:A,$K$79)</f>
        <v>0</v>
      </c>
      <c r="L127" s="62">
        <f>SUMIFS('reductions data'!H:H,'reductions data'!G:G,'reasons for reduction division'!B127,'reductions data'!A:A,$L$79)</f>
        <v>0</v>
      </c>
      <c r="M127" s="62">
        <f>SUMIFS('reductions data'!H:H,'reductions data'!G:G,'reasons for reduction division'!B127,'reductions data'!A:A,$M$79)</f>
        <v>0</v>
      </c>
      <c r="N127" s="62">
        <f>SUMIFS('reductions data'!H:H,'reductions data'!G:G,'reasons for reduction division'!B127,'reductions data'!A:A,$N$79)</f>
        <v>0</v>
      </c>
      <c r="O127" s="105">
        <f>SUMIF('reductions data'!G:G,'reasons for reduction division'!B127,'reductions data'!H:H)</f>
        <v>0</v>
      </c>
    </row>
    <row r="128" spans="2:15" x14ac:dyDescent="0.15">
      <c r="B128" s="113" t="s">
        <v>935</v>
      </c>
      <c r="C128" s="62">
        <f>SUMIFS('reductions data'!H:H,'reductions data'!G:G,'reasons for reduction division'!B128,'reductions data'!A:A,$C$79)</f>
        <v>0</v>
      </c>
      <c r="D128" s="62">
        <f>SUMIFS('reductions data'!H:H,'reductions data'!G:G,'reasons for reduction division'!B128,'reductions data'!A:A,$D$79)</f>
        <v>0</v>
      </c>
      <c r="E128" s="62">
        <f>SUMIFS('reductions data'!H:H,'reductions data'!G:G,'reasons for reduction division'!B128,'reductions data'!A:A,$E$79)</f>
        <v>0</v>
      </c>
      <c r="F128" s="62">
        <f>SUMIFS('reductions data'!H:H,'reductions data'!G:G,'reasons for reduction division'!B128,'reductions data'!A:A,$F$79)</f>
        <v>0</v>
      </c>
      <c r="G128" s="62">
        <f>SUMIFS('reductions data'!H:H,'reductions data'!G:G,'reasons for reduction division'!B128,'reductions data'!A:A,$G$79)</f>
        <v>0</v>
      </c>
      <c r="H128" s="62">
        <f>SUMIFS('reductions data'!H:H,'reductions data'!G:G,'reasons for reduction division'!B128,'reductions data'!A:A,$H$79)</f>
        <v>0</v>
      </c>
      <c r="I128" s="62">
        <f>SUMIFS('reductions data'!H:H,'reductions data'!G:G,'reasons for reduction division'!B128,'reductions data'!A:A,$I$79)</f>
        <v>0</v>
      </c>
      <c r="J128" s="62">
        <f>SUMIFS('reductions data'!H:H,'reductions data'!G:G,'reasons for reduction division'!B128,'reductions data'!A:A,$J$79)</f>
        <v>0</v>
      </c>
      <c r="K128" s="62">
        <f>SUMIFS('reductions data'!H:H,'reductions data'!G:G,'reasons for reduction division'!B128,'reductions data'!A:A,$K$79)</f>
        <v>0</v>
      </c>
      <c r="L128" s="62">
        <f>SUMIFS('reductions data'!H:H,'reductions data'!G:G,'reasons for reduction division'!B128,'reductions data'!A:A,$L$79)</f>
        <v>0</v>
      </c>
      <c r="M128" s="62">
        <f>SUMIFS('reductions data'!H:H,'reductions data'!G:G,'reasons for reduction division'!B128,'reductions data'!A:A,$M$79)</f>
        <v>0</v>
      </c>
      <c r="N128" s="62">
        <f>SUMIFS('reductions data'!H:H,'reductions data'!G:G,'reasons for reduction division'!B128,'reductions data'!A:A,$N$79)</f>
        <v>0</v>
      </c>
      <c r="O128" s="105">
        <f>SUMIF('reductions data'!G:G,'reasons for reduction division'!B128,'reductions data'!H:H)</f>
        <v>0</v>
      </c>
    </row>
    <row r="129" spans="2:15" x14ac:dyDescent="0.15">
      <c r="B129" s="218" t="s">
        <v>964</v>
      </c>
      <c r="C129" s="173">
        <f>SUMIF('reductions data'!A:A,$C$79,'reductions data'!H:H)</f>
        <v>0</v>
      </c>
      <c r="D129" s="173">
        <f>SUMIF('reductions data'!A:A,$D$79,'reductions data'!H:H)</f>
        <v>0</v>
      </c>
      <c r="E129" s="173">
        <f>SUMIF('reductions data'!A:A,$E$79,'reductions data'!H:H)</f>
        <v>0</v>
      </c>
      <c r="F129" s="173">
        <f>SUMIF('reductions data'!A:A,$F$79,'reductions data'!H:H)</f>
        <v>0</v>
      </c>
      <c r="G129" s="173">
        <f>SUMIF('reductions data'!A:A,$G$79,'reductions data'!H:H)</f>
        <v>0</v>
      </c>
      <c r="H129" s="173">
        <f>SUMIF('reductions data'!A:A,$H$79,'reductions data'!H:H)</f>
        <v>0</v>
      </c>
      <c r="I129" s="173">
        <f>SUMIF('reductions data'!A:A,$I$79,'reductions data'!H:H)</f>
        <v>0</v>
      </c>
      <c r="J129" s="173">
        <f>SUMIF('reductions data'!A:A,$J$79,'reductions data'!H:H)</f>
        <v>0</v>
      </c>
      <c r="K129" s="173">
        <f>SUMIF('reductions data'!A:A,$K$79,'reductions data'!H:H)</f>
        <v>0</v>
      </c>
      <c r="L129" s="173">
        <f>SUMIF('reductions data'!A:A,$L$79,'reductions data'!H:H)</f>
        <v>0</v>
      </c>
      <c r="M129" s="173">
        <f>SUMIF('reductions data'!A:A,$M$79,'reductions data'!H:H)</f>
        <v>0</v>
      </c>
      <c r="N129" s="173">
        <f>SUMIF('reductions data'!$A:$A,N79,'reductions data'!$H:$H)</f>
        <v>0</v>
      </c>
      <c r="O129" s="183">
        <f>SUM('reductions data'!H:H)</f>
        <v>0</v>
      </c>
    </row>
    <row r="130" spans="2:15" x14ac:dyDescent="0.15">
      <c r="B130" s="173" t="s">
        <v>1187</v>
      </c>
      <c r="C130" s="173">
        <f>SUMIF('capacity data'!A:A,$C$79,'capacity data'!I:I)</f>
        <v>0</v>
      </c>
      <c r="D130" s="173">
        <f>SUMIF('capacity data'!A:A,$D$79,'capacity data'!I:I)</f>
        <v>0</v>
      </c>
      <c r="E130" s="173">
        <f>SUMIF('capacity data'!A:A,$E$79,'capacity data'!I:I)</f>
        <v>0</v>
      </c>
      <c r="F130" s="173">
        <f>SUMIF('capacity data'!A:A,$F$79,'capacity data'!I:I)</f>
        <v>0</v>
      </c>
      <c r="G130" s="173">
        <f>SUMIF('capacity data'!A:A,$G$79,'capacity data'!I:I)</f>
        <v>0</v>
      </c>
      <c r="H130" s="173">
        <f>SUMIF('capacity data'!A:A,$H$79,'capacity data'!I:I)</f>
        <v>0</v>
      </c>
      <c r="I130" s="173">
        <f>SUMIF('capacity data'!A:A,$I$79,'capacity data'!I:I)</f>
        <v>0</v>
      </c>
      <c r="J130" s="173">
        <f>SUMIF('capacity data'!A:A,$J$79,'capacity data'!I:I)</f>
        <v>0</v>
      </c>
      <c r="K130" s="173">
        <f>SUMIF('capacity data'!A:A,$K$79,'capacity data'!I:I)</f>
        <v>0</v>
      </c>
      <c r="L130" s="173">
        <f>SUMIF('capacity data'!A:A,$L$79,'capacity data'!I:I)</f>
        <v>0</v>
      </c>
      <c r="M130" s="173">
        <f>SUMIF('capacity data'!$A:$A,M$79,'capacity data'!$I:$I)</f>
        <v>0</v>
      </c>
      <c r="N130" s="173">
        <f>SUMIF('capacity data'!$A:$A,N$79,'capacity data'!$I:$I)</f>
        <v>0</v>
      </c>
      <c r="O130" s="173">
        <f>SUM(C130:N130)</f>
        <v>0</v>
      </c>
    </row>
    <row r="131" spans="2:15" x14ac:dyDescent="0.15">
      <c r="B131" s="217" t="s">
        <v>1188</v>
      </c>
      <c r="C131" s="184" t="e">
        <f t="shared" ref="C131:O131" si="0">C129/C130</f>
        <v>#DIV/0!</v>
      </c>
      <c r="D131" s="184" t="e">
        <f t="shared" si="0"/>
        <v>#DIV/0!</v>
      </c>
      <c r="E131" s="184" t="e">
        <f t="shared" si="0"/>
        <v>#DIV/0!</v>
      </c>
      <c r="F131" s="184" t="e">
        <f t="shared" si="0"/>
        <v>#DIV/0!</v>
      </c>
      <c r="G131" s="184" t="e">
        <f t="shared" si="0"/>
        <v>#DIV/0!</v>
      </c>
      <c r="H131" s="184" t="e">
        <f t="shared" si="0"/>
        <v>#DIV/0!</v>
      </c>
      <c r="I131" s="184" t="e">
        <f t="shared" si="0"/>
        <v>#DIV/0!</v>
      </c>
      <c r="J131" s="184" t="e">
        <f t="shared" si="0"/>
        <v>#DIV/0!</v>
      </c>
      <c r="K131" s="184" t="e">
        <f t="shared" si="0"/>
        <v>#DIV/0!</v>
      </c>
      <c r="L131" s="184" t="e">
        <f t="shared" si="0"/>
        <v>#DIV/0!</v>
      </c>
      <c r="M131" s="184" t="e">
        <f t="shared" si="0"/>
        <v>#DIV/0!</v>
      </c>
      <c r="N131" s="184" t="e">
        <f t="shared" si="0"/>
        <v>#DIV/0!</v>
      </c>
      <c r="O131" s="184" t="e">
        <f t="shared" si="0"/>
        <v>#DIV/0!</v>
      </c>
    </row>
  </sheetData>
  <sortState xmlns:xlrd2="http://schemas.microsoft.com/office/spreadsheetml/2017/richdata2" ref="B81:O128">
    <sortCondition ref="B80"/>
  </sortState>
  <mergeCells count="27">
    <mergeCell ref="C78:O78"/>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 ref="A1:G1"/>
    <mergeCell ref="H1:N1"/>
    <mergeCell ref="E18:F18"/>
    <mergeCell ref="E19:F19"/>
    <mergeCell ref="E20:F20"/>
    <mergeCell ref="A2:O2"/>
    <mergeCell ref="E13:F13"/>
    <mergeCell ref="E14:F14"/>
    <mergeCell ref="E15:F15"/>
    <mergeCell ref="E16:F16"/>
    <mergeCell ref="E17:F17"/>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8"/>
  <sheetViews>
    <sheetView showGridLines="0" topLeftCell="A25" zoomScale="85" zoomScaleNormal="85" workbookViewId="0">
      <selection activeCell="B50" sqref="B50"/>
    </sheetView>
  </sheetViews>
  <sheetFormatPr baseColWidth="10" defaultColWidth="8.83203125" defaultRowHeight="14" x14ac:dyDescent="0.15"/>
  <cols>
    <col min="1" max="1" width="49.664062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531" t="s">
        <v>1189</v>
      </c>
      <c r="B1" s="531"/>
      <c r="C1" s="531"/>
      <c r="D1" s="531"/>
      <c r="E1" s="531"/>
      <c r="F1" s="531"/>
      <c r="G1" s="261"/>
      <c r="H1" s="261"/>
      <c r="I1" s="261"/>
      <c r="J1" s="261"/>
      <c r="K1" s="261"/>
      <c r="L1" s="261"/>
      <c r="M1" s="261"/>
      <c r="N1" s="261"/>
      <c r="O1" s="261"/>
      <c r="P1" s="261"/>
      <c r="Q1" s="261"/>
    </row>
    <row r="2" spans="1:17" ht="38.25" customHeight="1" x14ac:dyDescent="0.15">
      <c r="A2" s="424"/>
      <c r="B2" s="424"/>
      <c r="C2" s="424"/>
      <c r="D2" s="424"/>
      <c r="E2" s="424"/>
      <c r="F2" s="424"/>
      <c r="G2" s="270"/>
      <c r="H2" s="270"/>
      <c r="I2" s="270"/>
      <c r="J2" s="270"/>
      <c r="K2" s="270"/>
      <c r="L2" s="270"/>
      <c r="M2" s="270"/>
      <c r="N2" s="270"/>
      <c r="O2" s="270"/>
      <c r="P2" s="270"/>
      <c r="Q2" s="270"/>
    </row>
    <row r="4" spans="1:17" ht="30" x14ac:dyDescent="0.15">
      <c r="A4" s="36" t="s">
        <v>1045</v>
      </c>
    </row>
    <row r="5" spans="1:17" ht="21" customHeight="1" x14ac:dyDescent="0.15">
      <c r="A5" s="242" t="s">
        <v>21</v>
      </c>
    </row>
    <row r="6" spans="1:17" ht="36.75" customHeight="1" x14ac:dyDescent="0.2">
      <c r="A6" s="292" t="s">
        <v>238</v>
      </c>
      <c r="B6" s="42"/>
      <c r="C6" s="42"/>
    </row>
    <row r="8" spans="1:17" ht="29.25" customHeight="1" x14ac:dyDescent="0.2">
      <c r="A8" s="421" t="s">
        <v>1055</v>
      </c>
      <c r="B8" s="585"/>
      <c r="C8" s="585"/>
    </row>
    <row r="9" spans="1:17" ht="30" x14ac:dyDescent="0.15">
      <c r="A9" s="220" t="s">
        <v>1057</v>
      </c>
      <c r="B9" s="37" t="s">
        <v>1058</v>
      </c>
      <c r="C9" s="37" t="s">
        <v>1059</v>
      </c>
      <c r="E9" s="586" t="s">
        <v>1056</v>
      </c>
      <c r="F9" s="586"/>
    </row>
    <row r="10" spans="1:17" x14ac:dyDescent="0.15">
      <c r="A10" s="112" t="s">
        <v>897</v>
      </c>
      <c r="B10" s="89">
        <f>COUNTIFS('reductions data'!B:B,$A$6,'reductions data'!G:G,A10)</f>
        <v>0</v>
      </c>
      <c r="C10" s="90">
        <f>SUMIFS('reductions data'!H:H,'reductions data'!B:B,$A$6,'reductions data'!G:G,A10)</f>
        <v>0</v>
      </c>
      <c r="E10" s="185" t="s">
        <v>1190</v>
      </c>
      <c r="F10" s="214">
        <f>COUNTIFS('reductions data'!B:B,'cluster reductions'!A6,'reductions data'!K:K,"ACTIVE")</f>
        <v>0</v>
      </c>
    </row>
    <row r="11" spans="1:17" x14ac:dyDescent="0.15">
      <c r="A11" s="113" t="s">
        <v>899</v>
      </c>
      <c r="B11" s="89">
        <f>COUNTIFS('reductions data'!B:B,$A$6,'reductions data'!G:G,A11)</f>
        <v>0</v>
      </c>
      <c r="C11" s="90">
        <f>SUMIFS('reductions data'!H:H,'reductions data'!B:B,$A$6,'reductions data'!G:G,A11)</f>
        <v>0</v>
      </c>
      <c r="E11" s="185" t="s">
        <v>1191</v>
      </c>
      <c r="F11" s="214">
        <f>SUMIF('reductions data'!B:B,'cluster reductions'!A6,'reductions data'!H:H)</f>
        <v>0</v>
      </c>
    </row>
    <row r="12" spans="1:17" x14ac:dyDescent="0.15">
      <c r="A12" s="113" t="s">
        <v>898</v>
      </c>
      <c r="B12" s="89">
        <f>COUNTIFS('reductions data'!B:B,$A$6,'reductions data'!G:G,A12)</f>
        <v>0</v>
      </c>
      <c r="C12" s="90">
        <f>SUMIFS('reductions data'!H:H,'reductions data'!B:B,$A$6,'reductions data'!G:G,A12)</f>
        <v>0</v>
      </c>
      <c r="E12" s="72" t="s">
        <v>1192</v>
      </c>
      <c r="F12" s="214">
        <f>SUMIF('capacity data'!B:B,'cluster reductions'!A6,'capacity data'!I:I)</f>
        <v>0</v>
      </c>
    </row>
    <row r="13" spans="1:17" x14ac:dyDescent="0.15">
      <c r="A13" s="113" t="s">
        <v>900</v>
      </c>
      <c r="B13" s="89">
        <f>COUNTIFS('reductions data'!B:B,$A$6,'reductions data'!G:G,A13)</f>
        <v>0</v>
      </c>
      <c r="C13" s="90">
        <f>SUMIFS('reductions data'!H:H,'reductions data'!B:B,$A$6,'reductions data'!G:G,A13)</f>
        <v>0</v>
      </c>
      <c r="E13" s="72" t="s">
        <v>1193</v>
      </c>
      <c r="F13" s="92" t="e">
        <f>F11/F12</f>
        <v>#DIV/0!</v>
      </c>
    </row>
    <row r="14" spans="1:17" x14ac:dyDescent="0.15">
      <c r="A14" s="113" t="s">
        <v>901</v>
      </c>
      <c r="B14" s="89">
        <f>COUNTIFS('reductions data'!B:B,$A$6,'reductions data'!G:G,A14)</f>
        <v>0</v>
      </c>
      <c r="C14" s="90">
        <f>SUMIFS('reductions data'!H:H,'reductions data'!B:B,$A$6,'reductions data'!G:G,A14)</f>
        <v>0</v>
      </c>
      <c r="E14" s="186" t="s">
        <v>993</v>
      </c>
      <c r="F14" s="211" t="e">
        <f>+F13-'div &amp; regional reduction hours'!N18</f>
        <v>#DIV/0!</v>
      </c>
    </row>
    <row r="15" spans="1:17" x14ac:dyDescent="0.15">
      <c r="A15" s="113" t="s">
        <v>902</v>
      </c>
      <c r="B15" s="89">
        <f>COUNTIFS('reductions data'!B:B,$A$6,'reductions data'!G:G,A15)</f>
        <v>0</v>
      </c>
      <c r="C15" s="90">
        <f>SUMIFS('reductions data'!H:H,'reductions data'!B:B,$A$6,'reductions data'!G:G,A15)</f>
        <v>0</v>
      </c>
    </row>
    <row r="16" spans="1:17" x14ac:dyDescent="0.15">
      <c r="A16" s="113" t="s">
        <v>903</v>
      </c>
      <c r="B16" s="89">
        <f>COUNTIFS('reductions data'!B:B,$A$6,'reductions data'!G:G,A16)</f>
        <v>0</v>
      </c>
      <c r="C16" s="90">
        <f>SUMIFS('reductions data'!H:H,'reductions data'!B:B,$A$6,'reductions data'!G:G,A16)</f>
        <v>0</v>
      </c>
    </row>
    <row r="17" spans="1:3" x14ac:dyDescent="0.15">
      <c r="A17" s="113" t="s">
        <v>1262</v>
      </c>
      <c r="B17" s="89">
        <f>COUNTIFS('reductions data'!B:B,$A$6,'reductions data'!G:G,A17)</f>
        <v>0</v>
      </c>
      <c r="C17" s="90">
        <f>SUMIFS('reductions data'!H:H,'reductions data'!B:B,$A$6,'reductions data'!G:G,A17)</f>
        <v>0</v>
      </c>
    </row>
    <row r="18" spans="1:3" x14ac:dyDescent="0.15">
      <c r="A18" s="113" t="s">
        <v>904</v>
      </c>
      <c r="B18" s="89">
        <f>COUNTIFS('reductions data'!B:B,$A$6,'reductions data'!G:G,A18)</f>
        <v>0</v>
      </c>
      <c r="C18" s="90">
        <f>SUMIFS('reductions data'!H:H,'reductions data'!B:B,$A$6,'reductions data'!G:G,A18)</f>
        <v>0</v>
      </c>
    </row>
    <row r="19" spans="1:3" x14ac:dyDescent="0.15">
      <c r="A19" s="113" t="s">
        <v>905</v>
      </c>
      <c r="B19" s="89">
        <f>COUNTIFS('reductions data'!B:B,$A$6,'reductions data'!G:G,A19)</f>
        <v>0</v>
      </c>
      <c r="C19" s="90">
        <f>SUMIFS('reductions data'!H:H,'reductions data'!B:B,$A$6,'reductions data'!G:G,A19)</f>
        <v>0</v>
      </c>
    </row>
    <row r="20" spans="1:3" x14ac:dyDescent="0.15">
      <c r="A20" s="113" t="s">
        <v>906</v>
      </c>
      <c r="B20" s="89">
        <f>COUNTIFS('reductions data'!B:B,$A$6,'reductions data'!G:G,A20)</f>
        <v>0</v>
      </c>
      <c r="C20" s="90">
        <f>SUMIFS('reductions data'!H:H,'reductions data'!B:B,$A$6,'reductions data'!G:G,A20)</f>
        <v>0</v>
      </c>
    </row>
    <row r="21" spans="1:3" x14ac:dyDescent="0.15">
      <c r="A21" s="113" t="s">
        <v>907</v>
      </c>
      <c r="B21" s="89">
        <f>COUNTIFS('reductions data'!B:B,$A$6,'reductions data'!G:G,A21)</f>
        <v>0</v>
      </c>
      <c r="C21" s="90">
        <f>SUMIFS('reductions data'!H:H,'reductions data'!B:B,$A$6,'reductions data'!G:G,A21)</f>
        <v>0</v>
      </c>
    </row>
    <row r="22" spans="1:3" x14ac:dyDescent="0.15">
      <c r="A22" s="113" t="s">
        <v>908</v>
      </c>
      <c r="B22" s="89">
        <f>COUNTIFS('reductions data'!B:B,$A$6,'reductions data'!G:G,A22)</f>
        <v>0</v>
      </c>
      <c r="C22" s="90">
        <f>SUMIFS('reductions data'!H:H,'reductions data'!B:B,$A$6,'reductions data'!G:G,A22)</f>
        <v>0</v>
      </c>
    </row>
    <row r="23" spans="1:3" x14ac:dyDescent="0.15">
      <c r="A23" s="113" t="s">
        <v>910</v>
      </c>
      <c r="B23" s="89">
        <f>COUNTIFS('reductions data'!B:B,$A$6,'reductions data'!G:G,A23)</f>
        <v>0</v>
      </c>
      <c r="C23" s="90">
        <f>SUMIFS('reductions data'!H:H,'reductions data'!B:B,$A$6,'reductions data'!G:G,A23)</f>
        <v>0</v>
      </c>
    </row>
    <row r="24" spans="1:3" x14ac:dyDescent="0.15">
      <c r="A24" s="113" t="s">
        <v>913</v>
      </c>
      <c r="B24" s="89">
        <f>COUNTIFS('reductions data'!B:B,$A$6,'reductions data'!G:G,A24)</f>
        <v>0</v>
      </c>
      <c r="C24" s="90">
        <f>SUMIFS('reductions data'!H:H,'reductions data'!B:B,$A$6,'reductions data'!G:G,A24)</f>
        <v>0</v>
      </c>
    </row>
    <row r="25" spans="1:3" x14ac:dyDescent="0.15">
      <c r="A25" s="113" t="s">
        <v>909</v>
      </c>
      <c r="B25" s="89">
        <f>COUNTIFS('reductions data'!B:B,$A$6,'reductions data'!G:G,A25)</f>
        <v>0</v>
      </c>
      <c r="C25" s="90">
        <f>SUMIFS('reductions data'!H:H,'reductions data'!B:B,$A$6,'reductions data'!G:G,A25)</f>
        <v>0</v>
      </c>
    </row>
    <row r="26" spans="1:3" x14ac:dyDescent="0.15">
      <c r="A26" s="113" t="s">
        <v>994</v>
      </c>
      <c r="B26" s="89">
        <f>COUNTIFS('reductions data'!B:B,$A$6,'reductions data'!G:G,A26)</f>
        <v>0</v>
      </c>
      <c r="C26" s="90">
        <f>SUMIFS('reductions data'!H:H,'reductions data'!B:B,$A$6,'reductions data'!G:G,A26)</f>
        <v>0</v>
      </c>
    </row>
    <row r="27" spans="1:3" x14ac:dyDescent="0.15">
      <c r="A27" s="113" t="s">
        <v>914</v>
      </c>
      <c r="B27" s="89">
        <f>COUNTIFS('reductions data'!B:B,$A$6,'reductions data'!G:G,A27)</f>
        <v>0</v>
      </c>
      <c r="C27" s="90">
        <f>SUMIFS('reductions data'!H:H,'reductions data'!B:B,$A$6,'reductions data'!G:G,A27)</f>
        <v>0</v>
      </c>
    </row>
    <row r="28" spans="1:3" x14ac:dyDescent="0.15">
      <c r="A28" s="113" t="s">
        <v>915</v>
      </c>
      <c r="B28" s="89">
        <f>COUNTIFS('reductions data'!B:B,$A$6,'reductions data'!G:G,A28)</f>
        <v>0</v>
      </c>
      <c r="C28" s="90">
        <f>SUMIFS('reductions data'!H:H,'reductions data'!B:B,$A$6,'reductions data'!G:G,A28)</f>
        <v>0</v>
      </c>
    </row>
    <row r="29" spans="1:3" x14ac:dyDescent="0.15">
      <c r="A29" s="113" t="s">
        <v>916</v>
      </c>
      <c r="B29" s="89">
        <f>COUNTIFS('reductions data'!B:B,$A$6,'reductions data'!G:G,A29)</f>
        <v>0</v>
      </c>
      <c r="C29" s="90">
        <f>SUMIFS('reductions data'!H:H,'reductions data'!B:B,$A$6,'reductions data'!G:G,A29)</f>
        <v>0</v>
      </c>
    </row>
    <row r="30" spans="1:3" x14ac:dyDescent="0.15">
      <c r="A30" s="113" t="s">
        <v>917</v>
      </c>
      <c r="B30" s="89">
        <f>COUNTIFS('reductions data'!B:B,$A$6,'reductions data'!G:G,A30)</f>
        <v>0</v>
      </c>
      <c r="C30" s="90">
        <f>SUMIFS('reductions data'!H:H,'reductions data'!B:B,$A$6,'reductions data'!G:G,A30)</f>
        <v>0</v>
      </c>
    </row>
    <row r="31" spans="1:3" x14ac:dyDescent="0.15">
      <c r="A31" s="113" t="s">
        <v>918</v>
      </c>
      <c r="B31" s="89">
        <f>COUNTIFS('reductions data'!B:B,$A$6,'reductions data'!G:G,A31)</f>
        <v>0</v>
      </c>
      <c r="C31" s="90">
        <f>SUMIFS('reductions data'!H:H,'reductions data'!B:B,$A$6,'reductions data'!G:G,A31)</f>
        <v>0</v>
      </c>
    </row>
    <row r="32" spans="1:3" x14ac:dyDescent="0.15">
      <c r="A32" s="113" t="s">
        <v>919</v>
      </c>
      <c r="B32" s="89">
        <f>COUNTIFS('reductions data'!B:B,$A$6,'reductions data'!G:G,A32)</f>
        <v>0</v>
      </c>
      <c r="C32" s="90">
        <f>SUMIFS('reductions data'!H:H,'reductions data'!B:B,$A$6,'reductions data'!G:G,A32)</f>
        <v>0</v>
      </c>
    </row>
    <row r="33" spans="1:3" x14ac:dyDescent="0.15">
      <c r="A33" s="113" t="s">
        <v>920</v>
      </c>
      <c r="B33" s="89">
        <f>COUNTIFS('reductions data'!B:B,$A$6,'reductions data'!G:G,A33)</f>
        <v>0</v>
      </c>
      <c r="C33" s="90">
        <f>SUMIFS('reductions data'!H:H,'reductions data'!B:B,$A$6,'reductions data'!G:G,A33)</f>
        <v>0</v>
      </c>
    </row>
    <row r="34" spans="1:3" x14ac:dyDescent="0.15">
      <c r="A34" s="113" t="s">
        <v>1255</v>
      </c>
      <c r="B34" s="89">
        <f>COUNTIFS('reductions data'!B:B,$A$6,'reductions data'!G:G,A34)</f>
        <v>0</v>
      </c>
      <c r="C34" s="90">
        <f>SUMIFS('reductions data'!H:H,'reductions data'!B:B,$A$6,'reductions data'!G:G,A34)</f>
        <v>0</v>
      </c>
    </row>
    <row r="35" spans="1:3" x14ac:dyDescent="0.15">
      <c r="A35" s="113" t="s">
        <v>1256</v>
      </c>
      <c r="B35" s="89">
        <f>COUNTIFS('reductions data'!B:B,$A$6,'reductions data'!G:G,A35)</f>
        <v>0</v>
      </c>
      <c r="C35" s="90">
        <f>SUMIFS('reductions data'!H:H,'reductions data'!B:B,$A$6,'reductions data'!G:G,A35)</f>
        <v>0</v>
      </c>
    </row>
    <row r="36" spans="1:3" x14ac:dyDescent="0.15">
      <c r="A36" s="322" t="s">
        <v>1253</v>
      </c>
      <c r="B36" s="89">
        <f>COUNTIFS('reductions data'!B:B,$A$6,'reductions data'!G:G,A36)</f>
        <v>0</v>
      </c>
      <c r="C36" s="90">
        <f>SUMIFS('reductions data'!H:H,'reductions data'!B:B,$A$6,'reductions data'!G:G,A36)</f>
        <v>0</v>
      </c>
    </row>
    <row r="37" spans="1:3" x14ac:dyDescent="0.15">
      <c r="A37" s="322" t="s">
        <v>1254</v>
      </c>
      <c r="B37" s="89">
        <f>COUNTIFS('reductions data'!B:B,$A$6,'reductions data'!G:G,A37)</f>
        <v>0</v>
      </c>
      <c r="C37" s="90">
        <f>SUMIFS('reductions data'!H:H,'reductions data'!B:B,$A$6,'reductions data'!G:G,A37)</f>
        <v>0</v>
      </c>
    </row>
    <row r="38" spans="1:3" x14ac:dyDescent="0.15">
      <c r="A38" s="322" t="s">
        <v>1263</v>
      </c>
      <c r="B38" s="89">
        <f>COUNTIFS('reductions data'!B:B,$A$6,'reductions data'!G:G,A38)</f>
        <v>0</v>
      </c>
      <c r="C38" s="90">
        <f>SUMIFS('reductions data'!H:H,'reductions data'!B:B,$A$6,'reductions data'!G:G,A38)</f>
        <v>0</v>
      </c>
    </row>
    <row r="39" spans="1:3" x14ac:dyDescent="0.15">
      <c r="A39" s="112" t="s">
        <v>1257</v>
      </c>
      <c r="B39" s="89">
        <f>COUNTIFS('reductions data'!B:B,$A$6,'reductions data'!G:G,A39)</f>
        <v>0</v>
      </c>
      <c r="C39" s="90">
        <f>SUMIFS('reductions data'!H:H,'reductions data'!B:B,$A$6,'reductions data'!G:G,A39)</f>
        <v>0</v>
      </c>
    </row>
    <row r="40" spans="1:3" x14ac:dyDescent="0.15">
      <c r="A40" s="113" t="s">
        <v>1258</v>
      </c>
      <c r="B40" s="89">
        <f>COUNTIFS('reductions data'!B:B,$A$6,'reductions data'!G:G,A40)</f>
        <v>0</v>
      </c>
      <c r="C40" s="90">
        <f>SUMIFS('reductions data'!H:H,'reductions data'!B:B,$A$6,'reductions data'!G:G,A40)</f>
        <v>0</v>
      </c>
    </row>
    <row r="41" spans="1:3" x14ac:dyDescent="0.15">
      <c r="A41" s="113" t="s">
        <v>922</v>
      </c>
      <c r="B41" s="89">
        <f>COUNTIFS('reductions data'!B:B,$A$6,'reductions data'!G:G,A41)</f>
        <v>0</v>
      </c>
      <c r="C41" s="90">
        <f>SUMIFS('reductions data'!H:H,'reductions data'!B:B,$A$6,'reductions data'!G:G,A41)</f>
        <v>0</v>
      </c>
    </row>
    <row r="42" spans="1:3" x14ac:dyDescent="0.15">
      <c r="A42" s="113" t="s">
        <v>923</v>
      </c>
      <c r="B42" s="89">
        <f>COUNTIFS('reductions data'!B:B,$A$6,'reductions data'!G:G,A42)</f>
        <v>0</v>
      </c>
      <c r="C42" s="90">
        <f>SUMIFS('reductions data'!H:H,'reductions data'!B:B,$A$6,'reductions data'!G:G,A42)</f>
        <v>0</v>
      </c>
    </row>
    <row r="43" spans="1:3" x14ac:dyDescent="0.15">
      <c r="A43" s="113" t="s">
        <v>924</v>
      </c>
      <c r="B43" s="89">
        <f>COUNTIFS('reductions data'!B:B,$A$6,'reductions data'!G:G,A43)</f>
        <v>0</v>
      </c>
      <c r="C43" s="90">
        <f>SUMIFS('reductions data'!H:H,'reductions data'!B:B,$A$6,'reductions data'!G:G,A43)</f>
        <v>0</v>
      </c>
    </row>
    <row r="44" spans="1:3" x14ac:dyDescent="0.15">
      <c r="A44" s="322" t="s">
        <v>1259</v>
      </c>
      <c r="B44" s="89">
        <f>COUNTIFS('reductions data'!B:B,$A$6,'reductions data'!G:G,A44)</f>
        <v>0</v>
      </c>
      <c r="C44" s="90">
        <f>SUMIFS('reductions data'!H:H,'reductions data'!B:B,$A$6,'reductions data'!G:G,A44)</f>
        <v>0</v>
      </c>
    </row>
    <row r="45" spans="1:3" x14ac:dyDescent="0.15">
      <c r="A45" s="322" t="s">
        <v>1260</v>
      </c>
      <c r="B45" s="89">
        <f>COUNTIFS('reductions data'!B:B,$A$6,'reductions data'!G:G,A45)</f>
        <v>0</v>
      </c>
      <c r="C45" s="90">
        <f>SUMIFS('reductions data'!H:H,'reductions data'!B:B,$A$6,'reductions data'!G:G,A45)</f>
        <v>0</v>
      </c>
    </row>
    <row r="46" spans="1:3" x14ac:dyDescent="0.15">
      <c r="A46" s="322" t="s">
        <v>1264</v>
      </c>
      <c r="B46" s="78">
        <f>COUNTIFS('reductions data'!B:B,$A$6,'reductions data'!G:G,A46)</f>
        <v>0</v>
      </c>
      <c r="C46" s="214">
        <f>SUMIFS('reductions data'!H:H,'reductions data'!B:B,$A$6,'reductions data'!G:G,A46)</f>
        <v>0</v>
      </c>
    </row>
    <row r="47" spans="1:3" x14ac:dyDescent="0.15">
      <c r="A47" s="113" t="s">
        <v>925</v>
      </c>
      <c r="B47" s="78">
        <f>COUNTIFS('reductions data'!B:B,$A$6,'reductions data'!G:G,A47)</f>
        <v>0</v>
      </c>
      <c r="C47" s="395">
        <f>SUMIFS('reductions data'!H:H,'reductions data'!B:B,$A$6,'reductions data'!G:G,A47)</f>
        <v>0</v>
      </c>
    </row>
    <row r="48" spans="1:3" x14ac:dyDescent="0.15">
      <c r="A48" s="113" t="s">
        <v>926</v>
      </c>
      <c r="B48" s="78">
        <f>COUNTIFS('reductions data'!B:B,$A$6,'reductions data'!G:G,A48)</f>
        <v>0</v>
      </c>
      <c r="C48" s="395">
        <f>SUMIFS('reductions data'!H:H,'reductions data'!B:B,$A$6,'reductions data'!G:G,A48)</f>
        <v>0</v>
      </c>
    </row>
    <row r="49" spans="1:3" x14ac:dyDescent="0.15">
      <c r="A49" s="113" t="s">
        <v>927</v>
      </c>
      <c r="B49" s="326">
        <f>COUNTIFS('reductions data'!B:B,$A$6,'reductions data'!G:G,A49)</f>
        <v>0</v>
      </c>
      <c r="C49" s="214">
        <f>SUMIFS('reductions data'!H:H,'reductions data'!B:B,$A$6,'reductions data'!G:G,A49)</f>
        <v>0</v>
      </c>
    </row>
    <row r="50" spans="1:3" x14ac:dyDescent="0.15">
      <c r="A50" s="113" t="s">
        <v>921</v>
      </c>
      <c r="B50" s="326">
        <f>COUNTIFS('reductions data'!B:B,$A$6,'reductions data'!G:G,A50)</f>
        <v>0</v>
      </c>
      <c r="C50" s="214">
        <f>SUMIFS('reductions data'!H:H,'reductions data'!B:B,$A$6,'reductions data'!G:G,A50)</f>
        <v>0</v>
      </c>
    </row>
    <row r="51" spans="1:3" x14ac:dyDescent="0.15">
      <c r="A51" s="113" t="s">
        <v>928</v>
      </c>
      <c r="B51" s="326">
        <f>COUNTIFS('reductions data'!B:B,$A$6,'reductions data'!G:G,A51)</f>
        <v>0</v>
      </c>
      <c r="C51" s="214">
        <f>SUMIFS('reductions data'!H:H,'reductions data'!B:B,$A$6,'reductions data'!G:G,A51)</f>
        <v>0</v>
      </c>
    </row>
    <row r="52" spans="1:3" x14ac:dyDescent="0.15">
      <c r="A52" s="112" t="s">
        <v>929</v>
      </c>
      <c r="B52" s="78">
        <f>COUNTIFS('reductions data'!B:B,$A$6,'reductions data'!G:G,A52)</f>
        <v>0</v>
      </c>
      <c r="C52" s="214">
        <f>SUMIFS('reductions data'!H:H,'reductions data'!B:B,$A$6,'reductions data'!G:G,A52)</f>
        <v>0</v>
      </c>
    </row>
    <row r="53" spans="1:3" x14ac:dyDescent="0.15">
      <c r="A53" s="113" t="s">
        <v>930</v>
      </c>
      <c r="B53" s="78">
        <f>COUNTIFS('reductions data'!B:B,$A$6,'reductions data'!G:G,A53)</f>
        <v>0</v>
      </c>
      <c r="C53" s="314">
        <f>SUMIFS('reductions data'!H:H,'reductions data'!B:B,$A$6,'reductions data'!G:G,A53)</f>
        <v>0</v>
      </c>
    </row>
    <row r="54" spans="1:3" x14ac:dyDescent="0.15">
      <c r="A54" s="113" t="s">
        <v>931</v>
      </c>
      <c r="B54" s="78">
        <f>COUNTIFS('reductions data'!B:B,$A$6,'reductions data'!G:G,A54)</f>
        <v>0</v>
      </c>
      <c r="C54" s="314">
        <f>SUMIFS('reductions data'!H:H,'reductions data'!B:B,$A$6,'reductions data'!G:G,A54)</f>
        <v>0</v>
      </c>
    </row>
    <row r="55" spans="1:3" x14ac:dyDescent="0.15">
      <c r="A55" s="113" t="s">
        <v>932</v>
      </c>
      <c r="B55" s="78">
        <f>COUNTIFS('reductions data'!B:B,$A$6,'reductions data'!G:G,A55)</f>
        <v>0</v>
      </c>
      <c r="C55" s="314">
        <f>SUMIFS('reductions data'!H:H,'reductions data'!B:B,$A$6,'reductions data'!G:G,A55)</f>
        <v>0</v>
      </c>
    </row>
    <row r="56" spans="1:3" x14ac:dyDescent="0.15">
      <c r="A56" s="113" t="s">
        <v>933</v>
      </c>
      <c r="B56" s="78">
        <f>COUNTIFS('reductions data'!B:B,$A$6,'reductions data'!G:G,A56)</f>
        <v>0</v>
      </c>
      <c r="C56" s="214">
        <f>SUMIFS('reductions data'!H:H,'reductions data'!B:B,$A$6,'reductions data'!G:G,A56)</f>
        <v>0</v>
      </c>
    </row>
    <row r="57" spans="1:3" x14ac:dyDescent="0.15">
      <c r="A57" s="113" t="s">
        <v>934</v>
      </c>
      <c r="B57" s="78">
        <f>COUNTIFS('reductions data'!B:B,$A$6,'reductions data'!G:G,A57)</f>
        <v>0</v>
      </c>
      <c r="C57" s="214">
        <f>SUMIFS('reductions data'!H:H,'reductions data'!B:B,$A$6,'reductions data'!G:G,A57)</f>
        <v>0</v>
      </c>
    </row>
    <row r="58" spans="1:3" x14ac:dyDescent="0.15">
      <c r="A58" s="113" t="s">
        <v>935</v>
      </c>
      <c r="B58" s="78">
        <f>COUNTIFS('reductions data'!B:B,$A$6,'reductions data'!G:G,A58)</f>
        <v>0</v>
      </c>
      <c r="C58" s="214">
        <f>SUMIFS('reductions data'!H:H,'reductions data'!B:B,$A$6,'reductions data'!G:G,A58)</f>
        <v>0</v>
      </c>
    </row>
  </sheetData>
  <sheetProtection autoFilter="0"/>
  <sortState xmlns:xlrd2="http://schemas.microsoft.com/office/spreadsheetml/2017/richdata2" ref="A10:C58">
    <sortCondition ref="A10"/>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I24" sqref="I24"/>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7.33203125" style="2" customWidth="1"/>
    <col min="6" max="6" width="14" style="2" customWidth="1"/>
    <col min="7" max="7" width="12.5" style="2" customWidth="1"/>
    <col min="8" max="8" width="17.6640625" style="2" customWidth="1"/>
    <col min="9" max="9" width="13.5" style="2" customWidth="1"/>
    <col min="10" max="10" width="12.5" style="2" customWidth="1"/>
    <col min="11" max="11" width="16.83203125" style="2" customWidth="1"/>
    <col min="12" max="12" width="15" style="2" customWidth="1"/>
    <col min="13" max="13" width="13.5" style="2" customWidth="1"/>
    <col min="14" max="14" width="16.6640625" style="2" customWidth="1"/>
    <col min="15" max="16384" width="9.1640625" style="1"/>
  </cols>
  <sheetData>
    <row r="1" spans="1:46" s="3" customFormat="1" ht="57" customHeight="1" x14ac:dyDescent="0.15">
      <c r="A1" s="531" t="s">
        <v>1194</v>
      </c>
      <c r="B1" s="531"/>
      <c r="C1" s="531"/>
      <c r="D1" s="531"/>
      <c r="E1" s="531"/>
      <c r="F1" s="531"/>
      <c r="G1" s="531"/>
      <c r="H1" s="531"/>
      <c r="I1" s="531"/>
      <c r="J1" s="531"/>
      <c r="K1" s="531"/>
      <c r="L1" s="531"/>
      <c r="M1" s="531"/>
      <c r="N1" s="531"/>
      <c r="O1" s="261"/>
      <c r="P1" s="261"/>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24"/>
      <c r="B2" s="424"/>
      <c r="C2" s="424"/>
      <c r="D2" s="424"/>
      <c r="E2" s="424"/>
      <c r="F2" s="424"/>
      <c r="G2" s="424"/>
      <c r="H2" s="424"/>
      <c r="I2" s="424"/>
      <c r="J2" s="424"/>
      <c r="K2" s="424"/>
      <c r="L2" s="424"/>
      <c r="M2" s="424"/>
      <c r="N2" s="424"/>
      <c r="O2" s="271"/>
      <c r="P2" s="271"/>
      <c r="Q2" s="5"/>
      <c r="R2" s="5"/>
    </row>
    <row r="3" spans="1:46" s="2" customFormat="1" ht="39" customHeight="1" thickBot="1" x14ac:dyDescent="0.25"/>
    <row r="4" spans="1:46" ht="28.5" customHeight="1" x14ac:dyDescent="0.2">
      <c r="B4" s="596" t="s">
        <v>1195</v>
      </c>
      <c r="C4" s="587" t="s">
        <v>1002</v>
      </c>
      <c r="D4" s="588"/>
      <c r="E4" s="589"/>
      <c r="F4" s="590" t="s">
        <v>1007</v>
      </c>
      <c r="G4" s="591"/>
      <c r="H4" s="592"/>
      <c r="I4" s="593" t="s">
        <v>1008</v>
      </c>
      <c r="J4" s="594"/>
      <c r="K4" s="595"/>
      <c r="L4" s="588" t="s">
        <v>1196</v>
      </c>
      <c r="M4" s="588"/>
      <c r="N4" s="589"/>
      <c r="P4" s="5"/>
      <c r="Q4" s="5"/>
      <c r="R4" s="5"/>
    </row>
    <row r="5" spans="1:46" ht="45" x14ac:dyDescent="0.2">
      <c r="B5" s="597"/>
      <c r="C5" s="187" t="s">
        <v>1197</v>
      </c>
      <c r="D5" s="37" t="s">
        <v>1198</v>
      </c>
      <c r="E5" s="188" t="s">
        <v>1199</v>
      </c>
      <c r="F5" s="275" t="s">
        <v>1197</v>
      </c>
      <c r="G5" s="276" t="s">
        <v>1198</v>
      </c>
      <c r="H5" s="277" t="s">
        <v>1199</v>
      </c>
      <c r="I5" s="272" t="s">
        <v>1197</v>
      </c>
      <c r="J5" s="273" t="s">
        <v>1198</v>
      </c>
      <c r="K5" s="274" t="s">
        <v>1199</v>
      </c>
      <c r="L5" s="202" t="s">
        <v>1197</v>
      </c>
      <c r="M5" s="37" t="s">
        <v>1200</v>
      </c>
      <c r="N5" s="188" t="s">
        <v>1199</v>
      </c>
    </row>
    <row r="6" spans="1:46" ht="21" customHeight="1" x14ac:dyDescent="0.2">
      <c r="B6" s="141" t="s">
        <v>17</v>
      </c>
      <c r="C6" s="200">
        <f>SUMIFS('capacity data'!I:I,'capacity data'!A:A,B6,'capacity data'!E:E,"PO")</f>
        <v>0</v>
      </c>
      <c r="D6" s="197">
        <f>SUMIFS('capacity data'!J:J,'capacity data'!A:A,B6,'capacity data'!E:E,"PO")</f>
        <v>0</v>
      </c>
      <c r="E6" s="194" t="e">
        <f>D6/C6</f>
        <v>#DIV/0!</v>
      </c>
      <c r="F6" s="200">
        <f>SUMIFS('capacity data'!I:I,'capacity data'!A:A,B6,'capacity data'!E:E,"PSO")</f>
        <v>0</v>
      </c>
      <c r="G6" s="197">
        <f>SUMIFS('capacity data'!J:J,'capacity data'!A:A,B6,'capacity data'!E:E,"PSO")</f>
        <v>0</v>
      </c>
      <c r="H6" s="194" t="e">
        <f t="shared" ref="H6:H18" si="0">G6/F6</f>
        <v>#DIV/0!</v>
      </c>
      <c r="I6" s="200">
        <f>SUMIFS('capacity data'!I:I,'capacity data'!A:A,B6,'capacity data'!E:E,"TPO")</f>
        <v>0</v>
      </c>
      <c r="J6" s="197">
        <f>SUMIFS('capacity data'!J:J,'capacity data'!A:A,B6,'capacity data'!E:E,"TPO")</f>
        <v>0</v>
      </c>
      <c r="K6" s="194" t="e">
        <f t="shared" ref="K6:K18" si="1">J6/I6</f>
        <v>#DIV/0!</v>
      </c>
      <c r="L6" s="201">
        <f>SUMIF('capacity data'!A:A,B6,'capacity data'!I:I)</f>
        <v>0</v>
      </c>
      <c r="M6" s="197">
        <f>SUMIF('capacity data'!A:A,B6,'capacity data'!J:J)</f>
        <v>0</v>
      </c>
      <c r="N6" s="194" t="e">
        <f t="shared" ref="N6:N18" si="2">M6/L6</f>
        <v>#DIV/0!</v>
      </c>
    </row>
    <row r="7" spans="1:46" ht="21" customHeight="1" x14ac:dyDescent="0.2">
      <c r="B7" s="141" t="s">
        <v>18</v>
      </c>
      <c r="C7" s="200">
        <f>SUMIFS('capacity data'!I:I,'capacity data'!A:A,B7,'capacity data'!E:E,"PO")</f>
        <v>0</v>
      </c>
      <c r="D7" s="197">
        <f>SUMIFS('capacity data'!J:J,'capacity data'!A:A,B7,'capacity data'!E:E,"PO")</f>
        <v>0</v>
      </c>
      <c r="E7" s="194" t="e">
        <f t="shared" ref="E7:E17" si="3">D7/C7</f>
        <v>#DIV/0!</v>
      </c>
      <c r="F7" s="200">
        <f>SUMIFS('capacity data'!I:I,'capacity data'!A:A,B7,'capacity data'!E:E,"PSO")</f>
        <v>0</v>
      </c>
      <c r="G7" s="197">
        <f>SUMIFS('capacity data'!J:J,'capacity data'!A:A,B7,'capacity data'!E:E,"PSO")</f>
        <v>0</v>
      </c>
      <c r="H7" s="194" t="e">
        <f t="shared" ref="H7:H17" si="4">G7/F7</f>
        <v>#DIV/0!</v>
      </c>
      <c r="I7" s="200">
        <f>SUMIFS('capacity data'!I:I,'capacity data'!A:A,B7,'capacity data'!E:E,"TPO")</f>
        <v>0</v>
      </c>
      <c r="J7" s="197">
        <f>SUMIFS('capacity data'!J:J,'capacity data'!A:A,B7,'capacity data'!E:E,"TPO")</f>
        <v>0</v>
      </c>
      <c r="K7" s="194" t="e">
        <f t="shared" ref="K7:K17" si="5">J7/I7</f>
        <v>#DIV/0!</v>
      </c>
      <c r="L7" s="201">
        <f>SUMIF('capacity data'!A:A,B7,'capacity data'!I:I)</f>
        <v>0</v>
      </c>
      <c r="M7" s="197">
        <f>SUMIF('capacity data'!A:A,B7,'capacity data'!J:J)</f>
        <v>0</v>
      </c>
      <c r="N7" s="194" t="e">
        <f t="shared" ref="N7:N17" si="6">M7/L7</f>
        <v>#DIV/0!</v>
      </c>
    </row>
    <row r="8" spans="1:46" ht="21" customHeight="1" x14ac:dyDescent="0.2">
      <c r="B8" s="141" t="s">
        <v>19</v>
      </c>
      <c r="C8" s="200">
        <f>SUMIFS('capacity data'!I:I,'capacity data'!A:A,B8,'capacity data'!E:E,"PO")</f>
        <v>0</v>
      </c>
      <c r="D8" s="197">
        <f>SUMIFS('capacity data'!J:J,'capacity data'!A:A,B8,'capacity data'!E:E,"PO")</f>
        <v>0</v>
      </c>
      <c r="E8" s="194" t="e">
        <f t="shared" si="3"/>
        <v>#DIV/0!</v>
      </c>
      <c r="F8" s="200">
        <f>SUMIFS('capacity data'!I:I,'capacity data'!A:A,B8,'capacity data'!E:E,"PSO")</f>
        <v>0</v>
      </c>
      <c r="G8" s="197">
        <f>SUMIFS('capacity data'!J:J,'capacity data'!A:A,B8,'capacity data'!E:E,"PSO")</f>
        <v>0</v>
      </c>
      <c r="H8" s="194" t="e">
        <f t="shared" si="4"/>
        <v>#DIV/0!</v>
      </c>
      <c r="I8" s="200">
        <f>SUMIFS('capacity data'!I:I,'capacity data'!A:A,B8,'capacity data'!E:E,"TPO")</f>
        <v>0</v>
      </c>
      <c r="J8" s="197">
        <f>SUMIFS('capacity data'!J:J,'capacity data'!A:A,B8,'capacity data'!E:E,"TPO")</f>
        <v>0</v>
      </c>
      <c r="K8" s="194" t="e">
        <f t="shared" si="5"/>
        <v>#DIV/0!</v>
      </c>
      <c r="L8" s="201">
        <f>SUMIF('capacity data'!A:A,B8,'capacity data'!I:I)</f>
        <v>0</v>
      </c>
      <c r="M8" s="197">
        <f>SUMIF('capacity data'!A:A,B8,'capacity data'!J:J)</f>
        <v>0</v>
      </c>
      <c r="N8" s="194" t="e">
        <f t="shared" si="6"/>
        <v>#DIV/0!</v>
      </c>
    </row>
    <row r="9" spans="1:46" ht="21" customHeight="1" x14ac:dyDescent="0.2">
      <c r="B9" s="141" t="s">
        <v>20</v>
      </c>
      <c r="C9" s="200">
        <f>SUMIFS('capacity data'!I:I,'capacity data'!A:A,B9,'capacity data'!E:E,"PO")</f>
        <v>0</v>
      </c>
      <c r="D9" s="197">
        <f>SUMIFS('capacity data'!J:J,'capacity data'!A:A,B9,'capacity data'!E:E,"PO")</f>
        <v>0</v>
      </c>
      <c r="E9" s="194" t="e">
        <f t="shared" si="3"/>
        <v>#DIV/0!</v>
      </c>
      <c r="F9" s="200">
        <f>SUMIFS('capacity data'!I:I,'capacity data'!A:A,B9,'capacity data'!E:E,"PSO")</f>
        <v>0</v>
      </c>
      <c r="G9" s="197">
        <f>SUMIFS('capacity data'!J:J,'capacity data'!A:A,B9,'capacity data'!E:E,"PSO")</f>
        <v>0</v>
      </c>
      <c r="H9" s="194" t="e">
        <f t="shared" si="4"/>
        <v>#DIV/0!</v>
      </c>
      <c r="I9" s="200">
        <f>SUMIFS('capacity data'!I:I,'capacity data'!A:A,B9,'capacity data'!E:E,"TPO")</f>
        <v>0</v>
      </c>
      <c r="J9" s="197">
        <f>SUMIFS('capacity data'!J:J,'capacity data'!A:A,B9,'capacity data'!E:E,"TPO")</f>
        <v>0</v>
      </c>
      <c r="K9" s="194" t="e">
        <f t="shared" si="5"/>
        <v>#DIV/0!</v>
      </c>
      <c r="L9" s="201">
        <f>SUMIF('capacity data'!A:A,B9,'capacity data'!I:I)</f>
        <v>0</v>
      </c>
      <c r="M9" s="197">
        <f>SUMIF('capacity data'!A:A,B9,'capacity data'!J:J)</f>
        <v>0</v>
      </c>
      <c r="N9" s="194" t="e">
        <f t="shared" si="6"/>
        <v>#DIV/0!</v>
      </c>
    </row>
    <row r="10" spans="1:46" ht="21" customHeight="1" x14ac:dyDescent="0.2">
      <c r="B10" s="141" t="s">
        <v>21</v>
      </c>
      <c r="C10" s="200">
        <f>SUMIFS('capacity data'!I:I,'capacity data'!A:A,B10,'capacity data'!E:E,"PO")</f>
        <v>0</v>
      </c>
      <c r="D10" s="197">
        <f>SUMIFS('capacity data'!J:J,'capacity data'!A:A,B10,'capacity data'!E:E,"PO")</f>
        <v>0</v>
      </c>
      <c r="E10" s="194" t="e">
        <f t="shared" si="3"/>
        <v>#DIV/0!</v>
      </c>
      <c r="F10" s="200">
        <f>SUMIFS('capacity data'!I:I,'capacity data'!A:A,B10,'capacity data'!E:E,"PSO")</f>
        <v>0</v>
      </c>
      <c r="G10" s="197">
        <f>SUMIFS('capacity data'!J:J,'capacity data'!A:A,B10,'capacity data'!E:E,"PSO")</f>
        <v>0</v>
      </c>
      <c r="H10" s="194" t="e">
        <f t="shared" si="4"/>
        <v>#DIV/0!</v>
      </c>
      <c r="I10" s="200">
        <f>SUMIFS('capacity data'!I:I,'capacity data'!A:A,B10,'capacity data'!E:E,"TPO")</f>
        <v>0</v>
      </c>
      <c r="J10" s="197">
        <f>SUMIFS('capacity data'!J:J,'capacity data'!A:A,B10,'capacity data'!E:E,"TPO")</f>
        <v>0</v>
      </c>
      <c r="K10" s="194" t="e">
        <f t="shared" si="5"/>
        <v>#DIV/0!</v>
      </c>
      <c r="L10" s="201">
        <f>SUMIF('capacity data'!A:A,B10,'capacity data'!I:I)</f>
        <v>0</v>
      </c>
      <c r="M10" s="197">
        <f>SUMIF('capacity data'!A:A,B10,'capacity data'!J:J)</f>
        <v>0</v>
      </c>
      <c r="N10" s="194" t="e">
        <f t="shared" si="6"/>
        <v>#DIV/0!</v>
      </c>
    </row>
    <row r="11" spans="1:46" ht="21" customHeight="1" x14ac:dyDescent="0.2">
      <c r="B11" s="141" t="s">
        <v>22</v>
      </c>
      <c r="C11" s="200">
        <f>SUMIFS('capacity data'!I:I,'capacity data'!A:A,B11,'capacity data'!E:E,"PO")</f>
        <v>0</v>
      </c>
      <c r="D11" s="197">
        <f>SUMIFS('capacity data'!J:J,'capacity data'!A:A,B11,'capacity data'!E:E,"PO")</f>
        <v>0</v>
      </c>
      <c r="E11" s="194" t="e">
        <f t="shared" si="3"/>
        <v>#DIV/0!</v>
      </c>
      <c r="F11" s="200">
        <f>SUMIFS('capacity data'!I:I,'capacity data'!A:A,B11,'capacity data'!E:E,"PSO")</f>
        <v>0</v>
      </c>
      <c r="G11" s="197">
        <f>SUMIFS('capacity data'!J:J,'capacity data'!A:A,B11,'capacity data'!E:E,"PSO")</f>
        <v>0</v>
      </c>
      <c r="H11" s="194" t="e">
        <f t="shared" si="4"/>
        <v>#DIV/0!</v>
      </c>
      <c r="I11" s="200">
        <f>SUMIFS('capacity data'!I:I,'capacity data'!A:A,B11,'capacity data'!E:E,"TPO")</f>
        <v>0</v>
      </c>
      <c r="J11" s="197">
        <f>SUMIFS('capacity data'!J:J,'capacity data'!A:A,B11,'capacity data'!E:E,"TPO")</f>
        <v>0</v>
      </c>
      <c r="K11" s="194" t="e">
        <f t="shared" si="5"/>
        <v>#DIV/0!</v>
      </c>
      <c r="L11" s="201">
        <f>SUMIF('capacity data'!A:A,B11,'capacity data'!I:I)</f>
        <v>0</v>
      </c>
      <c r="M11" s="197">
        <f>SUMIF('capacity data'!A:A,B11,'capacity data'!J:J)</f>
        <v>0</v>
      </c>
      <c r="N11" s="194" t="e">
        <f t="shared" si="6"/>
        <v>#DIV/0!</v>
      </c>
    </row>
    <row r="12" spans="1:46" ht="21" customHeight="1" x14ac:dyDescent="0.2">
      <c r="B12" s="141" t="s">
        <v>23</v>
      </c>
      <c r="C12" s="200">
        <f>SUMIFS('capacity data'!I:I,'capacity data'!A:A,B12,'capacity data'!E:E,"PO")</f>
        <v>0</v>
      </c>
      <c r="D12" s="197">
        <f>SUMIFS('capacity data'!J:J,'capacity data'!A:A,B12,'capacity data'!E:E,"PO")</f>
        <v>0</v>
      </c>
      <c r="E12" s="194" t="e">
        <f t="shared" si="3"/>
        <v>#DIV/0!</v>
      </c>
      <c r="F12" s="200">
        <f>SUMIFS('capacity data'!I:I,'capacity data'!A:A,B12,'capacity data'!E:E,"PSO")</f>
        <v>0</v>
      </c>
      <c r="G12" s="197">
        <f>SUMIFS('capacity data'!J:J,'capacity data'!A:A,B12,'capacity data'!E:E,"PSO")</f>
        <v>0</v>
      </c>
      <c r="H12" s="194" t="e">
        <f t="shared" si="4"/>
        <v>#DIV/0!</v>
      </c>
      <c r="I12" s="200">
        <f>SUMIFS('capacity data'!I:I,'capacity data'!A:A,B12,'capacity data'!E:E,"TPO")</f>
        <v>0</v>
      </c>
      <c r="J12" s="197">
        <f>SUMIFS('capacity data'!J:J,'capacity data'!A:A,B12,'capacity data'!E:E,"TPO")</f>
        <v>0</v>
      </c>
      <c r="K12" s="194" t="e">
        <f t="shared" si="5"/>
        <v>#DIV/0!</v>
      </c>
      <c r="L12" s="201">
        <f>SUMIF('capacity data'!A:A,B12,'capacity data'!I:I)</f>
        <v>0</v>
      </c>
      <c r="M12" s="197">
        <f>SUMIF('capacity data'!A:A,B12,'capacity data'!J:J)</f>
        <v>0</v>
      </c>
      <c r="N12" s="194" t="e">
        <f t="shared" si="6"/>
        <v>#DIV/0!</v>
      </c>
    </row>
    <row r="13" spans="1:46" ht="21" customHeight="1" x14ac:dyDescent="0.2">
      <c r="B13" s="141" t="s">
        <v>24</v>
      </c>
      <c r="C13" s="200">
        <f>SUMIFS('capacity data'!I:I,'capacity data'!A:A,B13,'capacity data'!E:E,"PO")</f>
        <v>0</v>
      </c>
      <c r="D13" s="197">
        <f>SUMIFS('capacity data'!J:J,'capacity data'!A:A,B13,'capacity data'!E:E,"PO")</f>
        <v>0</v>
      </c>
      <c r="E13" s="194" t="e">
        <f t="shared" ref="E13" si="7">D13/C13</f>
        <v>#DIV/0!</v>
      </c>
      <c r="F13" s="200">
        <f>SUMIFS('capacity data'!I:I,'capacity data'!A:A,B13,'capacity data'!E:E,"PSO")</f>
        <v>0</v>
      </c>
      <c r="G13" s="197">
        <f>SUMIFS('capacity data'!J:J,'capacity data'!A:A,B13,'capacity data'!E:E,"PSO")</f>
        <v>0</v>
      </c>
      <c r="H13" s="194" t="e">
        <f t="shared" ref="H13" si="8">G13/F13</f>
        <v>#DIV/0!</v>
      </c>
      <c r="I13" s="200">
        <f>SUMIFS('capacity data'!I:I,'capacity data'!A:A,B13,'capacity data'!E:E,"TPO")</f>
        <v>0</v>
      </c>
      <c r="J13" s="197">
        <f>SUMIFS('capacity data'!J:J,'capacity data'!A:A,B13,'capacity data'!E:E,"TPO")</f>
        <v>0</v>
      </c>
      <c r="K13" s="194" t="e">
        <f t="shared" ref="K13" si="9">J13/I13</f>
        <v>#DIV/0!</v>
      </c>
      <c r="L13" s="201">
        <f>SUMIF('capacity data'!A:A,B13,'capacity data'!I:I)</f>
        <v>0</v>
      </c>
      <c r="M13" s="197">
        <f>SUMIF('capacity data'!A:A,B13,'capacity data'!J:J)</f>
        <v>0</v>
      </c>
      <c r="N13" s="194" t="e">
        <f t="shared" ref="N13" si="10">M13/L13</f>
        <v>#DIV/0!</v>
      </c>
    </row>
    <row r="14" spans="1:46" ht="21" customHeight="1" x14ac:dyDescent="0.2">
      <c r="B14" s="141" t="s">
        <v>25</v>
      </c>
      <c r="C14" s="200">
        <f>SUMIFS('capacity data'!I:I,'capacity data'!A:A,B14,'capacity data'!E:E,"PO")</f>
        <v>0</v>
      </c>
      <c r="D14" s="197">
        <f>SUMIFS('capacity data'!J:J,'capacity data'!A:A,B14,'capacity data'!E:E,"PO")</f>
        <v>0</v>
      </c>
      <c r="E14" s="194" t="e">
        <f t="shared" si="3"/>
        <v>#DIV/0!</v>
      </c>
      <c r="F14" s="200">
        <f>SUMIFS('capacity data'!I:I,'capacity data'!A:A,B14,'capacity data'!E:E,"PSO")</f>
        <v>0</v>
      </c>
      <c r="G14" s="197">
        <f>SUMIFS('capacity data'!J:J,'capacity data'!A:A,B14,'capacity data'!E:E,"PSO")</f>
        <v>0</v>
      </c>
      <c r="H14" s="194" t="e">
        <f t="shared" si="4"/>
        <v>#DIV/0!</v>
      </c>
      <c r="I14" s="200">
        <f>SUMIFS('capacity data'!I:I,'capacity data'!A:A,B14,'capacity data'!E:E,"TPO")</f>
        <v>0</v>
      </c>
      <c r="J14" s="197">
        <f>SUMIFS('capacity data'!J:J,'capacity data'!A:A,B14,'capacity data'!E:E,"TPO")</f>
        <v>0</v>
      </c>
      <c r="K14" s="194" t="e">
        <f t="shared" si="5"/>
        <v>#DIV/0!</v>
      </c>
      <c r="L14" s="201">
        <f>SUMIF('capacity data'!A:A,B14,'capacity data'!I:I)</f>
        <v>0</v>
      </c>
      <c r="M14" s="197">
        <f>SUMIF('capacity data'!A:A,B14,'capacity data'!J:J)</f>
        <v>0</v>
      </c>
      <c r="N14" s="194" t="e">
        <f t="shared" si="6"/>
        <v>#DIV/0!</v>
      </c>
    </row>
    <row r="15" spans="1:46" ht="21" customHeight="1" x14ac:dyDescent="0.2">
      <c r="B15" s="141" t="s">
        <v>26</v>
      </c>
      <c r="C15" s="200">
        <f>SUMIFS('capacity data'!I:I,'capacity data'!A:A,B15,'capacity data'!E:E,"PO")</f>
        <v>0</v>
      </c>
      <c r="D15" s="197">
        <f>SUMIFS('capacity data'!J:J,'capacity data'!A:A,B15,'capacity data'!E:E,"PO")</f>
        <v>0</v>
      </c>
      <c r="E15" s="194" t="e">
        <f t="shared" si="3"/>
        <v>#DIV/0!</v>
      </c>
      <c r="F15" s="200">
        <f>SUMIFS('capacity data'!I:I,'capacity data'!A:A,B15,'capacity data'!E:E,"PSO")</f>
        <v>0</v>
      </c>
      <c r="G15" s="197">
        <f>SUMIFS('capacity data'!J:J,'capacity data'!A:A,B15,'capacity data'!E:E,"PSO")</f>
        <v>0</v>
      </c>
      <c r="H15" s="194" t="e">
        <f t="shared" si="4"/>
        <v>#DIV/0!</v>
      </c>
      <c r="I15" s="200">
        <f>SUMIFS('capacity data'!I:I,'capacity data'!A:A,B15,'capacity data'!E:E,"TPO")</f>
        <v>0</v>
      </c>
      <c r="J15" s="197">
        <f>SUMIFS('capacity data'!J:J,'capacity data'!A:A,B15,'capacity data'!E:E,"TPO")</f>
        <v>0</v>
      </c>
      <c r="K15" s="194" t="e">
        <f t="shared" si="5"/>
        <v>#DIV/0!</v>
      </c>
      <c r="L15" s="201">
        <f>SUMIF('capacity data'!A:A,B15,'capacity data'!I:I)</f>
        <v>0</v>
      </c>
      <c r="M15" s="197">
        <f>SUMIF('capacity data'!A:A,B15,'capacity data'!J:J)</f>
        <v>0</v>
      </c>
      <c r="N15" s="194" t="e">
        <f t="shared" si="6"/>
        <v>#DIV/0!</v>
      </c>
    </row>
    <row r="16" spans="1:46" ht="21" customHeight="1" x14ac:dyDescent="0.2">
      <c r="B16" s="141" t="s">
        <v>27</v>
      </c>
      <c r="C16" s="200">
        <f>SUMIFS('capacity data'!I:I,'capacity data'!A:A,B16,'capacity data'!E:E,"PO")</f>
        <v>0</v>
      </c>
      <c r="D16" s="197">
        <f>SUMIFS('capacity data'!J:J,'capacity data'!A:A,B16,'capacity data'!E:E,"PO")</f>
        <v>0</v>
      </c>
      <c r="E16" s="194" t="e">
        <f t="shared" si="3"/>
        <v>#DIV/0!</v>
      </c>
      <c r="F16" s="200">
        <f>SUMIFS('capacity data'!I:I,'capacity data'!A:A,B16,'capacity data'!E:E,"PSO")</f>
        <v>0</v>
      </c>
      <c r="G16" s="197">
        <f>SUMIFS('capacity data'!J:J,'capacity data'!A:A,B16,'capacity data'!E:E,"PSO")</f>
        <v>0</v>
      </c>
      <c r="H16" s="194" t="e">
        <f t="shared" si="4"/>
        <v>#DIV/0!</v>
      </c>
      <c r="I16" s="200">
        <f>SUMIFS('capacity data'!I:I,'capacity data'!A:A,B16,'capacity data'!E:E,"TPO")</f>
        <v>0</v>
      </c>
      <c r="J16" s="197">
        <f>SUMIFS('capacity data'!J:J,'capacity data'!A:A,B16,'capacity data'!E:E,"TPO")</f>
        <v>0</v>
      </c>
      <c r="K16" s="194" t="e">
        <f t="shared" si="5"/>
        <v>#DIV/0!</v>
      </c>
      <c r="L16" s="201">
        <f>SUMIF('capacity data'!A:A,B16,'capacity data'!I:I)</f>
        <v>0</v>
      </c>
      <c r="M16" s="197">
        <f>SUMIF('capacity data'!A:A,B16,'capacity data'!J:J)</f>
        <v>0</v>
      </c>
      <c r="N16" s="194" t="e">
        <f t="shared" si="6"/>
        <v>#DIV/0!</v>
      </c>
    </row>
    <row r="17" spans="2:14" ht="21" customHeight="1" x14ac:dyDescent="0.2">
      <c r="B17" s="141" t="s">
        <v>28</v>
      </c>
      <c r="C17" s="200">
        <f>SUMIFS('capacity data'!I:I,'capacity data'!A:A,B17,'capacity data'!E:E,"PO")</f>
        <v>0</v>
      </c>
      <c r="D17" s="197">
        <f>SUMIFS('capacity data'!J:J,'capacity data'!A:A,B17,'capacity data'!E:E,"PO")</f>
        <v>0</v>
      </c>
      <c r="E17" s="194" t="e">
        <f t="shared" si="3"/>
        <v>#DIV/0!</v>
      </c>
      <c r="F17" s="200">
        <f>SUMIFS('capacity data'!I:I,'capacity data'!A:A,B17,'capacity data'!E:E,"PSO")</f>
        <v>0</v>
      </c>
      <c r="G17" s="197">
        <f>SUMIFS('capacity data'!J:J,'capacity data'!A:A,B17,'capacity data'!E:E,"PSO")</f>
        <v>0</v>
      </c>
      <c r="H17" s="194" t="e">
        <f t="shared" si="4"/>
        <v>#DIV/0!</v>
      </c>
      <c r="I17" s="200">
        <f>SUMIFS('capacity data'!I:I,'capacity data'!A:A,B17,'capacity data'!E:E,"TPO")</f>
        <v>0</v>
      </c>
      <c r="J17" s="197">
        <f>SUMIFS('capacity data'!J:J,'capacity data'!A:A,B17,'capacity data'!E:E,"TPO")</f>
        <v>0</v>
      </c>
      <c r="K17" s="194" t="e">
        <f t="shared" si="5"/>
        <v>#DIV/0!</v>
      </c>
      <c r="L17" s="201">
        <f>SUMIF('capacity data'!A:A,B17,'capacity data'!I:I)</f>
        <v>0</v>
      </c>
      <c r="M17" s="197">
        <f>SUMIF('capacity data'!A:A,B17,'capacity data'!J:J)</f>
        <v>0</v>
      </c>
      <c r="N17" s="194" t="e">
        <f t="shared" si="6"/>
        <v>#DIV/0!</v>
      </c>
    </row>
    <row r="18" spans="2:14" ht="21" customHeight="1" thickBot="1" x14ac:dyDescent="0.25">
      <c r="B18" s="195" t="s">
        <v>1185</v>
      </c>
      <c r="C18" s="198">
        <f>SUMIF('capacity data'!E:E,"PO",'capacity data'!I:I)</f>
        <v>0</v>
      </c>
      <c r="D18" s="199">
        <f>SUMIF('capacity data'!E:E,"PO",'capacity data'!J:J)</f>
        <v>0</v>
      </c>
      <c r="E18" s="196" t="e">
        <f t="shared" ref="E18" si="11">D18/C18</f>
        <v>#DIV/0!</v>
      </c>
      <c r="F18" s="198">
        <f>SUMIF('capacity data'!E:E,"PSO",'capacity data'!I:I)</f>
        <v>0</v>
      </c>
      <c r="G18" s="199">
        <f>SUMIF('capacity data'!E:E,"PSO",'capacity data'!J:J)</f>
        <v>0</v>
      </c>
      <c r="H18" s="196" t="e">
        <f t="shared" si="0"/>
        <v>#DIV/0!</v>
      </c>
      <c r="I18" s="198">
        <f>SUMIF('capacity data'!E:E,"TPO",'capacity data'!I:I)</f>
        <v>0</v>
      </c>
      <c r="J18" s="199">
        <f>SUMIF('capacity data'!E:E,"TPO",'capacity data'!J:J)</f>
        <v>0</v>
      </c>
      <c r="K18" s="196" t="e">
        <f t="shared" si="1"/>
        <v>#DIV/0!</v>
      </c>
      <c r="L18" s="198">
        <f>SUM('capacity data'!I:I)</f>
        <v>0</v>
      </c>
      <c r="M18" s="199">
        <f>SUM('capacity data'!J:J)</f>
        <v>0</v>
      </c>
      <c r="N18" s="196" t="e">
        <f t="shared" si="2"/>
        <v>#DIV/0!</v>
      </c>
    </row>
    <row r="19" spans="2:14" x14ac:dyDescent="0.2">
      <c r="C19" s="227"/>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598" t="s">
        <v>1201</v>
      </c>
      <c r="B1" s="598"/>
      <c r="C1" s="598"/>
      <c r="D1" s="598"/>
      <c r="E1" s="598"/>
      <c r="F1" s="598"/>
      <c r="G1" s="598"/>
      <c r="H1" s="598"/>
      <c r="I1" s="598"/>
      <c r="J1" s="598"/>
      <c r="K1" s="598"/>
      <c r="L1" s="598"/>
      <c r="M1" s="598"/>
      <c r="N1" s="598"/>
      <c r="O1" s="598"/>
      <c r="P1" s="598"/>
      <c r="Q1" s="598"/>
      <c r="R1" s="598"/>
      <c r="S1" s="598"/>
      <c r="T1" s="598"/>
    </row>
    <row r="2" spans="1:52" s="1" customFormat="1" ht="59.25" customHeight="1" x14ac:dyDescent="0.2">
      <c r="A2" s="599" t="s">
        <v>1202</v>
      </c>
      <c r="B2" s="599"/>
      <c r="C2" s="600" t="e">
        <f>home!#REF!</f>
        <v>#REF!</v>
      </c>
      <c r="D2" s="600"/>
      <c r="E2" s="600"/>
      <c r="F2" s="600"/>
      <c r="G2" s="600"/>
      <c r="H2" s="600"/>
      <c r="I2" s="600"/>
      <c r="J2" s="600"/>
      <c r="K2" s="600"/>
      <c r="L2" s="600"/>
      <c r="M2" s="600"/>
      <c r="N2" s="600"/>
      <c r="O2" s="600"/>
      <c r="P2" s="600"/>
      <c r="Q2" s="600"/>
      <c r="R2" s="600"/>
      <c r="S2" s="600"/>
      <c r="T2" s="600"/>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 x14ac:dyDescent="0.15">
      <c r="A4" s="16"/>
      <c r="B4" s="16"/>
      <c r="C4" s="16"/>
      <c r="D4" s="16" t="s">
        <v>1203</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01" t="s">
        <v>1204</v>
      </c>
      <c r="B1" s="601"/>
      <c r="C1" s="601"/>
      <c r="D1" s="601"/>
      <c r="E1" s="601"/>
      <c r="F1" s="601"/>
      <c r="G1" s="601"/>
      <c r="H1" s="601"/>
      <c r="I1" s="601"/>
      <c r="J1" s="601"/>
      <c r="K1" s="601"/>
      <c r="L1" s="601"/>
      <c r="M1" s="601"/>
      <c r="N1" s="601"/>
      <c r="O1" s="601"/>
      <c r="P1" s="601"/>
      <c r="Q1" s="601"/>
      <c r="R1" s="601"/>
      <c r="S1" s="601"/>
      <c r="T1" s="601"/>
    </row>
    <row r="2" spans="1:52" s="1" customFormat="1" ht="36.75" customHeight="1" x14ac:dyDescent="0.2">
      <c r="A2" s="602" t="s">
        <v>1202</v>
      </c>
      <c r="B2" s="602"/>
      <c r="C2" s="603" t="e">
        <f>home!#REF!</f>
        <v>#REF!</v>
      </c>
      <c r="D2" s="603"/>
      <c r="E2" s="603"/>
      <c r="F2" s="603"/>
      <c r="G2" s="603"/>
      <c r="H2" s="603"/>
      <c r="I2" s="603"/>
      <c r="J2" s="603"/>
      <c r="K2" s="603"/>
      <c r="L2" s="603"/>
      <c r="M2" s="603"/>
      <c r="N2" s="603"/>
      <c r="O2" s="603"/>
      <c r="P2" s="603"/>
      <c r="Q2" s="603"/>
      <c r="R2" s="603"/>
      <c r="S2" s="603"/>
      <c r="T2" s="60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01" t="s">
        <v>1205</v>
      </c>
      <c r="B1" s="601"/>
      <c r="C1" s="601"/>
      <c r="D1" s="601"/>
      <c r="E1" s="601"/>
      <c r="F1" s="601"/>
      <c r="G1" s="601"/>
      <c r="H1" s="601"/>
      <c r="I1" s="601"/>
      <c r="J1" s="601"/>
      <c r="K1" s="601"/>
      <c r="L1" s="601"/>
      <c r="M1" s="601"/>
      <c r="N1" s="601"/>
      <c r="O1" s="601"/>
      <c r="P1" s="601"/>
      <c r="Q1" s="601"/>
      <c r="R1" s="601"/>
      <c r="S1" s="601"/>
      <c r="T1" s="601"/>
    </row>
    <row r="2" spans="1:52" s="1" customFormat="1" ht="36.75" customHeight="1" x14ac:dyDescent="0.2">
      <c r="A2" s="604" t="s">
        <v>1202</v>
      </c>
      <c r="B2" s="604"/>
      <c r="C2" s="603" t="e">
        <f>home!#REF!</f>
        <v>#REF!</v>
      </c>
      <c r="D2" s="603"/>
      <c r="E2" s="603"/>
      <c r="F2" s="603"/>
      <c r="G2" s="603"/>
      <c r="H2" s="603"/>
      <c r="I2" s="603"/>
      <c r="J2" s="603"/>
      <c r="K2" s="603"/>
      <c r="L2" s="603"/>
      <c r="M2" s="603"/>
      <c r="N2" s="603"/>
      <c r="O2" s="603"/>
      <c r="P2" s="603"/>
      <c r="Q2" s="603"/>
      <c r="R2" s="603"/>
      <c r="S2" s="603"/>
      <c r="T2" s="60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3.xml><?xml version="1.0" encoding="utf-8"?>
<ds:datastoreItem xmlns:ds="http://schemas.openxmlformats.org/officeDocument/2006/customXml" ds:itemID="{7BC261C4-397E-4E52-ACEF-8067968E19D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c70bea-59c1-46b7-82d0-743ec8a3f6a9"/>
    <ds:schemaRef ds:uri="http://purl.org/dc/elements/1.1/"/>
    <ds:schemaRef ds:uri="http://schemas.microsoft.com/office/2006/metadata/properties"/>
    <ds:schemaRef ds:uri="557366f8-f91a-4956-a8f7-7dc824d0424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19</vt:i4>
      </vt:variant>
    </vt:vector>
  </HeadingPairs>
  <TitlesOfParts>
    <vt:vector size="50" baseType="lpstr">
      <vt:lpstr>home</vt:lpstr>
      <vt:lpstr>PDUs</vt:lpstr>
      <vt:lpstr>capacity data</vt:lpstr>
      <vt:lpstr>caseload data</vt:lpstr>
      <vt:lpstr>reductions data</vt:lpstr>
      <vt:lpstr>reductions workings</vt:lpstr>
      <vt:lpstr>FAQs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2022-07-21T12:17:21Z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